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les\Documents\GitHub\ESCULAP\WakeTraj\WakeTrajExamples\testBeamPlasmaLinearGauss\"/>
    </mc:Choice>
  </mc:AlternateContent>
  <bookViews>
    <workbookView xWindow="0" yWindow="0" windowWidth="24000" windowHeight="9735" firstSheet="13" activeTab="14"/>
  </bookViews>
  <sheets>
    <sheet name="WakeUbuntu001" sheetId="62" r:id="rId1"/>
    <sheet name="WakeUbuntu002" sheetId="69" r:id="rId2"/>
    <sheet name="WakeUbuntu003" sheetId="70" r:id="rId3"/>
    <sheet name="WakeUbuntu004" sheetId="71" r:id="rId4"/>
    <sheet name="WakeACWarpGM002aetbetc" sheetId="72" r:id="rId5"/>
    <sheet name="WakeACWarpGM002d" sheetId="77" r:id="rId6"/>
    <sheet name="WakeACGM002f" sheetId="78" r:id="rId7"/>
    <sheet name="WakeACGM002g" sheetId="76" r:id="rId8"/>
    <sheet name="WakeACWarpGM002aTest13" sheetId="84" r:id="rId9"/>
    <sheet name="WakeACWarpGM002bTest13" sheetId="85" r:id="rId10"/>
    <sheet name="WakeACWarp001test13b" sheetId="86" r:id="rId11"/>
    <sheet name="WakeACWarp001atest15" sheetId="87" r:id="rId12"/>
    <sheet name="WakeACwarp001btest15" sheetId="88" r:id="rId13"/>
    <sheet name="Basic" sheetId="58" r:id="rId14"/>
    <sheet name="WakeTrajLGtest1" sheetId="83" r:id="rId15"/>
    <sheet name="Feuil1" sheetId="94" r:id="rId16"/>
  </sheets>
  <calcPr calcId="162913"/>
</workbook>
</file>

<file path=xl/calcChain.xml><?xml version="1.0" encoding="utf-8"?>
<calcChain xmlns="http://schemas.openxmlformats.org/spreadsheetml/2006/main">
  <c r="B45" i="58" l="1"/>
  <c r="B14" i="94" l="1"/>
  <c r="L10" i="94"/>
  <c r="L11" i="94" s="1"/>
  <c r="L12" i="94" s="1"/>
  <c r="B10" i="94"/>
  <c r="B11" i="94" s="1"/>
  <c r="B12" i="94" s="1"/>
  <c r="G34" i="83" l="1"/>
  <c r="C14" i="83" s="1"/>
  <c r="D95" i="88" l="1"/>
  <c r="G78" i="88"/>
  <c r="G75" i="88"/>
  <c r="G76" i="88" s="1"/>
  <c r="G74" i="88"/>
  <c r="L45" i="88"/>
  <c r="J45" i="88"/>
  <c r="L44" i="88"/>
  <c r="G41" i="88"/>
  <c r="G45" i="88" s="1"/>
  <c r="M39" i="88"/>
  <c r="K39" i="88"/>
  <c r="G34" i="88"/>
  <c r="D28" i="88"/>
  <c r="D29" i="88" s="1"/>
  <c r="D31" i="88" s="1"/>
  <c r="D32" i="88" s="1"/>
  <c r="E27" i="88"/>
  <c r="D27" i="88"/>
  <c r="D26" i="88"/>
  <c r="D25" i="88"/>
  <c r="G23" i="88"/>
  <c r="G22" i="88"/>
  <c r="C21" i="88"/>
  <c r="C95" i="88" s="1"/>
  <c r="C104" i="88" s="1"/>
  <c r="C19" i="88"/>
  <c r="E19" i="88" s="1"/>
  <c r="G18" i="88"/>
  <c r="I18" i="88" s="1"/>
  <c r="E18" i="88"/>
  <c r="M17" i="88"/>
  <c r="E17" i="88"/>
  <c r="G11" i="88"/>
  <c r="D11" i="88"/>
  <c r="G10" i="88"/>
  <c r="M9" i="88"/>
  <c r="G8" i="88"/>
  <c r="K7" i="88"/>
  <c r="K6" i="88"/>
  <c r="E6" i="88"/>
  <c r="O5" i="88"/>
  <c r="O6" i="88" s="1"/>
  <c r="O7" i="88" s="1"/>
  <c r="O8" i="88" s="1"/>
  <c r="O9" i="88" s="1"/>
  <c r="O10" i="88" s="1"/>
  <c r="O11" i="88" s="1"/>
  <c r="O12" i="88" s="1"/>
  <c r="O13" i="88" s="1"/>
  <c r="O14" i="88" s="1"/>
  <c r="O15" i="88" s="1"/>
  <c r="O16" i="88" s="1"/>
  <c r="O17" i="88" s="1"/>
  <c r="O18" i="88" s="1"/>
  <c r="O19" i="88" s="1"/>
  <c r="O20" i="88" s="1"/>
  <c r="O21" i="88" s="1"/>
  <c r="O22" i="88" s="1"/>
  <c r="O23" i="88" s="1"/>
  <c r="O24" i="88" s="1"/>
  <c r="O25" i="88" s="1"/>
  <c r="O26" i="88" s="1"/>
  <c r="O27" i="88" s="1"/>
  <c r="O28" i="88" s="1"/>
  <c r="O29" i="88" s="1"/>
  <c r="O30" i="88" s="1"/>
  <c r="O31" i="88" s="1"/>
  <c r="O32" i="88" s="1"/>
  <c r="O33" i="88" s="1"/>
  <c r="O34" i="88" s="1"/>
  <c r="O35" i="88" s="1"/>
  <c r="O36" i="88" s="1"/>
  <c r="O37" i="88" s="1"/>
  <c r="O38" i="88" s="1"/>
  <c r="O39" i="88" s="1"/>
  <c r="O40" i="88" s="1"/>
  <c r="O41" i="88" s="1"/>
  <c r="O42" i="88" s="1"/>
  <c r="O43" i="88" s="1"/>
  <c r="O44" i="88" s="1"/>
  <c r="O45" i="88" s="1"/>
  <c r="O46" i="88" s="1"/>
  <c r="O47" i="88" s="1"/>
  <c r="O48" i="88" s="1"/>
  <c r="O49" i="88" s="1"/>
  <c r="O50" i="88" s="1"/>
  <c r="O51" i="88" s="1"/>
  <c r="O52" i="88" s="1"/>
  <c r="O53" i="88" s="1"/>
  <c r="O54" i="88" s="1"/>
  <c r="O55" i="88" s="1"/>
  <c r="O56" i="88" s="1"/>
  <c r="O57" i="88" s="1"/>
  <c r="O58" i="88" s="1"/>
  <c r="O59" i="88" s="1"/>
  <c r="O60" i="88" s="1"/>
  <c r="O61" i="88" s="1"/>
  <c r="O62" i="88" s="1"/>
  <c r="O63" i="88" s="1"/>
  <c r="O64" i="88" s="1"/>
  <c r="O65" i="88" s="1"/>
  <c r="O66" i="88" s="1"/>
  <c r="O67" i="88" s="1"/>
  <c r="O68" i="88" s="1"/>
  <c r="O69" i="88" s="1"/>
  <c r="O70" i="88" s="1"/>
  <c r="O71" i="88" s="1"/>
  <c r="O72" i="88" s="1"/>
  <c r="O73" i="88" s="1"/>
  <c r="O74" i="88" s="1"/>
  <c r="O75" i="88" s="1"/>
  <c r="O76" i="88" s="1"/>
  <c r="O77" i="88" s="1"/>
  <c r="O78" i="88" s="1"/>
  <c r="O79" i="88" s="1"/>
  <c r="O80" i="88" s="1"/>
  <c r="O81" i="88" s="1"/>
  <c r="O82" i="88" s="1"/>
  <c r="O83" i="88" s="1"/>
  <c r="O84" i="88" s="1"/>
  <c r="O85" i="88" s="1"/>
  <c r="O86" i="88" s="1"/>
  <c r="O87" i="88" s="1"/>
  <c r="O88" i="88" s="1"/>
  <c r="O89" i="88" s="1"/>
  <c r="O90" i="88" s="1"/>
  <c r="O91" i="88" s="1"/>
  <c r="O92" i="88" s="1"/>
  <c r="O93" i="88" s="1"/>
  <c r="O94" i="88" s="1"/>
  <c r="O95" i="88" s="1"/>
  <c r="O96" i="88" s="1"/>
  <c r="O97" i="88" s="1"/>
  <c r="O98" i="88" s="1"/>
  <c r="O99" i="88" s="1"/>
  <c r="O100" i="88" s="1"/>
  <c r="O101" i="88" s="1"/>
  <c r="O102" i="88" s="1"/>
  <c r="O103" i="88" s="1"/>
  <c r="O104" i="88" s="1"/>
  <c r="O105" i="88" s="1"/>
  <c r="O106" i="88" s="1"/>
  <c r="O107" i="88" s="1"/>
  <c r="O108" i="88" s="1"/>
  <c r="O109" i="88" s="1"/>
  <c r="O110" i="88" s="1"/>
  <c r="O111" i="88" s="1"/>
  <c r="O112" i="88" s="1"/>
  <c r="O113" i="88" s="1"/>
  <c r="O114" i="88" s="1"/>
  <c r="O115" i="88" s="1"/>
  <c r="O116" i="88" s="1"/>
  <c r="O117" i="88" s="1"/>
  <c r="O118" i="88" s="1"/>
  <c r="O119" i="88" s="1"/>
  <c r="O120" i="88" s="1"/>
  <c r="O121" i="88" s="1"/>
  <c r="O122" i="88" s="1"/>
  <c r="O123" i="88" s="1"/>
  <c r="O124" i="88" s="1"/>
  <c r="O125" i="88" s="1"/>
  <c r="O126" i="88" s="1"/>
  <c r="O127" i="88" s="1"/>
  <c r="O128" i="88" s="1"/>
  <c r="O129" i="88" s="1"/>
  <c r="O130" i="88" s="1"/>
  <c r="O131" i="88" s="1"/>
  <c r="O132" i="88" s="1"/>
  <c r="O133" i="88" s="1"/>
  <c r="O134" i="88" s="1"/>
  <c r="O135" i="88" s="1"/>
  <c r="O136" i="88" s="1"/>
  <c r="O137" i="88" s="1"/>
  <c r="O138" i="88" s="1"/>
  <c r="O139" i="88" s="1"/>
  <c r="O140" i="88" s="1"/>
  <c r="O141" i="88" s="1"/>
  <c r="O142" i="88" s="1"/>
  <c r="O143" i="88" s="1"/>
  <c r="O144" i="88" s="1"/>
  <c r="O145" i="88" s="1"/>
  <c r="O146" i="88" s="1"/>
  <c r="O147" i="88" s="1"/>
  <c r="O148" i="88" s="1"/>
  <c r="O149" i="88" s="1"/>
  <c r="O150" i="88" s="1"/>
  <c r="O151" i="88" s="1"/>
  <c r="O152" i="88" s="1"/>
  <c r="O153" i="88" s="1"/>
  <c r="O154" i="88" s="1"/>
  <c r="O155" i="88" s="1"/>
  <c r="O156" i="88" s="1"/>
  <c r="O157" i="88" s="1"/>
  <c r="O158" i="88" s="1"/>
  <c r="O159" i="88" s="1"/>
  <c r="D4" i="88"/>
  <c r="G3" i="88"/>
  <c r="F3" i="88"/>
  <c r="E3" i="88"/>
  <c r="G2" i="88"/>
  <c r="F2" i="88"/>
  <c r="P1" i="88"/>
  <c r="O1" i="88"/>
  <c r="N1" i="88"/>
  <c r="E1" i="88"/>
  <c r="F1" i="88" s="1"/>
  <c r="D1" i="88"/>
  <c r="G24" i="88" l="1"/>
  <c r="C14" i="88" s="1"/>
  <c r="K1" i="88"/>
  <c r="K2" i="88" s="1"/>
  <c r="G37" i="88"/>
  <c r="G15" i="88"/>
  <c r="G13" i="88"/>
  <c r="G9" i="88"/>
  <c r="G12" i="88"/>
  <c r="C30" i="88" s="1"/>
  <c r="G43" i="88"/>
  <c r="G44" i="88" s="1"/>
  <c r="C23" i="88"/>
  <c r="C24" i="88" s="1"/>
  <c r="G35" i="88"/>
  <c r="C24" i="87"/>
  <c r="C23" i="87"/>
  <c r="D95" i="87"/>
  <c r="G78" i="87"/>
  <c r="G75" i="87"/>
  <c r="G76" i="87" s="1"/>
  <c r="G74" i="87"/>
  <c r="L45" i="87"/>
  <c r="J45" i="87"/>
  <c r="L44" i="87"/>
  <c r="G41" i="87"/>
  <c r="G45" i="87" s="1"/>
  <c r="M39" i="87"/>
  <c r="K39" i="87"/>
  <c r="G34" i="87"/>
  <c r="D28" i="87"/>
  <c r="D29" i="87" s="1"/>
  <c r="D31" i="87" s="1"/>
  <c r="D32" i="87" s="1"/>
  <c r="E27" i="87"/>
  <c r="D27" i="87"/>
  <c r="D26" i="87"/>
  <c r="D25" i="87"/>
  <c r="G23" i="87"/>
  <c r="G22" i="87"/>
  <c r="G35" i="87" s="1"/>
  <c r="E19" i="87"/>
  <c r="C19" i="87"/>
  <c r="G18" i="87"/>
  <c r="I18" i="87" s="1"/>
  <c r="E18" i="87"/>
  <c r="M17" i="87"/>
  <c r="E17" i="87"/>
  <c r="G15" i="87"/>
  <c r="G11" i="87"/>
  <c r="D11" i="87"/>
  <c r="G10" i="87"/>
  <c r="O9" i="87"/>
  <c r="O10" i="87" s="1"/>
  <c r="O11" i="87" s="1"/>
  <c r="O12" i="87" s="1"/>
  <c r="O13" i="87" s="1"/>
  <c r="O14" i="87" s="1"/>
  <c r="O15" i="87" s="1"/>
  <c r="O16" i="87" s="1"/>
  <c r="O17" i="87" s="1"/>
  <c r="O18" i="87" s="1"/>
  <c r="O19" i="87" s="1"/>
  <c r="O20" i="87" s="1"/>
  <c r="O21" i="87" s="1"/>
  <c r="O22" i="87" s="1"/>
  <c r="O23" i="87" s="1"/>
  <c r="O24" i="87" s="1"/>
  <c r="O25" i="87" s="1"/>
  <c r="O26" i="87" s="1"/>
  <c r="O27" i="87" s="1"/>
  <c r="O28" i="87" s="1"/>
  <c r="O29" i="87" s="1"/>
  <c r="O30" i="87" s="1"/>
  <c r="O31" i="87" s="1"/>
  <c r="O32" i="87" s="1"/>
  <c r="O33" i="87" s="1"/>
  <c r="O34" i="87" s="1"/>
  <c r="O35" i="87" s="1"/>
  <c r="O36" i="87" s="1"/>
  <c r="O37" i="87" s="1"/>
  <c r="O38" i="87" s="1"/>
  <c r="O39" i="87" s="1"/>
  <c r="O40" i="87" s="1"/>
  <c r="O41" i="87" s="1"/>
  <c r="O42" i="87" s="1"/>
  <c r="O43" i="87" s="1"/>
  <c r="O44" i="87" s="1"/>
  <c r="O45" i="87" s="1"/>
  <c r="O46" i="87" s="1"/>
  <c r="O47" i="87" s="1"/>
  <c r="O48" i="87" s="1"/>
  <c r="O49" i="87" s="1"/>
  <c r="O50" i="87" s="1"/>
  <c r="O51" i="87" s="1"/>
  <c r="O52" i="87" s="1"/>
  <c r="O53" i="87" s="1"/>
  <c r="O54" i="87" s="1"/>
  <c r="O55" i="87" s="1"/>
  <c r="O56" i="87" s="1"/>
  <c r="O57" i="87" s="1"/>
  <c r="O58" i="87" s="1"/>
  <c r="O59" i="87" s="1"/>
  <c r="O60" i="87" s="1"/>
  <c r="O61" i="87" s="1"/>
  <c r="O62" i="87" s="1"/>
  <c r="O63" i="87" s="1"/>
  <c r="O64" i="87" s="1"/>
  <c r="O65" i="87" s="1"/>
  <c r="O66" i="87" s="1"/>
  <c r="O67" i="87" s="1"/>
  <c r="O68" i="87" s="1"/>
  <c r="O69" i="87" s="1"/>
  <c r="O70" i="87" s="1"/>
  <c r="O71" i="87" s="1"/>
  <c r="O72" i="87" s="1"/>
  <c r="O73" i="87" s="1"/>
  <c r="O74" i="87" s="1"/>
  <c r="O75" i="87" s="1"/>
  <c r="O76" i="87" s="1"/>
  <c r="O77" i="87" s="1"/>
  <c r="O78" i="87" s="1"/>
  <c r="O79" i="87" s="1"/>
  <c r="O80" i="87" s="1"/>
  <c r="O81" i="87" s="1"/>
  <c r="O82" i="87" s="1"/>
  <c r="O83" i="87" s="1"/>
  <c r="O84" i="87" s="1"/>
  <c r="O85" i="87" s="1"/>
  <c r="O86" i="87" s="1"/>
  <c r="O87" i="87" s="1"/>
  <c r="O88" i="87" s="1"/>
  <c r="O89" i="87" s="1"/>
  <c r="O90" i="87" s="1"/>
  <c r="O91" i="87" s="1"/>
  <c r="O92" i="87" s="1"/>
  <c r="O93" i="87" s="1"/>
  <c r="O94" i="87" s="1"/>
  <c r="O95" i="87" s="1"/>
  <c r="O96" i="87" s="1"/>
  <c r="O97" i="87" s="1"/>
  <c r="O98" i="87" s="1"/>
  <c r="O99" i="87" s="1"/>
  <c r="O100" i="87" s="1"/>
  <c r="O101" i="87" s="1"/>
  <c r="O102" i="87" s="1"/>
  <c r="O103" i="87" s="1"/>
  <c r="O104" i="87" s="1"/>
  <c r="O105" i="87" s="1"/>
  <c r="O106" i="87" s="1"/>
  <c r="O107" i="87" s="1"/>
  <c r="O108" i="87" s="1"/>
  <c r="O109" i="87" s="1"/>
  <c r="O110" i="87" s="1"/>
  <c r="O111" i="87" s="1"/>
  <c r="O112" i="87" s="1"/>
  <c r="O113" i="87" s="1"/>
  <c r="O114" i="87" s="1"/>
  <c r="O115" i="87" s="1"/>
  <c r="O116" i="87" s="1"/>
  <c r="O117" i="87" s="1"/>
  <c r="O118" i="87" s="1"/>
  <c r="O119" i="87" s="1"/>
  <c r="O120" i="87" s="1"/>
  <c r="O121" i="87" s="1"/>
  <c r="O122" i="87" s="1"/>
  <c r="O123" i="87" s="1"/>
  <c r="O124" i="87" s="1"/>
  <c r="O125" i="87" s="1"/>
  <c r="O126" i="87" s="1"/>
  <c r="O127" i="87" s="1"/>
  <c r="O128" i="87" s="1"/>
  <c r="O129" i="87" s="1"/>
  <c r="O130" i="87" s="1"/>
  <c r="O131" i="87" s="1"/>
  <c r="O132" i="87" s="1"/>
  <c r="O133" i="87" s="1"/>
  <c r="O134" i="87" s="1"/>
  <c r="O135" i="87" s="1"/>
  <c r="O136" i="87" s="1"/>
  <c r="O137" i="87" s="1"/>
  <c r="O138" i="87" s="1"/>
  <c r="O139" i="87" s="1"/>
  <c r="O140" i="87" s="1"/>
  <c r="O141" i="87" s="1"/>
  <c r="O142" i="87" s="1"/>
  <c r="O143" i="87" s="1"/>
  <c r="O144" i="87" s="1"/>
  <c r="O145" i="87" s="1"/>
  <c r="O146" i="87" s="1"/>
  <c r="O147" i="87" s="1"/>
  <c r="O148" i="87" s="1"/>
  <c r="O149" i="87" s="1"/>
  <c r="O150" i="87" s="1"/>
  <c r="O151" i="87" s="1"/>
  <c r="O152" i="87" s="1"/>
  <c r="O153" i="87" s="1"/>
  <c r="O154" i="87" s="1"/>
  <c r="O155" i="87" s="1"/>
  <c r="O156" i="87" s="1"/>
  <c r="O157" i="87" s="1"/>
  <c r="O158" i="87" s="1"/>
  <c r="O159" i="87" s="1"/>
  <c r="M9" i="87"/>
  <c r="G8" i="87"/>
  <c r="G9" i="87" s="1"/>
  <c r="K7" i="87"/>
  <c r="K6" i="87"/>
  <c r="E6" i="87"/>
  <c r="O5" i="87"/>
  <c r="O6" i="87" s="1"/>
  <c r="O7" i="87" s="1"/>
  <c r="O8" i="87" s="1"/>
  <c r="D4" i="87"/>
  <c r="G3" i="87"/>
  <c r="F3" i="87"/>
  <c r="E3" i="87"/>
  <c r="G2" i="87"/>
  <c r="F2" i="87"/>
  <c r="P1" i="87"/>
  <c r="O1" i="87"/>
  <c r="N1" i="87"/>
  <c r="E1" i="87"/>
  <c r="F1" i="87" s="1"/>
  <c r="D1" i="87"/>
  <c r="P158" i="88" l="1"/>
  <c r="P154" i="88"/>
  <c r="P150" i="88"/>
  <c r="P146" i="88"/>
  <c r="Q146" i="88" s="1"/>
  <c r="P142" i="88"/>
  <c r="P138" i="88"/>
  <c r="P134" i="88"/>
  <c r="P130" i="88"/>
  <c r="Q130" i="88" s="1"/>
  <c r="P126" i="88"/>
  <c r="P122" i="88"/>
  <c r="P118" i="88"/>
  <c r="P114" i="88"/>
  <c r="Q114" i="88" s="1"/>
  <c r="P110" i="88"/>
  <c r="P106" i="88"/>
  <c r="P101" i="88"/>
  <c r="P97" i="88"/>
  <c r="Q97" i="88" s="1"/>
  <c r="P91" i="88"/>
  <c r="P87" i="88"/>
  <c r="P83" i="88"/>
  <c r="P79" i="88"/>
  <c r="Q79" i="88" s="1"/>
  <c r="P71" i="88"/>
  <c r="P67" i="88"/>
  <c r="P63" i="88"/>
  <c r="P59" i="88"/>
  <c r="Q59" i="88" s="1"/>
  <c r="P55" i="88"/>
  <c r="P51" i="88"/>
  <c r="P159" i="88"/>
  <c r="P155" i="88"/>
  <c r="Q155" i="88" s="1"/>
  <c r="P151" i="88"/>
  <c r="P147" i="88"/>
  <c r="P143" i="88"/>
  <c r="P139" i="88"/>
  <c r="Q139" i="88" s="1"/>
  <c r="P135" i="88"/>
  <c r="P131" i="88"/>
  <c r="P127" i="88"/>
  <c r="P123" i="88"/>
  <c r="Q123" i="88" s="1"/>
  <c r="P119" i="88"/>
  <c r="P115" i="88"/>
  <c r="P111" i="88"/>
  <c r="P107" i="88"/>
  <c r="Q107" i="88" s="1"/>
  <c r="P102" i="88"/>
  <c r="P98" i="88"/>
  <c r="P92" i="88"/>
  <c r="P88" i="88"/>
  <c r="Q88" i="88" s="1"/>
  <c r="P84" i="88"/>
  <c r="P80" i="88"/>
  <c r="P72" i="88"/>
  <c r="P68" i="88"/>
  <c r="Q68" i="88" s="1"/>
  <c r="P64" i="88"/>
  <c r="P156" i="88"/>
  <c r="P152" i="88"/>
  <c r="P148" i="88"/>
  <c r="Q148" i="88" s="1"/>
  <c r="P144" i="88"/>
  <c r="P140" i="88"/>
  <c r="P136" i="88"/>
  <c r="P132" i="88"/>
  <c r="Q132" i="88" s="1"/>
  <c r="P128" i="88"/>
  <c r="P124" i="88"/>
  <c r="P120" i="88"/>
  <c r="P116" i="88"/>
  <c r="Q116" i="88" s="1"/>
  <c r="P112" i="88"/>
  <c r="P108" i="88"/>
  <c r="P104" i="88"/>
  <c r="P103" i="88"/>
  <c r="Q103" i="88" s="1"/>
  <c r="P99" i="88"/>
  <c r="P95" i="88"/>
  <c r="P93" i="88"/>
  <c r="P89" i="88"/>
  <c r="Q89" i="88" s="1"/>
  <c r="P85" i="88"/>
  <c r="P81" i="88"/>
  <c r="P76" i="88"/>
  <c r="P75" i="88"/>
  <c r="Q75" i="88" s="1"/>
  <c r="P74" i="88"/>
  <c r="P73" i="88"/>
  <c r="P69" i="88"/>
  <c r="P65" i="88"/>
  <c r="Q65" i="88" s="1"/>
  <c r="P61" i="88"/>
  <c r="P57" i="88"/>
  <c r="P53" i="88"/>
  <c r="P49" i="88"/>
  <c r="Q49" i="88" s="1"/>
  <c r="P157" i="88"/>
  <c r="P141" i="88"/>
  <c r="P125" i="88"/>
  <c r="P109" i="88"/>
  <c r="Q109" i="88" s="1"/>
  <c r="P90" i="88"/>
  <c r="P60" i="88"/>
  <c r="P52" i="88"/>
  <c r="P43" i="88"/>
  <c r="Q43" i="88" s="1"/>
  <c r="P42" i="88"/>
  <c r="P41" i="88"/>
  <c r="P40" i="88"/>
  <c r="P37" i="88"/>
  <c r="Q37" i="88" s="1"/>
  <c r="P36" i="88"/>
  <c r="P28" i="88"/>
  <c r="P25" i="88"/>
  <c r="P22" i="88"/>
  <c r="Q22" i="88" s="1"/>
  <c r="P21" i="88"/>
  <c r="P16" i="88"/>
  <c r="P13" i="88"/>
  <c r="P12" i="88"/>
  <c r="Q12" i="88" s="1"/>
  <c r="P11" i="88"/>
  <c r="P8" i="88"/>
  <c r="P7" i="88"/>
  <c r="P6" i="88"/>
  <c r="Q6" i="88" s="1"/>
  <c r="P17" i="88"/>
  <c r="P15" i="88"/>
  <c r="P5" i="88"/>
  <c r="Q5" i="88" s="1"/>
  <c r="P24" i="88"/>
  <c r="Q24" i="88" s="1"/>
  <c r="P14" i="88"/>
  <c r="P145" i="88"/>
  <c r="P129" i="88"/>
  <c r="Q129" i="88" s="1"/>
  <c r="P113" i="88"/>
  <c r="Q113" i="88" s="1"/>
  <c r="P94" i="88"/>
  <c r="P78" i="88"/>
  <c r="P62" i="88"/>
  <c r="Q62" i="88" s="1"/>
  <c r="P54" i="88"/>
  <c r="Q54" i="88" s="1"/>
  <c r="P46" i="88"/>
  <c r="P45" i="88"/>
  <c r="P38" i="88"/>
  <c r="Q38" i="88" s="1"/>
  <c r="P30" i="88"/>
  <c r="Q30" i="88" s="1"/>
  <c r="P27" i="88"/>
  <c r="P20" i="88"/>
  <c r="P19" i="88"/>
  <c r="Q19" i="88" s="1"/>
  <c r="P10" i="88"/>
  <c r="Q10" i="88" s="1"/>
  <c r="P149" i="88"/>
  <c r="P133" i="88"/>
  <c r="P117" i="88"/>
  <c r="Q117" i="88" s="1"/>
  <c r="P96" i="88"/>
  <c r="Q96" i="88" s="1"/>
  <c r="P82" i="88"/>
  <c r="P66" i="88"/>
  <c r="P56" i="88"/>
  <c r="Q56" i="88" s="1"/>
  <c r="P47" i="88"/>
  <c r="Q47" i="88" s="1"/>
  <c r="P32" i="88"/>
  <c r="P29" i="88"/>
  <c r="P153" i="88"/>
  <c r="Q153" i="88" s="1"/>
  <c r="P58" i="88"/>
  <c r="Q58" i="88" s="1"/>
  <c r="P48" i="88"/>
  <c r="P39" i="88"/>
  <c r="P26" i="88"/>
  <c r="Q26" i="88" s="1"/>
  <c r="P86" i="88"/>
  <c r="Q86" i="88" s="1"/>
  <c r="P18" i="88"/>
  <c r="P105" i="88"/>
  <c r="P77" i="88"/>
  <c r="Q77" i="88" s="1"/>
  <c r="P70" i="88"/>
  <c r="Q70" i="88" s="1"/>
  <c r="P44" i="88"/>
  <c r="P33" i="88"/>
  <c r="P121" i="88"/>
  <c r="Q121" i="88" s="1"/>
  <c r="P100" i="88"/>
  <c r="Q100" i="88" s="1"/>
  <c r="P35" i="88"/>
  <c r="P23" i="88"/>
  <c r="P137" i="88"/>
  <c r="Q137" i="88" s="1"/>
  <c r="P50" i="88"/>
  <c r="Q50" i="88" s="1"/>
  <c r="P34" i="88"/>
  <c r="P31" i="88"/>
  <c r="P9" i="88"/>
  <c r="Q9" i="88" s="1"/>
  <c r="G14" i="88"/>
  <c r="E14" i="88" s="1"/>
  <c r="E15" i="88" s="1"/>
  <c r="G16" i="88"/>
  <c r="G25" i="88"/>
  <c r="K1" i="87"/>
  <c r="K2" i="87" s="1"/>
  <c r="G37" i="87"/>
  <c r="G12" i="87"/>
  <c r="C30" i="87" s="1"/>
  <c r="G13" i="87"/>
  <c r="C21" i="87"/>
  <c r="C95" i="87" s="1"/>
  <c r="C104" i="87" s="1"/>
  <c r="G24" i="87"/>
  <c r="C14" i="87" s="1"/>
  <c r="C19" i="86"/>
  <c r="G29" i="88" l="1"/>
  <c r="E25" i="88"/>
  <c r="G27" i="88"/>
  <c r="Q25" i="88"/>
  <c r="Q52" i="88"/>
  <c r="Q53" i="88"/>
  <c r="Q76" i="88"/>
  <c r="Q104" i="88"/>
  <c r="Q136" i="88"/>
  <c r="Q72" i="88"/>
  <c r="Q111" i="88"/>
  <c r="Q143" i="88"/>
  <c r="Q63" i="88"/>
  <c r="Q101" i="88"/>
  <c r="Q118" i="88"/>
  <c r="Q134" i="88"/>
  <c r="Q31" i="88"/>
  <c r="Q105" i="88"/>
  <c r="Q29" i="88"/>
  <c r="Q66" i="88"/>
  <c r="Q133" i="88"/>
  <c r="Q20" i="88"/>
  <c r="Q45" i="88"/>
  <c r="Q78" i="88"/>
  <c r="Q145" i="88"/>
  <c r="Q15" i="88"/>
  <c r="Q8" i="88"/>
  <c r="Q16" i="88"/>
  <c r="Q28" i="88"/>
  <c r="Q41" i="88"/>
  <c r="Q60" i="88"/>
  <c r="Q141" i="88"/>
  <c r="Q57" i="88"/>
  <c r="Q73" i="88"/>
  <c r="Q81" i="88"/>
  <c r="Q95" i="88"/>
  <c r="Q108" i="88"/>
  <c r="Q124" i="88"/>
  <c r="Q140" i="88"/>
  <c r="Q156" i="88"/>
  <c r="Q80" i="88"/>
  <c r="Q98" i="88"/>
  <c r="Q115" i="88"/>
  <c r="Q131" i="88"/>
  <c r="Q147" i="88"/>
  <c r="Q51" i="88"/>
  <c r="Q67" i="88"/>
  <c r="Q87" i="88"/>
  <c r="Q106" i="88"/>
  <c r="Q122" i="88"/>
  <c r="Q138" i="88"/>
  <c r="Q154" i="88"/>
  <c r="Q7" i="88"/>
  <c r="Q13" i="88"/>
  <c r="Q40" i="88"/>
  <c r="Q125" i="88"/>
  <c r="Q69" i="88"/>
  <c r="Q93" i="88"/>
  <c r="Q120" i="88"/>
  <c r="Q152" i="88"/>
  <c r="Q92" i="88"/>
  <c r="Q127" i="88"/>
  <c r="Q159" i="88"/>
  <c r="Q83" i="88"/>
  <c r="Q150" i="88"/>
  <c r="Q23" i="88"/>
  <c r="Q33" i="88"/>
  <c r="Q39" i="88"/>
  <c r="I17" i="88"/>
  <c r="E21" i="88"/>
  <c r="G20" i="88"/>
  <c r="G39" i="88"/>
  <c r="G19" i="88"/>
  <c r="E16" i="88"/>
  <c r="E10" i="88" s="1"/>
  <c r="E9" i="88" s="1"/>
  <c r="Q34" i="88"/>
  <c r="Q35" i="88"/>
  <c r="Q44" i="88"/>
  <c r="Q18" i="88"/>
  <c r="Q48" i="88"/>
  <c r="Q32" i="88"/>
  <c r="Q82" i="88"/>
  <c r="Q149" i="88"/>
  <c r="Q27" i="88"/>
  <c r="Q46" i="88"/>
  <c r="Q94" i="88"/>
  <c r="Q14" i="88"/>
  <c r="Q17" i="88"/>
  <c r="Q11" i="88"/>
  <c r="Q21" i="88"/>
  <c r="Q36" i="88"/>
  <c r="Q42" i="88"/>
  <c r="Q90" i="88"/>
  <c r="Q157" i="88"/>
  <c r="Q61" i="88"/>
  <c r="Q74" i="88"/>
  <c r="Q85" i="88"/>
  <c r="Q99" i="88"/>
  <c r="Q112" i="88"/>
  <c r="Q128" i="88"/>
  <c r="Q144" i="88"/>
  <c r="Q64" i="88"/>
  <c r="Q84" i="88"/>
  <c r="Q102" i="88"/>
  <c r="Q119" i="88"/>
  <c r="Q135" i="88"/>
  <c r="Q151" i="88"/>
  <c r="Q55" i="88"/>
  <c r="Q71" i="88"/>
  <c r="Q91" i="88"/>
  <c r="Q110" i="88"/>
  <c r="Q126" i="88"/>
  <c r="Q142" i="88"/>
  <c r="Q158" i="88"/>
  <c r="G25" i="87"/>
  <c r="G14" i="87"/>
  <c r="E14" i="87" s="1"/>
  <c r="E15" i="87" s="1"/>
  <c r="G43" i="87"/>
  <c r="G44" i="87" s="1"/>
  <c r="G16" i="87"/>
  <c r="C24" i="86"/>
  <c r="C23" i="86"/>
  <c r="C21" i="86"/>
  <c r="E3" i="86"/>
  <c r="D95" i="86"/>
  <c r="G78" i="86"/>
  <c r="G75" i="86"/>
  <c r="G76" i="86" s="1"/>
  <c r="G74" i="86"/>
  <c r="L45" i="86"/>
  <c r="J45" i="86"/>
  <c r="L44" i="86"/>
  <c r="G41" i="86"/>
  <c r="G45" i="86" s="1"/>
  <c r="M39" i="86"/>
  <c r="K39" i="86"/>
  <c r="G34" i="86"/>
  <c r="D28" i="86"/>
  <c r="D29" i="86" s="1"/>
  <c r="D31" i="86" s="1"/>
  <c r="D32" i="86" s="1"/>
  <c r="E27" i="86"/>
  <c r="D27" i="86"/>
  <c r="D26" i="86"/>
  <c r="D25" i="86"/>
  <c r="G23" i="86"/>
  <c r="G22" i="86"/>
  <c r="E19" i="86"/>
  <c r="G18" i="86"/>
  <c r="M17" i="86"/>
  <c r="E17" i="86"/>
  <c r="G11" i="86"/>
  <c r="D11" i="86"/>
  <c r="G10" i="86"/>
  <c r="G37" i="86" s="1"/>
  <c r="M9" i="86"/>
  <c r="G8" i="86"/>
  <c r="G9" i="86" s="1"/>
  <c r="K7" i="86"/>
  <c r="K6" i="86"/>
  <c r="E6" i="86"/>
  <c r="O5" i="86"/>
  <c r="O6" i="86" s="1"/>
  <c r="O7" i="86" s="1"/>
  <c r="O8" i="86" s="1"/>
  <c r="O9" i="86" s="1"/>
  <c r="O10" i="86" s="1"/>
  <c r="O11" i="86" s="1"/>
  <c r="O12" i="86" s="1"/>
  <c r="O13" i="86" s="1"/>
  <c r="O14" i="86" s="1"/>
  <c r="O15" i="86" s="1"/>
  <c r="O16" i="86" s="1"/>
  <c r="O17" i="86" s="1"/>
  <c r="O18" i="86" s="1"/>
  <c r="O19" i="86" s="1"/>
  <c r="O20" i="86" s="1"/>
  <c r="O21" i="86" s="1"/>
  <c r="O22" i="86" s="1"/>
  <c r="O23" i="86" s="1"/>
  <c r="O24" i="86" s="1"/>
  <c r="O25" i="86" s="1"/>
  <c r="O26" i="86" s="1"/>
  <c r="O27" i="86" s="1"/>
  <c r="O28" i="86" s="1"/>
  <c r="O29" i="86" s="1"/>
  <c r="O30" i="86" s="1"/>
  <c r="O31" i="86" s="1"/>
  <c r="O32" i="86" s="1"/>
  <c r="O33" i="86" s="1"/>
  <c r="O34" i="86" s="1"/>
  <c r="O35" i="86" s="1"/>
  <c r="O36" i="86" s="1"/>
  <c r="O37" i="86" s="1"/>
  <c r="O38" i="86" s="1"/>
  <c r="O39" i="86" s="1"/>
  <c r="O40" i="86" s="1"/>
  <c r="O41" i="86" s="1"/>
  <c r="O42" i="86" s="1"/>
  <c r="O43" i="86" s="1"/>
  <c r="O44" i="86" s="1"/>
  <c r="O45" i="86" s="1"/>
  <c r="O46" i="86" s="1"/>
  <c r="O47" i="86" s="1"/>
  <c r="O48" i="86" s="1"/>
  <c r="O49" i="86" s="1"/>
  <c r="O50" i="86" s="1"/>
  <c r="O51" i="86" s="1"/>
  <c r="O52" i="86" s="1"/>
  <c r="O53" i="86" s="1"/>
  <c r="O54" i="86" s="1"/>
  <c r="O55" i="86" s="1"/>
  <c r="O56" i="86" s="1"/>
  <c r="O57" i="86" s="1"/>
  <c r="O58" i="86" s="1"/>
  <c r="O59" i="86" s="1"/>
  <c r="O60" i="86" s="1"/>
  <c r="O61" i="86" s="1"/>
  <c r="O62" i="86" s="1"/>
  <c r="O63" i="86" s="1"/>
  <c r="O64" i="86" s="1"/>
  <c r="O65" i="86" s="1"/>
  <c r="O66" i="86" s="1"/>
  <c r="O67" i="86" s="1"/>
  <c r="O68" i="86" s="1"/>
  <c r="O69" i="86" s="1"/>
  <c r="O70" i="86" s="1"/>
  <c r="O71" i="86" s="1"/>
  <c r="O72" i="86" s="1"/>
  <c r="O73" i="86" s="1"/>
  <c r="O74" i="86" s="1"/>
  <c r="O75" i="86" s="1"/>
  <c r="O76" i="86" s="1"/>
  <c r="O77" i="86" s="1"/>
  <c r="O78" i="86" s="1"/>
  <c r="O79" i="86" s="1"/>
  <c r="O80" i="86" s="1"/>
  <c r="O81" i="86" s="1"/>
  <c r="O82" i="86" s="1"/>
  <c r="O83" i="86" s="1"/>
  <c r="O84" i="86" s="1"/>
  <c r="O85" i="86" s="1"/>
  <c r="O86" i="86" s="1"/>
  <c r="O87" i="86" s="1"/>
  <c r="O88" i="86" s="1"/>
  <c r="O89" i="86" s="1"/>
  <c r="O90" i="86" s="1"/>
  <c r="O91" i="86" s="1"/>
  <c r="O92" i="86" s="1"/>
  <c r="O93" i="86" s="1"/>
  <c r="O94" i="86" s="1"/>
  <c r="O95" i="86" s="1"/>
  <c r="O96" i="86" s="1"/>
  <c r="O97" i="86" s="1"/>
  <c r="O98" i="86" s="1"/>
  <c r="O99" i="86" s="1"/>
  <c r="O100" i="86" s="1"/>
  <c r="O101" i="86" s="1"/>
  <c r="O102" i="86" s="1"/>
  <c r="O103" i="86" s="1"/>
  <c r="O104" i="86" s="1"/>
  <c r="O105" i="86" s="1"/>
  <c r="O106" i="86" s="1"/>
  <c r="O107" i="86" s="1"/>
  <c r="O108" i="86" s="1"/>
  <c r="O109" i="86" s="1"/>
  <c r="O110" i="86" s="1"/>
  <c r="O111" i="86" s="1"/>
  <c r="O112" i="86" s="1"/>
  <c r="O113" i="86" s="1"/>
  <c r="O114" i="86" s="1"/>
  <c r="O115" i="86" s="1"/>
  <c r="O116" i="86" s="1"/>
  <c r="O117" i="86" s="1"/>
  <c r="O118" i="86" s="1"/>
  <c r="O119" i="86" s="1"/>
  <c r="O120" i="86" s="1"/>
  <c r="O121" i="86" s="1"/>
  <c r="O122" i="86" s="1"/>
  <c r="O123" i="86" s="1"/>
  <c r="O124" i="86" s="1"/>
  <c r="O125" i="86" s="1"/>
  <c r="O126" i="86" s="1"/>
  <c r="O127" i="86" s="1"/>
  <c r="O128" i="86" s="1"/>
  <c r="O129" i="86" s="1"/>
  <c r="O130" i="86" s="1"/>
  <c r="O131" i="86" s="1"/>
  <c r="O132" i="86" s="1"/>
  <c r="O133" i="86" s="1"/>
  <c r="O134" i="86" s="1"/>
  <c r="O135" i="86" s="1"/>
  <c r="O136" i="86" s="1"/>
  <c r="O137" i="86" s="1"/>
  <c r="O138" i="86" s="1"/>
  <c r="O139" i="86" s="1"/>
  <c r="O140" i="86" s="1"/>
  <c r="O141" i="86" s="1"/>
  <c r="O142" i="86" s="1"/>
  <c r="O143" i="86" s="1"/>
  <c r="O144" i="86" s="1"/>
  <c r="O145" i="86" s="1"/>
  <c r="O146" i="86" s="1"/>
  <c r="O147" i="86" s="1"/>
  <c r="O148" i="86" s="1"/>
  <c r="O149" i="86" s="1"/>
  <c r="O150" i="86" s="1"/>
  <c r="O151" i="86" s="1"/>
  <c r="O152" i="86" s="1"/>
  <c r="O153" i="86" s="1"/>
  <c r="O154" i="86" s="1"/>
  <c r="O155" i="86" s="1"/>
  <c r="O156" i="86" s="1"/>
  <c r="O157" i="86" s="1"/>
  <c r="O158" i="86" s="1"/>
  <c r="O159" i="86" s="1"/>
  <c r="D4" i="86"/>
  <c r="G3" i="86"/>
  <c r="F3" i="86"/>
  <c r="G2" i="86"/>
  <c r="F2" i="86"/>
  <c r="P1" i="86"/>
  <c r="O1" i="86"/>
  <c r="N1" i="86"/>
  <c r="F1" i="86"/>
  <c r="E1" i="86"/>
  <c r="D1" i="86"/>
  <c r="G26" i="88" l="1"/>
  <c r="C17" i="88"/>
  <c r="G46" i="88"/>
  <c r="G42" i="88"/>
  <c r="G30" i="88"/>
  <c r="E29" i="88"/>
  <c r="P156" i="87"/>
  <c r="P152" i="87"/>
  <c r="P148" i="87"/>
  <c r="P144" i="87"/>
  <c r="Q144" i="87" s="1"/>
  <c r="P140" i="87"/>
  <c r="P136" i="87"/>
  <c r="P132" i="87"/>
  <c r="P128" i="87"/>
  <c r="Q128" i="87" s="1"/>
  <c r="P124" i="87"/>
  <c r="P157" i="87"/>
  <c r="P153" i="87"/>
  <c r="P149" i="87"/>
  <c r="Q149" i="87" s="1"/>
  <c r="P145" i="87"/>
  <c r="P141" i="87"/>
  <c r="P137" i="87"/>
  <c r="P133" i="87"/>
  <c r="Q133" i="87" s="1"/>
  <c r="P129" i="87"/>
  <c r="P125" i="87"/>
  <c r="P121" i="87"/>
  <c r="P117" i="87"/>
  <c r="Q117" i="87" s="1"/>
  <c r="P113" i="87"/>
  <c r="P109" i="87"/>
  <c r="P105" i="87"/>
  <c r="P100" i="87"/>
  <c r="Q100" i="87" s="1"/>
  <c r="P96" i="87"/>
  <c r="P94" i="87"/>
  <c r="P90" i="87"/>
  <c r="P86" i="87"/>
  <c r="Q86" i="87" s="1"/>
  <c r="P82" i="87"/>
  <c r="P78" i="87"/>
  <c r="P77" i="87"/>
  <c r="P70" i="87"/>
  <c r="Q70" i="87" s="1"/>
  <c r="P66" i="87"/>
  <c r="P62" i="87"/>
  <c r="P58" i="87"/>
  <c r="P54" i="87"/>
  <c r="Q54" i="87" s="1"/>
  <c r="P50" i="87"/>
  <c r="P154" i="87"/>
  <c r="P146" i="87"/>
  <c r="P138" i="87"/>
  <c r="Q138" i="87" s="1"/>
  <c r="P130" i="87"/>
  <c r="P122" i="87"/>
  <c r="P120" i="87"/>
  <c r="P118" i="87"/>
  <c r="Q118" i="87" s="1"/>
  <c r="P111" i="87"/>
  <c r="P104" i="87"/>
  <c r="P99" i="87"/>
  <c r="P97" i="87"/>
  <c r="Q97" i="87" s="1"/>
  <c r="P89" i="87"/>
  <c r="P87" i="87"/>
  <c r="P80" i="87"/>
  <c r="P74" i="87"/>
  <c r="Q74" i="87" s="1"/>
  <c r="P69" i="87"/>
  <c r="P67" i="87"/>
  <c r="P60" i="87"/>
  <c r="P53" i="87"/>
  <c r="Q53" i="87" s="1"/>
  <c r="P51" i="87"/>
  <c r="P159" i="87"/>
  <c r="P151" i="87"/>
  <c r="P143" i="87"/>
  <c r="Q143" i="87" s="1"/>
  <c r="P135" i="87"/>
  <c r="P127" i="87"/>
  <c r="P116" i="87"/>
  <c r="P114" i="87"/>
  <c r="Q114" i="87" s="1"/>
  <c r="P107" i="87"/>
  <c r="P102" i="87"/>
  <c r="P95" i="87"/>
  <c r="P92" i="87"/>
  <c r="Q92" i="87" s="1"/>
  <c r="P85" i="87"/>
  <c r="P83" i="87"/>
  <c r="P75" i="87"/>
  <c r="P72" i="87"/>
  <c r="Q72" i="87" s="1"/>
  <c r="P65" i="87"/>
  <c r="P63" i="87"/>
  <c r="P56" i="87"/>
  <c r="P49" i="87"/>
  <c r="Q49" i="87" s="1"/>
  <c r="P46" i="87"/>
  <c r="P45" i="87"/>
  <c r="P38" i="87"/>
  <c r="P30" i="87"/>
  <c r="Q30" i="87" s="1"/>
  <c r="P27" i="87"/>
  <c r="P20" i="87"/>
  <c r="P19" i="87"/>
  <c r="P158" i="87"/>
  <c r="Q158" i="87" s="1"/>
  <c r="P150" i="87"/>
  <c r="P142" i="87"/>
  <c r="P134" i="87"/>
  <c r="P126" i="87"/>
  <c r="Q126" i="87" s="1"/>
  <c r="P119" i="87"/>
  <c r="P112" i="87"/>
  <c r="P110" i="87"/>
  <c r="P98" i="87"/>
  <c r="Q98" i="87" s="1"/>
  <c r="P147" i="87"/>
  <c r="P103" i="87"/>
  <c r="P91" i="87"/>
  <c r="P84" i="87"/>
  <c r="Q84" i="87" s="1"/>
  <c r="P68" i="87"/>
  <c r="P61" i="87"/>
  <c r="P47" i="87"/>
  <c r="P44" i="87"/>
  <c r="Q44" i="87" s="1"/>
  <c r="P42" i="87"/>
  <c r="P39" i="87"/>
  <c r="P37" i="87"/>
  <c r="P34" i="87"/>
  <c r="Q34" i="87" s="1"/>
  <c r="P33" i="87"/>
  <c r="P26" i="87"/>
  <c r="P25" i="87"/>
  <c r="P24" i="87"/>
  <c r="Q24" i="87" s="1"/>
  <c r="P23" i="87"/>
  <c r="P21" i="87"/>
  <c r="P18" i="87"/>
  <c r="P16" i="87"/>
  <c r="Q16" i="87" s="1"/>
  <c r="P13" i="87"/>
  <c r="P12" i="87"/>
  <c r="P11" i="87"/>
  <c r="P8" i="87"/>
  <c r="Q8" i="87" s="1"/>
  <c r="P7" i="87"/>
  <c r="P6" i="87"/>
  <c r="P5" i="87"/>
  <c r="Q5" i="87" s="1"/>
  <c r="P139" i="87"/>
  <c r="Q139" i="87" s="1"/>
  <c r="P93" i="87"/>
  <c r="P55" i="87"/>
  <c r="P48" i="87"/>
  <c r="Q48" i="87" s="1"/>
  <c r="P155" i="87"/>
  <c r="Q155" i="87" s="1"/>
  <c r="P123" i="87"/>
  <c r="P115" i="87"/>
  <c r="P108" i="87"/>
  <c r="Q108" i="87" s="1"/>
  <c r="P101" i="87"/>
  <c r="Q101" i="87" s="1"/>
  <c r="P79" i="87"/>
  <c r="P76" i="87"/>
  <c r="P71" i="87"/>
  <c r="Q71" i="87" s="1"/>
  <c r="P64" i="87"/>
  <c r="Q64" i="87" s="1"/>
  <c r="P57" i="87"/>
  <c r="P43" i="87"/>
  <c r="P35" i="87"/>
  <c r="Q35" i="87" s="1"/>
  <c r="P22" i="87"/>
  <c r="Q22" i="87" s="1"/>
  <c r="P17" i="87"/>
  <c r="P15" i="87"/>
  <c r="P10" i="87"/>
  <c r="Q10" i="87" s="1"/>
  <c r="P88" i="87"/>
  <c r="Q88" i="87" s="1"/>
  <c r="P131" i="87"/>
  <c r="P106" i="87"/>
  <c r="P59" i="87"/>
  <c r="Q59" i="87" s="1"/>
  <c r="P52" i="87"/>
  <c r="Q52" i="87" s="1"/>
  <c r="P40" i="87"/>
  <c r="P32" i="87"/>
  <c r="Q32" i="87" s="1"/>
  <c r="P31" i="87"/>
  <c r="Q31" i="87" s="1"/>
  <c r="P29" i="87"/>
  <c r="Q29" i="87" s="1"/>
  <c r="P14" i="87"/>
  <c r="P9" i="87"/>
  <c r="Q9" i="87" s="1"/>
  <c r="P81" i="87"/>
  <c r="Q81" i="87" s="1"/>
  <c r="P73" i="87"/>
  <c r="Q73" i="87" s="1"/>
  <c r="P41" i="87"/>
  <c r="P36" i="87"/>
  <c r="Q36" i="87" s="1"/>
  <c r="P28" i="87"/>
  <c r="Q28" i="87" s="1"/>
  <c r="G39" i="87"/>
  <c r="I17" i="87"/>
  <c r="E21" i="87"/>
  <c r="G20" i="87"/>
  <c r="E16" i="87"/>
  <c r="E10" i="87" s="1"/>
  <c r="E9" i="87" s="1"/>
  <c r="G19" i="87"/>
  <c r="G29" i="87"/>
  <c r="G27" i="87"/>
  <c r="E25" i="87"/>
  <c r="E18" i="86"/>
  <c r="I18" i="86"/>
  <c r="K1" i="86"/>
  <c r="K2" i="86" s="1"/>
  <c r="G24" i="86"/>
  <c r="C14" i="86" s="1"/>
  <c r="G25" i="86" s="1"/>
  <c r="C95" i="86"/>
  <c r="C104" i="86" s="1"/>
  <c r="G15" i="86"/>
  <c r="G12" i="86"/>
  <c r="C30" i="86" s="1"/>
  <c r="G13" i="86"/>
  <c r="G35" i="86"/>
  <c r="C24" i="85"/>
  <c r="D13" i="84"/>
  <c r="D12" i="84"/>
  <c r="F3" i="85"/>
  <c r="C23" i="85"/>
  <c r="C21" i="85"/>
  <c r="D95" i="85"/>
  <c r="G78" i="85"/>
  <c r="G75" i="85"/>
  <c r="G76" i="85" s="1"/>
  <c r="G74" i="85"/>
  <c r="L45" i="85"/>
  <c r="J45" i="85"/>
  <c r="L44" i="85"/>
  <c r="G41" i="85"/>
  <c r="G45" i="85" s="1"/>
  <c r="M39" i="85"/>
  <c r="K39" i="85"/>
  <c r="G34" i="85"/>
  <c r="D28" i="85"/>
  <c r="D29" i="85" s="1"/>
  <c r="D31" i="85" s="1"/>
  <c r="D32" i="85" s="1"/>
  <c r="E27" i="85"/>
  <c r="D27" i="85"/>
  <c r="D26" i="85"/>
  <c r="D25" i="85"/>
  <c r="G23" i="85"/>
  <c r="G22" i="85"/>
  <c r="G35" i="85" s="1"/>
  <c r="C95" i="85"/>
  <c r="C104" i="85" s="1"/>
  <c r="E19" i="85"/>
  <c r="I18" i="85"/>
  <c r="G18" i="85"/>
  <c r="M17" i="85"/>
  <c r="E17" i="85"/>
  <c r="G11" i="85"/>
  <c r="D11" i="85"/>
  <c r="G10" i="85"/>
  <c r="G37" i="85" s="1"/>
  <c r="M9" i="85"/>
  <c r="G9" i="85"/>
  <c r="G8" i="85"/>
  <c r="G13" i="85" s="1"/>
  <c r="K7" i="85"/>
  <c r="O6" i="85"/>
  <c r="O7" i="85" s="1"/>
  <c r="O8" i="85" s="1"/>
  <c r="O9" i="85" s="1"/>
  <c r="O10" i="85" s="1"/>
  <c r="O11" i="85" s="1"/>
  <c r="O12" i="85" s="1"/>
  <c r="O13" i="85" s="1"/>
  <c r="O14" i="85" s="1"/>
  <c r="O15" i="85" s="1"/>
  <c r="O16" i="85" s="1"/>
  <c r="O17" i="85" s="1"/>
  <c r="O18" i="85" s="1"/>
  <c r="O19" i="85" s="1"/>
  <c r="O20" i="85" s="1"/>
  <c r="O21" i="85" s="1"/>
  <c r="O22" i="85" s="1"/>
  <c r="O23" i="85" s="1"/>
  <c r="O24" i="85" s="1"/>
  <c r="O25" i="85" s="1"/>
  <c r="O26" i="85" s="1"/>
  <c r="O27" i="85" s="1"/>
  <c r="O28" i="85" s="1"/>
  <c r="O29" i="85" s="1"/>
  <c r="O30" i="85" s="1"/>
  <c r="O31" i="85" s="1"/>
  <c r="O32" i="85" s="1"/>
  <c r="O33" i="85" s="1"/>
  <c r="O34" i="85" s="1"/>
  <c r="O35" i="85" s="1"/>
  <c r="O36" i="85" s="1"/>
  <c r="O37" i="85" s="1"/>
  <c r="O38" i="85" s="1"/>
  <c r="O39" i="85" s="1"/>
  <c r="O40" i="85" s="1"/>
  <c r="O41" i="85" s="1"/>
  <c r="O42" i="85" s="1"/>
  <c r="O43" i="85" s="1"/>
  <c r="O44" i="85" s="1"/>
  <c r="O45" i="85" s="1"/>
  <c r="O46" i="85" s="1"/>
  <c r="O47" i="85" s="1"/>
  <c r="O48" i="85" s="1"/>
  <c r="O49" i="85" s="1"/>
  <c r="O50" i="85" s="1"/>
  <c r="O51" i="85" s="1"/>
  <c r="O52" i="85" s="1"/>
  <c r="O53" i="85" s="1"/>
  <c r="O54" i="85" s="1"/>
  <c r="O55" i="85" s="1"/>
  <c r="O56" i="85" s="1"/>
  <c r="O57" i="85" s="1"/>
  <c r="O58" i="85" s="1"/>
  <c r="O59" i="85" s="1"/>
  <c r="O60" i="85" s="1"/>
  <c r="O61" i="85" s="1"/>
  <c r="O62" i="85" s="1"/>
  <c r="O63" i="85" s="1"/>
  <c r="O64" i="85" s="1"/>
  <c r="O65" i="85" s="1"/>
  <c r="O66" i="85" s="1"/>
  <c r="O67" i="85" s="1"/>
  <c r="O68" i="85" s="1"/>
  <c r="O69" i="85" s="1"/>
  <c r="O70" i="85" s="1"/>
  <c r="O71" i="85" s="1"/>
  <c r="O72" i="85" s="1"/>
  <c r="O73" i="85" s="1"/>
  <c r="O74" i="85" s="1"/>
  <c r="O75" i="85" s="1"/>
  <c r="O76" i="85" s="1"/>
  <c r="O77" i="85" s="1"/>
  <c r="O78" i="85" s="1"/>
  <c r="O79" i="85" s="1"/>
  <c r="O80" i="85" s="1"/>
  <c r="O81" i="85" s="1"/>
  <c r="O82" i="85" s="1"/>
  <c r="O83" i="85" s="1"/>
  <c r="O84" i="85" s="1"/>
  <c r="O85" i="85" s="1"/>
  <c r="O86" i="85" s="1"/>
  <c r="O87" i="85" s="1"/>
  <c r="O88" i="85" s="1"/>
  <c r="O89" i="85" s="1"/>
  <c r="O90" i="85" s="1"/>
  <c r="O91" i="85" s="1"/>
  <c r="O92" i="85" s="1"/>
  <c r="O93" i="85" s="1"/>
  <c r="O94" i="85" s="1"/>
  <c r="O95" i="85" s="1"/>
  <c r="O96" i="85" s="1"/>
  <c r="O97" i="85" s="1"/>
  <c r="O98" i="85" s="1"/>
  <c r="O99" i="85" s="1"/>
  <c r="O100" i="85" s="1"/>
  <c r="O101" i="85" s="1"/>
  <c r="O102" i="85" s="1"/>
  <c r="O103" i="85" s="1"/>
  <c r="O104" i="85" s="1"/>
  <c r="O105" i="85" s="1"/>
  <c r="O106" i="85" s="1"/>
  <c r="O107" i="85" s="1"/>
  <c r="O108" i="85" s="1"/>
  <c r="O109" i="85" s="1"/>
  <c r="O110" i="85" s="1"/>
  <c r="O111" i="85" s="1"/>
  <c r="O112" i="85" s="1"/>
  <c r="O113" i="85" s="1"/>
  <c r="O114" i="85" s="1"/>
  <c r="O115" i="85" s="1"/>
  <c r="O116" i="85" s="1"/>
  <c r="O117" i="85" s="1"/>
  <c r="O118" i="85" s="1"/>
  <c r="O119" i="85" s="1"/>
  <c r="O120" i="85" s="1"/>
  <c r="O121" i="85" s="1"/>
  <c r="O122" i="85" s="1"/>
  <c r="O123" i="85" s="1"/>
  <c r="O124" i="85" s="1"/>
  <c r="O125" i="85" s="1"/>
  <c r="O126" i="85" s="1"/>
  <c r="O127" i="85" s="1"/>
  <c r="O128" i="85" s="1"/>
  <c r="O129" i="85" s="1"/>
  <c r="O130" i="85" s="1"/>
  <c r="O131" i="85" s="1"/>
  <c r="O132" i="85" s="1"/>
  <c r="O133" i="85" s="1"/>
  <c r="O134" i="85" s="1"/>
  <c r="O135" i="85" s="1"/>
  <c r="O136" i="85" s="1"/>
  <c r="O137" i="85" s="1"/>
  <c r="O138" i="85" s="1"/>
  <c r="O139" i="85" s="1"/>
  <c r="O140" i="85" s="1"/>
  <c r="O141" i="85" s="1"/>
  <c r="O142" i="85" s="1"/>
  <c r="O143" i="85" s="1"/>
  <c r="O144" i="85" s="1"/>
  <c r="O145" i="85" s="1"/>
  <c r="O146" i="85" s="1"/>
  <c r="O147" i="85" s="1"/>
  <c r="O148" i="85" s="1"/>
  <c r="O149" i="85" s="1"/>
  <c r="O150" i="85" s="1"/>
  <c r="O151" i="85" s="1"/>
  <c r="O152" i="85" s="1"/>
  <c r="O153" i="85" s="1"/>
  <c r="O154" i="85" s="1"/>
  <c r="O155" i="85" s="1"/>
  <c r="O156" i="85" s="1"/>
  <c r="O157" i="85" s="1"/>
  <c r="O158" i="85" s="1"/>
  <c r="O159" i="85" s="1"/>
  <c r="K6" i="85"/>
  <c r="E6" i="85"/>
  <c r="O5" i="85"/>
  <c r="D4" i="85"/>
  <c r="G3" i="85"/>
  <c r="E3" i="85"/>
  <c r="G2" i="85"/>
  <c r="F2" i="85"/>
  <c r="P1" i="85"/>
  <c r="O1" i="85"/>
  <c r="N1" i="85"/>
  <c r="K1" i="85"/>
  <c r="K2" i="85" s="1"/>
  <c r="F1" i="85"/>
  <c r="E1" i="85"/>
  <c r="D1" i="85"/>
  <c r="D26" i="84"/>
  <c r="C24" i="84"/>
  <c r="C23" i="84"/>
  <c r="C21" i="84"/>
  <c r="C95" i="84" s="1"/>
  <c r="C104" i="84" s="1"/>
  <c r="F3" i="84"/>
  <c r="D95" i="84"/>
  <c r="G78" i="84"/>
  <c r="G76" i="84"/>
  <c r="G75" i="84"/>
  <c r="G74" i="84"/>
  <c r="L45" i="84"/>
  <c r="J45" i="84"/>
  <c r="L44" i="84"/>
  <c r="G41" i="84"/>
  <c r="M39" i="84"/>
  <c r="K39" i="84"/>
  <c r="G34" i="84"/>
  <c r="D29" i="84"/>
  <c r="D31" i="84" s="1"/>
  <c r="D32" i="84" s="1"/>
  <c r="D28" i="84"/>
  <c r="E27" i="84"/>
  <c r="D27" i="84"/>
  <c r="D25" i="84"/>
  <c r="G23" i="84"/>
  <c r="G22" i="84"/>
  <c r="G35" i="84" s="1"/>
  <c r="E19" i="84"/>
  <c r="G18" i="84"/>
  <c r="I18" i="84" s="1"/>
  <c r="M17" i="84"/>
  <c r="E17" i="84"/>
  <c r="G11" i="84"/>
  <c r="D11" i="84"/>
  <c r="G10" i="84"/>
  <c r="G24" i="84" s="1"/>
  <c r="C14" i="84" s="1"/>
  <c r="M9" i="84"/>
  <c r="G8" i="84"/>
  <c r="G9" i="84" s="1"/>
  <c r="K7" i="84"/>
  <c r="K6" i="84"/>
  <c r="E6" i="84"/>
  <c r="O5" i="84"/>
  <c r="O6" i="84" s="1"/>
  <c r="O7" i="84" s="1"/>
  <c r="O8" i="84" s="1"/>
  <c r="O9" i="84" s="1"/>
  <c r="O10" i="84" s="1"/>
  <c r="O11" i="84" s="1"/>
  <c r="O12" i="84" s="1"/>
  <c r="O13" i="84" s="1"/>
  <c r="O14" i="84" s="1"/>
  <c r="O15" i="84" s="1"/>
  <c r="O16" i="84" s="1"/>
  <c r="O17" i="84" s="1"/>
  <c r="O18" i="84" s="1"/>
  <c r="O19" i="84" s="1"/>
  <c r="O20" i="84" s="1"/>
  <c r="O21" i="84" s="1"/>
  <c r="O22" i="84" s="1"/>
  <c r="O23" i="84" s="1"/>
  <c r="O24" i="84" s="1"/>
  <c r="O25" i="84" s="1"/>
  <c r="O26" i="84" s="1"/>
  <c r="O27" i="84" s="1"/>
  <c r="O28" i="84" s="1"/>
  <c r="O29" i="84" s="1"/>
  <c r="O30" i="84" s="1"/>
  <c r="O31" i="84" s="1"/>
  <c r="O32" i="84" s="1"/>
  <c r="O33" i="84" s="1"/>
  <c r="O34" i="84" s="1"/>
  <c r="O35" i="84" s="1"/>
  <c r="O36" i="84" s="1"/>
  <c r="O37" i="84" s="1"/>
  <c r="O38" i="84" s="1"/>
  <c r="O39" i="84" s="1"/>
  <c r="O40" i="84" s="1"/>
  <c r="O41" i="84" s="1"/>
  <c r="O42" i="84" s="1"/>
  <c r="O43" i="84" s="1"/>
  <c r="O44" i="84" s="1"/>
  <c r="O45" i="84" s="1"/>
  <c r="O46" i="84" s="1"/>
  <c r="O47" i="84" s="1"/>
  <c r="O48" i="84" s="1"/>
  <c r="O49" i="84" s="1"/>
  <c r="O50" i="84" s="1"/>
  <c r="O51" i="84" s="1"/>
  <c r="O52" i="84" s="1"/>
  <c r="O53" i="84" s="1"/>
  <c r="O54" i="84" s="1"/>
  <c r="O55" i="84" s="1"/>
  <c r="O56" i="84" s="1"/>
  <c r="O57" i="84" s="1"/>
  <c r="O58" i="84" s="1"/>
  <c r="O59" i="84" s="1"/>
  <c r="O60" i="84" s="1"/>
  <c r="O61" i="84" s="1"/>
  <c r="O62" i="84" s="1"/>
  <c r="O63" i="84" s="1"/>
  <c r="O64" i="84" s="1"/>
  <c r="O65" i="84" s="1"/>
  <c r="O66" i="84" s="1"/>
  <c r="O67" i="84" s="1"/>
  <c r="O68" i="84" s="1"/>
  <c r="O69" i="84" s="1"/>
  <c r="O70" i="84" s="1"/>
  <c r="O71" i="84" s="1"/>
  <c r="O72" i="84" s="1"/>
  <c r="O73" i="84" s="1"/>
  <c r="O74" i="84" s="1"/>
  <c r="O75" i="84" s="1"/>
  <c r="O76" i="84" s="1"/>
  <c r="O77" i="84" s="1"/>
  <c r="O78" i="84" s="1"/>
  <c r="O79" i="84" s="1"/>
  <c r="O80" i="84" s="1"/>
  <c r="O81" i="84" s="1"/>
  <c r="O82" i="84" s="1"/>
  <c r="O83" i="84" s="1"/>
  <c r="O84" i="84" s="1"/>
  <c r="O85" i="84" s="1"/>
  <c r="O86" i="84" s="1"/>
  <c r="O87" i="84" s="1"/>
  <c r="O88" i="84" s="1"/>
  <c r="O89" i="84" s="1"/>
  <c r="O90" i="84" s="1"/>
  <c r="O91" i="84" s="1"/>
  <c r="O92" i="84" s="1"/>
  <c r="O93" i="84" s="1"/>
  <c r="O94" i="84" s="1"/>
  <c r="O95" i="84" s="1"/>
  <c r="O96" i="84" s="1"/>
  <c r="O97" i="84" s="1"/>
  <c r="O98" i="84" s="1"/>
  <c r="O99" i="84" s="1"/>
  <c r="O100" i="84" s="1"/>
  <c r="O101" i="84" s="1"/>
  <c r="O102" i="84" s="1"/>
  <c r="O103" i="84" s="1"/>
  <c r="O104" i="84" s="1"/>
  <c r="O105" i="84" s="1"/>
  <c r="O106" i="84" s="1"/>
  <c r="O107" i="84" s="1"/>
  <c r="O108" i="84" s="1"/>
  <c r="O109" i="84" s="1"/>
  <c r="O110" i="84" s="1"/>
  <c r="O111" i="84" s="1"/>
  <c r="O112" i="84" s="1"/>
  <c r="O113" i="84" s="1"/>
  <c r="O114" i="84" s="1"/>
  <c r="O115" i="84" s="1"/>
  <c r="O116" i="84" s="1"/>
  <c r="O117" i="84" s="1"/>
  <c r="O118" i="84" s="1"/>
  <c r="O119" i="84" s="1"/>
  <c r="O120" i="84" s="1"/>
  <c r="O121" i="84" s="1"/>
  <c r="O122" i="84" s="1"/>
  <c r="O123" i="84" s="1"/>
  <c r="O124" i="84" s="1"/>
  <c r="O125" i="84" s="1"/>
  <c r="O126" i="84" s="1"/>
  <c r="O127" i="84" s="1"/>
  <c r="O128" i="84" s="1"/>
  <c r="O129" i="84" s="1"/>
  <c r="O130" i="84" s="1"/>
  <c r="O131" i="84" s="1"/>
  <c r="O132" i="84" s="1"/>
  <c r="O133" i="84" s="1"/>
  <c r="O134" i="84" s="1"/>
  <c r="O135" i="84" s="1"/>
  <c r="O136" i="84" s="1"/>
  <c r="O137" i="84" s="1"/>
  <c r="O138" i="84" s="1"/>
  <c r="O139" i="84" s="1"/>
  <c r="O140" i="84" s="1"/>
  <c r="O141" i="84" s="1"/>
  <c r="O142" i="84" s="1"/>
  <c r="O143" i="84" s="1"/>
  <c r="O144" i="84" s="1"/>
  <c r="O145" i="84" s="1"/>
  <c r="O146" i="84" s="1"/>
  <c r="O147" i="84" s="1"/>
  <c r="O148" i="84" s="1"/>
  <c r="O149" i="84" s="1"/>
  <c r="O150" i="84" s="1"/>
  <c r="O151" i="84" s="1"/>
  <c r="O152" i="84" s="1"/>
  <c r="O153" i="84" s="1"/>
  <c r="O154" i="84" s="1"/>
  <c r="O155" i="84" s="1"/>
  <c r="O156" i="84" s="1"/>
  <c r="O157" i="84" s="1"/>
  <c r="O158" i="84" s="1"/>
  <c r="O159" i="84" s="1"/>
  <c r="D4" i="84"/>
  <c r="G3" i="84"/>
  <c r="E3" i="84"/>
  <c r="G2" i="84"/>
  <c r="F2" i="84"/>
  <c r="P1" i="84"/>
  <c r="O1" i="84"/>
  <c r="N1" i="84"/>
  <c r="E1" i="84"/>
  <c r="F1" i="84" s="1"/>
  <c r="D1" i="84"/>
  <c r="G31" i="88" l="1"/>
  <c r="G32" i="88" s="1"/>
  <c r="G28" i="88"/>
  <c r="Q11" i="87"/>
  <c r="Q18" i="87"/>
  <c r="Q25" i="87"/>
  <c r="Q37" i="87"/>
  <c r="Q47" i="87"/>
  <c r="Q91" i="87"/>
  <c r="Q110" i="87"/>
  <c r="Q134" i="87"/>
  <c r="Q19" i="87"/>
  <c r="Q38" i="87"/>
  <c r="Q56" i="87"/>
  <c r="Q75" i="87"/>
  <c r="Q95" i="87"/>
  <c r="Q116" i="87"/>
  <c r="Q151" i="87"/>
  <c r="Q60" i="87"/>
  <c r="Q80" i="87"/>
  <c r="Q99" i="87"/>
  <c r="Q120" i="87"/>
  <c r="Q146" i="87"/>
  <c r="Q58" i="87"/>
  <c r="Q77" i="87"/>
  <c r="Q90" i="87"/>
  <c r="Q105" i="87"/>
  <c r="Q121" i="87"/>
  <c r="Q137" i="87"/>
  <c r="Q153" i="87"/>
  <c r="Q132" i="87"/>
  <c r="Q148" i="87"/>
  <c r="G26" i="87"/>
  <c r="C17" i="87"/>
  <c r="G30" i="87"/>
  <c r="E29" i="87"/>
  <c r="Q106" i="87"/>
  <c r="Q15" i="87"/>
  <c r="Q43" i="87"/>
  <c r="Q76" i="87"/>
  <c r="Q115" i="87"/>
  <c r="Q55" i="87"/>
  <c r="Q6" i="87"/>
  <c r="Q12" i="87"/>
  <c r="Q21" i="87"/>
  <c r="Q26" i="87"/>
  <c r="Q39" i="87"/>
  <c r="Q61" i="87"/>
  <c r="Q103" i="87"/>
  <c r="Q112" i="87"/>
  <c r="Q142" i="87"/>
  <c r="Q20" i="87"/>
  <c r="Q45" i="87"/>
  <c r="Q63" i="87"/>
  <c r="Q83" i="87"/>
  <c r="Q102" i="87"/>
  <c r="Q127" i="87"/>
  <c r="Q159" i="87"/>
  <c r="Q67" i="87"/>
  <c r="Q87" i="87"/>
  <c r="Q104" i="87"/>
  <c r="Q122" i="87"/>
  <c r="Q154" i="87"/>
  <c r="Q62" i="87"/>
  <c r="Q78" i="87"/>
  <c r="Q94" i="87"/>
  <c r="Q109" i="87"/>
  <c r="Q125" i="87"/>
  <c r="Q141" i="87"/>
  <c r="Q157" i="87"/>
  <c r="Q136" i="87"/>
  <c r="Q152" i="87"/>
  <c r="G42" i="87"/>
  <c r="G46" i="87"/>
  <c r="Q41" i="87"/>
  <c r="Q14" i="87"/>
  <c r="Q40" i="87"/>
  <c r="Q131" i="87"/>
  <c r="Q17" i="87"/>
  <c r="Q57" i="87"/>
  <c r="Q79" i="87"/>
  <c r="Q123" i="87"/>
  <c r="Q93" i="87"/>
  <c r="Q7" i="87"/>
  <c r="Q13" i="87"/>
  <c r="Q23" i="87"/>
  <c r="Q33" i="87"/>
  <c r="Q42" i="87"/>
  <c r="Q68" i="87"/>
  <c r="Q147" i="87"/>
  <c r="Q119" i="87"/>
  <c r="Q150" i="87"/>
  <c r="Q27" i="87"/>
  <c r="Q46" i="87"/>
  <c r="Q65" i="87"/>
  <c r="Q85" i="87"/>
  <c r="Q107" i="87"/>
  <c r="Q135" i="87"/>
  <c r="Q51" i="87"/>
  <c r="Q69" i="87"/>
  <c r="Q89" i="87"/>
  <c r="Q111" i="87"/>
  <c r="Q130" i="87"/>
  <c r="Q50" i="87"/>
  <c r="Q66" i="87"/>
  <c r="Q82" i="87"/>
  <c r="Q96" i="87"/>
  <c r="Q113" i="87"/>
  <c r="Q129" i="87"/>
  <c r="Q145" i="87"/>
  <c r="Q124" i="87"/>
  <c r="Q140" i="87"/>
  <c r="Q156" i="87"/>
  <c r="G16" i="86"/>
  <c r="G14" i="86"/>
  <c r="E14" i="86" s="1"/>
  <c r="E15" i="86" s="1"/>
  <c r="G29" i="86"/>
  <c r="E25" i="86"/>
  <c r="G43" i="86"/>
  <c r="G44" i="86" s="1"/>
  <c r="G14" i="85"/>
  <c r="E14" i="85" s="1"/>
  <c r="E15" i="85" s="1"/>
  <c r="G16" i="85"/>
  <c r="P157" i="85"/>
  <c r="P153" i="85"/>
  <c r="Q153" i="85" s="1"/>
  <c r="P149" i="85"/>
  <c r="P145" i="85"/>
  <c r="P141" i="85"/>
  <c r="P137" i="85"/>
  <c r="Q137" i="85" s="1"/>
  <c r="P133" i="85"/>
  <c r="P129" i="85"/>
  <c r="P125" i="85"/>
  <c r="P121" i="85"/>
  <c r="Q121" i="85" s="1"/>
  <c r="P117" i="85"/>
  <c r="P113" i="85"/>
  <c r="P109" i="85"/>
  <c r="P105" i="85"/>
  <c r="Q105" i="85" s="1"/>
  <c r="P100" i="85"/>
  <c r="P96" i="85"/>
  <c r="P94" i="85"/>
  <c r="P90" i="85"/>
  <c r="Q90" i="85" s="1"/>
  <c r="P86" i="85"/>
  <c r="P82" i="85"/>
  <c r="P78" i="85"/>
  <c r="P77" i="85"/>
  <c r="Q77" i="85" s="1"/>
  <c r="P70" i="85"/>
  <c r="P66" i="85"/>
  <c r="P62" i="85"/>
  <c r="P58" i="85"/>
  <c r="Q58" i="85" s="1"/>
  <c r="P54" i="85"/>
  <c r="P50" i="85"/>
  <c r="P156" i="85"/>
  <c r="P154" i="85"/>
  <c r="Q154" i="85" s="1"/>
  <c r="P147" i="85"/>
  <c r="P140" i="85"/>
  <c r="P138" i="85"/>
  <c r="P131" i="85"/>
  <c r="Q131" i="85" s="1"/>
  <c r="P124" i="85"/>
  <c r="P122" i="85"/>
  <c r="P115" i="85"/>
  <c r="P108" i="85"/>
  <c r="Q108" i="85" s="1"/>
  <c r="P106" i="85"/>
  <c r="P103" i="85"/>
  <c r="P101" i="85"/>
  <c r="P93" i="85"/>
  <c r="Q93" i="85" s="1"/>
  <c r="P91" i="85"/>
  <c r="P84" i="85"/>
  <c r="P73" i="85"/>
  <c r="P71" i="85"/>
  <c r="Q71" i="85" s="1"/>
  <c r="P64" i="85"/>
  <c r="P57" i="85"/>
  <c r="P55" i="85"/>
  <c r="P48" i="85"/>
  <c r="Q48" i="85" s="1"/>
  <c r="P44" i="85"/>
  <c r="P39" i="85"/>
  <c r="P35" i="85"/>
  <c r="P34" i="85"/>
  <c r="Q34" i="85" s="1"/>
  <c r="P33" i="85"/>
  <c r="P31" i="85"/>
  <c r="P159" i="85"/>
  <c r="P152" i="85"/>
  <c r="Q152" i="85" s="1"/>
  <c r="P150" i="85"/>
  <c r="P143" i="85"/>
  <c r="P136" i="85"/>
  <c r="P134" i="85"/>
  <c r="Q134" i="85" s="1"/>
  <c r="P127" i="85"/>
  <c r="P120" i="85"/>
  <c r="P118" i="85"/>
  <c r="P111" i="85"/>
  <c r="Q111" i="85" s="1"/>
  <c r="P104" i="85"/>
  <c r="P99" i="85"/>
  <c r="P97" i="85"/>
  <c r="P89" i="85"/>
  <c r="Q89" i="85" s="1"/>
  <c r="P87" i="85"/>
  <c r="P80" i="85"/>
  <c r="P74" i="85"/>
  <c r="P69" i="85"/>
  <c r="Q69" i="85" s="1"/>
  <c r="P67" i="85"/>
  <c r="P60" i="85"/>
  <c r="P53" i="85"/>
  <c r="P51" i="85"/>
  <c r="Q51" i="85" s="1"/>
  <c r="P43" i="85"/>
  <c r="P42" i="85"/>
  <c r="P41" i="85"/>
  <c r="P40" i="85"/>
  <c r="Q40" i="85" s="1"/>
  <c r="P37" i="85"/>
  <c r="P36" i="85"/>
  <c r="P28" i="85"/>
  <c r="P155" i="85"/>
  <c r="Q155" i="85" s="1"/>
  <c r="P148" i="85"/>
  <c r="P146" i="85"/>
  <c r="P139" i="85"/>
  <c r="P132" i="85"/>
  <c r="Q132" i="85" s="1"/>
  <c r="P130" i="85"/>
  <c r="P123" i="85"/>
  <c r="P116" i="85"/>
  <c r="P114" i="85"/>
  <c r="Q114" i="85" s="1"/>
  <c r="P107" i="85"/>
  <c r="P102" i="85"/>
  <c r="P95" i="85"/>
  <c r="P92" i="85"/>
  <c r="Q92" i="85" s="1"/>
  <c r="P85" i="85"/>
  <c r="P83" i="85"/>
  <c r="P75" i="85"/>
  <c r="P72" i="85"/>
  <c r="Q72" i="85" s="1"/>
  <c r="P65" i="85"/>
  <c r="P63" i="85"/>
  <c r="P56" i="85"/>
  <c r="P49" i="85"/>
  <c r="Q49" i="85" s="1"/>
  <c r="P46" i="85"/>
  <c r="P45" i="85"/>
  <c r="P38" i="85"/>
  <c r="P158" i="85"/>
  <c r="Q158" i="85" s="1"/>
  <c r="P151" i="85"/>
  <c r="P144" i="85"/>
  <c r="P88" i="85"/>
  <c r="P81" i="85"/>
  <c r="Q81" i="85" s="1"/>
  <c r="P30" i="85"/>
  <c r="P29" i="85"/>
  <c r="P25" i="85"/>
  <c r="P22" i="85"/>
  <c r="Q22" i="85" s="1"/>
  <c r="P21" i="85"/>
  <c r="P17" i="85"/>
  <c r="P15" i="85"/>
  <c r="P10" i="85"/>
  <c r="Q10" i="85" s="1"/>
  <c r="P5" i="85"/>
  <c r="Q5" i="85" s="1"/>
  <c r="P11" i="85"/>
  <c r="P142" i="85"/>
  <c r="P135" i="85"/>
  <c r="Q135" i="85" s="1"/>
  <c r="P128" i="85"/>
  <c r="Q128" i="85" s="1"/>
  <c r="P79" i="85"/>
  <c r="P68" i="85"/>
  <c r="P61" i="85"/>
  <c r="Q61" i="85" s="1"/>
  <c r="P47" i="85"/>
  <c r="Q47" i="85" s="1"/>
  <c r="P27" i="85"/>
  <c r="P20" i="85"/>
  <c r="P19" i="85"/>
  <c r="Q19" i="85" s="1"/>
  <c r="P14" i="85"/>
  <c r="Q14" i="85" s="1"/>
  <c r="P9" i="85"/>
  <c r="P26" i="85"/>
  <c r="P23" i="85"/>
  <c r="Q23" i="85" s="1"/>
  <c r="P16" i="85"/>
  <c r="Q16" i="85" s="1"/>
  <c r="P12" i="85"/>
  <c r="P8" i="85"/>
  <c r="P6" i="85"/>
  <c r="Q6" i="85" s="1"/>
  <c r="P126" i="85"/>
  <c r="Q126" i="85" s="1"/>
  <c r="P119" i="85"/>
  <c r="P112" i="85"/>
  <c r="P98" i="85"/>
  <c r="Q98" i="85" s="1"/>
  <c r="P59" i="85"/>
  <c r="Q59" i="85" s="1"/>
  <c r="P52" i="85"/>
  <c r="P32" i="85"/>
  <c r="P24" i="85"/>
  <c r="Q24" i="85" s="1"/>
  <c r="P18" i="85"/>
  <c r="Q18" i="85" s="1"/>
  <c r="P110" i="85"/>
  <c r="P76" i="85"/>
  <c r="P13" i="85"/>
  <c r="Q13" i="85" s="1"/>
  <c r="P7" i="85"/>
  <c r="Q7" i="85" s="1"/>
  <c r="G15" i="85"/>
  <c r="E18" i="85"/>
  <c r="G12" i="85"/>
  <c r="C30" i="85" s="1"/>
  <c r="G43" i="85"/>
  <c r="G44" i="85" s="1"/>
  <c r="G24" i="85"/>
  <c r="C14" i="85" s="1"/>
  <c r="K1" i="84"/>
  <c r="K2" i="84" s="1"/>
  <c r="G37" i="84"/>
  <c r="G25" i="84"/>
  <c r="G15" i="84"/>
  <c r="E18" i="84"/>
  <c r="G45" i="84"/>
  <c r="G12" i="84"/>
  <c r="C30" i="84" s="1"/>
  <c r="G13" i="84"/>
  <c r="G43" i="84" s="1"/>
  <c r="G44" i="84" s="1"/>
  <c r="D95" i="83"/>
  <c r="G78" i="83"/>
  <c r="G75" i="83"/>
  <c r="G74" i="83"/>
  <c r="G76" i="83" s="1"/>
  <c r="G41" i="83"/>
  <c r="G45" i="83" s="1"/>
  <c r="D28" i="83"/>
  <c r="E27" i="83"/>
  <c r="D27" i="83"/>
  <c r="G23" i="83"/>
  <c r="G22" i="83"/>
  <c r="G35" i="83" s="1"/>
  <c r="G18" i="83"/>
  <c r="E17" i="83"/>
  <c r="E13" i="83"/>
  <c r="E12" i="83" s="1"/>
  <c r="G11" i="83"/>
  <c r="D11" i="83"/>
  <c r="G10" i="83"/>
  <c r="G37" i="83" s="1"/>
  <c r="G8" i="83"/>
  <c r="E4" i="83"/>
  <c r="G3" i="83"/>
  <c r="F3" i="83"/>
  <c r="G4" i="83" s="1"/>
  <c r="E3" i="83"/>
  <c r="G2" i="83"/>
  <c r="F2" i="83"/>
  <c r="C18" i="83" l="1"/>
  <c r="C16" i="83"/>
  <c r="C19" i="83" s="1"/>
  <c r="C90" i="83"/>
  <c r="C99" i="83" s="1"/>
  <c r="E22" i="83"/>
  <c r="E23" i="83" s="1"/>
  <c r="E18" i="83"/>
  <c r="D29" i="83"/>
  <c r="D31" i="83" s="1"/>
  <c r="D32" i="83" s="1"/>
  <c r="E31" i="88"/>
  <c r="G31" i="87"/>
  <c r="G32" i="87" s="1"/>
  <c r="G28" i="87"/>
  <c r="G30" i="86"/>
  <c r="E29" i="86"/>
  <c r="E21" i="86"/>
  <c r="E16" i="86"/>
  <c r="E10" i="86" s="1"/>
  <c r="E9" i="86" s="1"/>
  <c r="G39" i="86"/>
  <c r="G20" i="86"/>
  <c r="I17" i="86"/>
  <c r="G19" i="86"/>
  <c r="G27" i="86"/>
  <c r="P158" i="86"/>
  <c r="P154" i="86"/>
  <c r="P150" i="86"/>
  <c r="P146" i="86"/>
  <c r="P142" i="86"/>
  <c r="P138" i="86"/>
  <c r="P134" i="86"/>
  <c r="P130" i="86"/>
  <c r="P126" i="86"/>
  <c r="P122" i="86"/>
  <c r="P118" i="86"/>
  <c r="P114" i="86"/>
  <c r="P110" i="86"/>
  <c r="P106" i="86"/>
  <c r="P101" i="86"/>
  <c r="P97" i="86"/>
  <c r="P91" i="86"/>
  <c r="P87" i="86"/>
  <c r="P83" i="86"/>
  <c r="P79" i="86"/>
  <c r="P71" i="86"/>
  <c r="P67" i="86"/>
  <c r="P63" i="86"/>
  <c r="P59" i="86"/>
  <c r="P159" i="86"/>
  <c r="P155" i="86"/>
  <c r="P151" i="86"/>
  <c r="P147" i="86"/>
  <c r="P143" i="86"/>
  <c r="P139" i="86"/>
  <c r="P135" i="86"/>
  <c r="P131" i="86"/>
  <c r="P127" i="86"/>
  <c r="P123" i="86"/>
  <c r="P119" i="86"/>
  <c r="P115" i="86"/>
  <c r="P111" i="86"/>
  <c r="P107" i="86"/>
  <c r="P102" i="86"/>
  <c r="P98" i="86"/>
  <c r="P92" i="86"/>
  <c r="P88" i="86"/>
  <c r="P84" i="86"/>
  <c r="P80" i="86"/>
  <c r="P72" i="86"/>
  <c r="P68" i="86"/>
  <c r="P64" i="86"/>
  <c r="P60" i="86"/>
  <c r="P156" i="86"/>
  <c r="P152" i="86"/>
  <c r="P148" i="86"/>
  <c r="P144" i="86"/>
  <c r="P140" i="86"/>
  <c r="P136" i="86"/>
  <c r="P132" i="86"/>
  <c r="P128" i="86"/>
  <c r="P124" i="86"/>
  <c r="P120" i="86"/>
  <c r="P116" i="86"/>
  <c r="P112" i="86"/>
  <c r="P108" i="86"/>
  <c r="P104" i="86"/>
  <c r="P103" i="86"/>
  <c r="P99" i="86"/>
  <c r="P95" i="86"/>
  <c r="P93" i="86"/>
  <c r="P89" i="86"/>
  <c r="P85" i="86"/>
  <c r="P81" i="86"/>
  <c r="P76" i="86"/>
  <c r="P75" i="86"/>
  <c r="P74" i="86"/>
  <c r="P73" i="86"/>
  <c r="P69" i="86"/>
  <c r="P65" i="86"/>
  <c r="P61" i="86"/>
  <c r="P57" i="86"/>
  <c r="P53" i="86"/>
  <c r="P49" i="86"/>
  <c r="P157" i="86"/>
  <c r="P153" i="86"/>
  <c r="P149" i="86"/>
  <c r="P145" i="86"/>
  <c r="P141" i="86"/>
  <c r="P137" i="86"/>
  <c r="P133" i="86"/>
  <c r="P129" i="86"/>
  <c r="P125" i="86"/>
  <c r="P121" i="86"/>
  <c r="P117" i="86"/>
  <c r="P113" i="86"/>
  <c r="P109" i="86"/>
  <c r="P105" i="86"/>
  <c r="P100" i="86"/>
  <c r="P96" i="86"/>
  <c r="P94" i="86"/>
  <c r="P90" i="86"/>
  <c r="P86" i="86"/>
  <c r="P82" i="86"/>
  <c r="P78" i="86"/>
  <c r="P77" i="86"/>
  <c r="P70" i="86"/>
  <c r="P66" i="86"/>
  <c r="P62" i="86"/>
  <c r="P58" i="86"/>
  <c r="P54" i="86"/>
  <c r="P50" i="86"/>
  <c r="P55" i="86"/>
  <c r="P43" i="86"/>
  <c r="P42" i="86"/>
  <c r="P41" i="86"/>
  <c r="P40" i="86"/>
  <c r="P37" i="86"/>
  <c r="P36" i="86"/>
  <c r="P28" i="86"/>
  <c r="P25" i="86"/>
  <c r="P22" i="86"/>
  <c r="P21" i="86"/>
  <c r="P17" i="86"/>
  <c r="Q17" i="86" s="1"/>
  <c r="P15" i="86"/>
  <c r="P10" i="86"/>
  <c r="P5" i="86"/>
  <c r="Q5" i="86" s="1"/>
  <c r="P52" i="86"/>
  <c r="Q52" i="86" s="1"/>
  <c r="P46" i="86"/>
  <c r="P45" i="86"/>
  <c r="Q45" i="86" s="1"/>
  <c r="P38" i="86"/>
  <c r="Q38" i="86" s="1"/>
  <c r="P30" i="86"/>
  <c r="Q30" i="86" s="1"/>
  <c r="P27" i="86"/>
  <c r="P20" i="86"/>
  <c r="Q20" i="86" s="1"/>
  <c r="P19" i="86"/>
  <c r="Q19" i="86" s="1"/>
  <c r="P14" i="86"/>
  <c r="Q14" i="86" s="1"/>
  <c r="P9" i="86"/>
  <c r="P51" i="86"/>
  <c r="Q51" i="86" s="1"/>
  <c r="P47" i="86"/>
  <c r="Q47" i="86" s="1"/>
  <c r="P32" i="86"/>
  <c r="Q32" i="86" s="1"/>
  <c r="P29" i="86"/>
  <c r="Q29" i="86" s="1"/>
  <c r="P24" i="86"/>
  <c r="Q24" i="86" s="1"/>
  <c r="P18" i="86"/>
  <c r="Q18" i="86" s="1"/>
  <c r="P56" i="86"/>
  <c r="Q56" i="86" s="1"/>
  <c r="P48" i="86"/>
  <c r="Q48" i="86" s="1"/>
  <c r="P44" i="86"/>
  <c r="Q44" i="86" s="1"/>
  <c r="P39" i="86"/>
  <c r="Q39" i="86" s="1"/>
  <c r="P35" i="86"/>
  <c r="Q35" i="86" s="1"/>
  <c r="P34" i="86"/>
  <c r="Q34" i="86" s="1"/>
  <c r="P33" i="86"/>
  <c r="Q33" i="86" s="1"/>
  <c r="P31" i="86"/>
  <c r="Q31" i="86" s="1"/>
  <c r="P26" i="86"/>
  <c r="Q26" i="86" s="1"/>
  <c r="P23" i="86"/>
  <c r="Q23" i="86" s="1"/>
  <c r="P16" i="86"/>
  <c r="Q16" i="86" s="1"/>
  <c r="P13" i="86"/>
  <c r="Q13" i="86" s="1"/>
  <c r="P12" i="86"/>
  <c r="Q12" i="86" s="1"/>
  <c r="P11" i="86"/>
  <c r="Q11" i="86" s="1"/>
  <c r="P8" i="86"/>
  <c r="Q8" i="86" s="1"/>
  <c r="P7" i="86"/>
  <c r="Q7" i="86" s="1"/>
  <c r="P6" i="86"/>
  <c r="Q6" i="86" s="1"/>
  <c r="G25" i="85"/>
  <c r="Q76" i="85"/>
  <c r="Q32" i="85"/>
  <c r="Q112" i="85"/>
  <c r="Q8" i="85"/>
  <c r="Q26" i="85"/>
  <c r="Q20" i="85"/>
  <c r="Q68" i="85"/>
  <c r="Q142" i="85"/>
  <c r="Q15" i="85"/>
  <c r="Q25" i="85"/>
  <c r="Q88" i="85"/>
  <c r="Q38" i="85"/>
  <c r="Q56" i="85"/>
  <c r="Q75" i="85"/>
  <c r="Q95" i="85"/>
  <c r="Q116" i="85"/>
  <c r="Q139" i="85"/>
  <c r="Q28" i="85"/>
  <c r="Q41" i="85"/>
  <c r="Q53" i="85"/>
  <c r="Q74" i="85"/>
  <c r="Q97" i="85"/>
  <c r="Q118" i="85"/>
  <c r="Q136" i="85"/>
  <c r="Q159" i="85"/>
  <c r="Q35" i="85"/>
  <c r="Q55" i="85"/>
  <c r="Q73" i="85"/>
  <c r="Q101" i="85"/>
  <c r="Q115" i="85"/>
  <c r="Q138" i="85"/>
  <c r="Q156" i="85"/>
  <c r="Q62" i="85"/>
  <c r="Q78" i="85"/>
  <c r="Q94" i="85"/>
  <c r="Q109" i="85"/>
  <c r="Q125" i="85"/>
  <c r="Q141" i="85"/>
  <c r="Q157" i="85"/>
  <c r="Q110" i="85"/>
  <c r="Q52" i="85"/>
  <c r="Q119" i="85"/>
  <c r="Q12" i="85"/>
  <c r="Q9" i="85"/>
  <c r="Q27" i="85"/>
  <c r="Q79" i="85"/>
  <c r="Q11" i="85"/>
  <c r="Q17" i="85"/>
  <c r="Q29" i="85"/>
  <c r="Q144" i="85"/>
  <c r="Q45" i="85"/>
  <c r="Q63" i="85"/>
  <c r="Q83" i="85"/>
  <c r="Q102" i="85"/>
  <c r="Q123" i="85"/>
  <c r="Q146" i="85"/>
  <c r="Q36" i="85"/>
  <c r="Q42" i="85"/>
  <c r="Q60" i="85"/>
  <c r="Q80" i="85"/>
  <c r="Q99" i="85"/>
  <c r="Q120" i="85"/>
  <c r="Q143" i="85"/>
  <c r="Q31" i="85"/>
  <c r="Q39" i="85"/>
  <c r="Q57" i="85"/>
  <c r="Q84" i="85"/>
  <c r="Q103" i="85"/>
  <c r="Q122" i="85"/>
  <c r="Q140" i="85"/>
  <c r="Q50" i="85"/>
  <c r="Q66" i="85"/>
  <c r="Q82" i="85"/>
  <c r="Q96" i="85"/>
  <c r="Q113" i="85"/>
  <c r="Q129" i="85"/>
  <c r="Q145" i="85"/>
  <c r="G39" i="85"/>
  <c r="G20" i="85"/>
  <c r="E21" i="85"/>
  <c r="E16" i="85"/>
  <c r="E10" i="85" s="1"/>
  <c r="E9" i="85" s="1"/>
  <c r="G19" i="85"/>
  <c r="I17" i="85"/>
  <c r="Q21" i="85"/>
  <c r="Q30" i="85"/>
  <c r="Q151" i="85"/>
  <c r="Q46" i="85"/>
  <c r="Q65" i="85"/>
  <c r="Q85" i="85"/>
  <c r="Q107" i="85"/>
  <c r="Q130" i="85"/>
  <c r="Q148" i="85"/>
  <c r="Q37" i="85"/>
  <c r="Q43" i="85"/>
  <c r="Q67" i="85"/>
  <c r="Q87" i="85"/>
  <c r="Q104" i="85"/>
  <c r="Q127" i="85"/>
  <c r="Q150" i="85"/>
  <c r="Q33" i="85"/>
  <c r="Q44" i="85"/>
  <c r="Q64" i="85"/>
  <c r="Q91" i="85"/>
  <c r="Q106" i="85"/>
  <c r="Q124" i="85"/>
  <c r="Q147" i="85"/>
  <c r="Q54" i="85"/>
  <c r="Q70" i="85"/>
  <c r="Q86" i="85"/>
  <c r="Q100" i="85"/>
  <c r="Q117" i="85"/>
  <c r="Q133" i="85"/>
  <c r="Q149" i="85"/>
  <c r="P159" i="84"/>
  <c r="P155" i="84"/>
  <c r="P151" i="84"/>
  <c r="P147" i="84"/>
  <c r="P143" i="84"/>
  <c r="P139" i="84"/>
  <c r="P135" i="84"/>
  <c r="P131" i="84"/>
  <c r="P127" i="84"/>
  <c r="P123" i="84"/>
  <c r="P119" i="84"/>
  <c r="P115" i="84"/>
  <c r="P111" i="84"/>
  <c r="P107" i="84"/>
  <c r="P102" i="84"/>
  <c r="P98" i="84"/>
  <c r="P92" i="84"/>
  <c r="P88" i="84"/>
  <c r="P84" i="84"/>
  <c r="P80" i="84"/>
  <c r="P72" i="84"/>
  <c r="P68" i="84"/>
  <c r="P64" i="84"/>
  <c r="P60" i="84"/>
  <c r="P56" i="84"/>
  <c r="P52" i="84"/>
  <c r="P48" i="84"/>
  <c r="P156" i="84"/>
  <c r="P152" i="84"/>
  <c r="P148" i="84"/>
  <c r="P144" i="84"/>
  <c r="P140" i="84"/>
  <c r="P136" i="84"/>
  <c r="P132" i="84"/>
  <c r="P128" i="84"/>
  <c r="P124" i="84"/>
  <c r="P120" i="84"/>
  <c r="P116" i="84"/>
  <c r="P112" i="84"/>
  <c r="P108" i="84"/>
  <c r="P104" i="84"/>
  <c r="P103" i="84"/>
  <c r="P99" i="84"/>
  <c r="P95" i="84"/>
  <c r="P93" i="84"/>
  <c r="P89" i="84"/>
  <c r="P85" i="84"/>
  <c r="P81" i="84"/>
  <c r="P76" i="84"/>
  <c r="P75" i="84"/>
  <c r="P74" i="84"/>
  <c r="P73" i="84"/>
  <c r="P69" i="84"/>
  <c r="P65" i="84"/>
  <c r="P61" i="84"/>
  <c r="P57" i="84"/>
  <c r="P53" i="84"/>
  <c r="P157" i="84"/>
  <c r="P153" i="84"/>
  <c r="P149" i="84"/>
  <c r="P145" i="84"/>
  <c r="P141" i="84"/>
  <c r="P137" i="84"/>
  <c r="P133" i="84"/>
  <c r="P129" i="84"/>
  <c r="P125" i="84"/>
  <c r="P121" i="84"/>
  <c r="P117" i="84"/>
  <c r="P113" i="84"/>
  <c r="P109" i="84"/>
  <c r="P105" i="84"/>
  <c r="P100" i="84"/>
  <c r="P96" i="84"/>
  <c r="P94" i="84"/>
  <c r="P90" i="84"/>
  <c r="P86" i="84"/>
  <c r="P82" i="84"/>
  <c r="P78" i="84"/>
  <c r="P77" i="84"/>
  <c r="P70" i="84"/>
  <c r="P66" i="84"/>
  <c r="P62" i="84"/>
  <c r="P58" i="84"/>
  <c r="P54" i="84"/>
  <c r="P50" i="84"/>
  <c r="P158" i="84"/>
  <c r="P142" i="84"/>
  <c r="P126" i="84"/>
  <c r="P110" i="84"/>
  <c r="P79" i="84"/>
  <c r="P71" i="84"/>
  <c r="P55" i="84"/>
  <c r="P51" i="84"/>
  <c r="P44" i="84"/>
  <c r="P39" i="84"/>
  <c r="P35" i="84"/>
  <c r="P34" i="84"/>
  <c r="P33" i="84"/>
  <c r="P31" i="84"/>
  <c r="P26" i="84"/>
  <c r="P25" i="84"/>
  <c r="P22" i="84"/>
  <c r="P21" i="84"/>
  <c r="P17" i="84"/>
  <c r="P15" i="84"/>
  <c r="P10" i="84"/>
  <c r="P5" i="84"/>
  <c r="Q5" i="84" s="1"/>
  <c r="P49" i="84"/>
  <c r="P23" i="84"/>
  <c r="P146" i="84"/>
  <c r="P130" i="84"/>
  <c r="Q130" i="84" s="1"/>
  <c r="P114" i="84"/>
  <c r="P83" i="84"/>
  <c r="P59" i="84"/>
  <c r="P43" i="84"/>
  <c r="Q43" i="84" s="1"/>
  <c r="P42" i="84"/>
  <c r="P41" i="84"/>
  <c r="P40" i="84"/>
  <c r="P37" i="84"/>
  <c r="Q37" i="84" s="1"/>
  <c r="P36" i="84"/>
  <c r="P28" i="84"/>
  <c r="P20" i="84"/>
  <c r="P19" i="84"/>
  <c r="Q19" i="84" s="1"/>
  <c r="P14" i="84"/>
  <c r="P9" i="84"/>
  <c r="P101" i="84"/>
  <c r="P67" i="84"/>
  <c r="Q67" i="84" s="1"/>
  <c r="P32" i="84"/>
  <c r="P150" i="84"/>
  <c r="P134" i="84"/>
  <c r="P118" i="84"/>
  <c r="Q118" i="84" s="1"/>
  <c r="P97" i="84"/>
  <c r="P87" i="84"/>
  <c r="P63" i="84"/>
  <c r="P46" i="84"/>
  <c r="Q46" i="84" s="1"/>
  <c r="P45" i="84"/>
  <c r="P38" i="84"/>
  <c r="P30" i="84"/>
  <c r="P27" i="84"/>
  <c r="Q27" i="84" s="1"/>
  <c r="P24" i="84"/>
  <c r="P18" i="84"/>
  <c r="P154" i="84"/>
  <c r="P138" i="84"/>
  <c r="Q138" i="84" s="1"/>
  <c r="P122" i="84"/>
  <c r="P106" i="84"/>
  <c r="P91" i="84"/>
  <c r="P47" i="84"/>
  <c r="Q47" i="84" s="1"/>
  <c r="P29" i="84"/>
  <c r="P11" i="84"/>
  <c r="P7" i="84"/>
  <c r="P12" i="84"/>
  <c r="Q12" i="84" s="1"/>
  <c r="P6" i="84"/>
  <c r="P16" i="84"/>
  <c r="P13" i="84"/>
  <c r="P8" i="84"/>
  <c r="Q8" i="84" s="1"/>
  <c r="G16" i="84"/>
  <c r="G27" i="84" s="1"/>
  <c r="G14" i="84"/>
  <c r="E14" i="84" s="1"/>
  <c r="E15" i="84" s="1"/>
  <c r="G29" i="84"/>
  <c r="E25" i="84"/>
  <c r="G15" i="83"/>
  <c r="G24" i="83"/>
  <c r="C9" i="83" s="1"/>
  <c r="G25" i="83" s="1"/>
  <c r="E25" i="83" s="1"/>
  <c r="G13" i="83"/>
  <c r="G43" i="83" s="1"/>
  <c r="G44" i="83" s="1"/>
  <c r="G12" i="83"/>
  <c r="C25" i="83" s="1"/>
  <c r="G9" i="83"/>
  <c r="G29" i="83" l="1"/>
  <c r="E29" i="83" s="1"/>
  <c r="E30" i="83" s="1"/>
  <c r="E31" i="87"/>
  <c r="Q28" i="86"/>
  <c r="Q41" i="86"/>
  <c r="Q50" i="86"/>
  <c r="Q66" i="86"/>
  <c r="Q82" i="86"/>
  <c r="Q96" i="86"/>
  <c r="Q113" i="86"/>
  <c r="Q129" i="86"/>
  <c r="Q145" i="86"/>
  <c r="Q49" i="86"/>
  <c r="Q65" i="86"/>
  <c r="Q75" i="86"/>
  <c r="Q89" i="86"/>
  <c r="Q103" i="86"/>
  <c r="Q116" i="86"/>
  <c r="Q132" i="86"/>
  <c r="Q148" i="86"/>
  <c r="Q64" i="86"/>
  <c r="Q84" i="86"/>
  <c r="Q102" i="86"/>
  <c r="Q119" i="86"/>
  <c r="Q135" i="86"/>
  <c r="Q151" i="86"/>
  <c r="Q63" i="86"/>
  <c r="Q83" i="86"/>
  <c r="Q101" i="86"/>
  <c r="Q118" i="86"/>
  <c r="Q134" i="86"/>
  <c r="Q150" i="86"/>
  <c r="G46" i="86"/>
  <c r="G42" i="86"/>
  <c r="Q21" i="86"/>
  <c r="Q36" i="86"/>
  <c r="Q42" i="86"/>
  <c r="Q54" i="86"/>
  <c r="Q70" i="86"/>
  <c r="Q86" i="86"/>
  <c r="Q100" i="86"/>
  <c r="Q117" i="86"/>
  <c r="Q133" i="86"/>
  <c r="Q149" i="86"/>
  <c r="Q53" i="86"/>
  <c r="Q69" i="86"/>
  <c r="Q76" i="86"/>
  <c r="Q93" i="86"/>
  <c r="Q104" i="86"/>
  <c r="Q120" i="86"/>
  <c r="Q136" i="86"/>
  <c r="Q152" i="86"/>
  <c r="Q68" i="86"/>
  <c r="Q88" i="86"/>
  <c r="Q107" i="86"/>
  <c r="Q123" i="86"/>
  <c r="Q139" i="86"/>
  <c r="Q155" i="86"/>
  <c r="Q67" i="86"/>
  <c r="Q87" i="86"/>
  <c r="Q106" i="86"/>
  <c r="Q122" i="86"/>
  <c r="Q138" i="86"/>
  <c r="Q154" i="86"/>
  <c r="Q10" i="86"/>
  <c r="Q22" i="86"/>
  <c r="Q37" i="86"/>
  <c r="Q43" i="86"/>
  <c r="Q58" i="86"/>
  <c r="Q77" i="86"/>
  <c r="Q90" i="86"/>
  <c r="Q105" i="86"/>
  <c r="Q121" i="86"/>
  <c r="Q137" i="86"/>
  <c r="Q153" i="86"/>
  <c r="Q57" i="86"/>
  <c r="Q73" i="86"/>
  <c r="Q81" i="86"/>
  <c r="Q95" i="86"/>
  <c r="Q108" i="86"/>
  <c r="Q124" i="86"/>
  <c r="Q140" i="86"/>
  <c r="Q156" i="86"/>
  <c r="Q72" i="86"/>
  <c r="Q92" i="86"/>
  <c r="Q111" i="86"/>
  <c r="Q127" i="86"/>
  <c r="Q143" i="86"/>
  <c r="Q159" i="86"/>
  <c r="Q71" i="86"/>
  <c r="Q91" i="86"/>
  <c r="Q110" i="86"/>
  <c r="Q126" i="86"/>
  <c r="Q142" i="86"/>
  <c r="Q158" i="86"/>
  <c r="G26" i="86"/>
  <c r="C17" i="86"/>
  <c r="Q9" i="86"/>
  <c r="Q27" i="86"/>
  <c r="Q46" i="86"/>
  <c r="Q15" i="86"/>
  <c r="Q25" i="86"/>
  <c r="Q40" i="86"/>
  <c r="Q55" i="86"/>
  <c r="Q62" i="86"/>
  <c r="Q78" i="86"/>
  <c r="Q94" i="86"/>
  <c r="Q109" i="86"/>
  <c r="Q125" i="86"/>
  <c r="Q141" i="86"/>
  <c r="Q157" i="86"/>
  <c r="Q61" i="86"/>
  <c r="Q74" i="86"/>
  <c r="Q85" i="86"/>
  <c r="Q99" i="86"/>
  <c r="Q112" i="86"/>
  <c r="Q128" i="86"/>
  <c r="Q144" i="86"/>
  <c r="Q60" i="86"/>
  <c r="Q80" i="86"/>
  <c r="Q98" i="86"/>
  <c r="Q115" i="86"/>
  <c r="Q131" i="86"/>
  <c r="Q147" i="86"/>
  <c r="Q59" i="86"/>
  <c r="Q79" i="86"/>
  <c r="Q97" i="86"/>
  <c r="Q114" i="86"/>
  <c r="Q130" i="86"/>
  <c r="Q146" i="86"/>
  <c r="G42" i="85"/>
  <c r="G46" i="85"/>
  <c r="G29" i="85"/>
  <c r="G27" i="85"/>
  <c r="E25" i="85"/>
  <c r="G26" i="85"/>
  <c r="C17" i="85"/>
  <c r="Q39" i="84"/>
  <c r="Q58" i="84"/>
  <c r="Q105" i="84"/>
  <c r="Q137" i="84"/>
  <c r="Q61" i="84"/>
  <c r="Q85" i="84"/>
  <c r="Q99" i="84"/>
  <c r="Q128" i="84"/>
  <c r="Q144" i="84"/>
  <c r="Q48" i="84"/>
  <c r="Q64" i="84"/>
  <c r="Q102" i="84"/>
  <c r="Q119" i="84"/>
  <c r="Q135" i="84"/>
  <c r="Q151" i="84"/>
  <c r="Q13" i="84"/>
  <c r="Q7" i="84"/>
  <c r="Q91" i="84"/>
  <c r="Q154" i="84"/>
  <c r="Q30" i="84"/>
  <c r="Q63" i="84"/>
  <c r="Q134" i="84"/>
  <c r="Q101" i="84"/>
  <c r="Q20" i="84"/>
  <c r="Q40" i="84"/>
  <c r="Q59" i="84"/>
  <c r="Q146" i="84"/>
  <c r="Q10" i="84"/>
  <c r="Q22" i="84"/>
  <c r="Q33" i="84"/>
  <c r="Q44" i="84"/>
  <c r="Q79" i="84"/>
  <c r="Q158" i="84"/>
  <c r="Q62" i="84"/>
  <c r="Q78" i="84"/>
  <c r="Q94" i="84"/>
  <c r="Q109" i="84"/>
  <c r="Q125" i="84"/>
  <c r="Q141" i="84"/>
  <c r="Q157" i="84"/>
  <c r="Q65" i="84"/>
  <c r="Q75" i="84"/>
  <c r="Q89" i="84"/>
  <c r="Q103" i="84"/>
  <c r="Q116" i="84"/>
  <c r="Q132" i="84"/>
  <c r="Q148" i="84"/>
  <c r="Q52" i="84"/>
  <c r="Q68" i="84"/>
  <c r="Q88" i="84"/>
  <c r="Q107" i="84"/>
  <c r="Q123" i="84"/>
  <c r="Q139" i="84"/>
  <c r="Q155" i="84"/>
  <c r="G30" i="84"/>
  <c r="E29" i="84"/>
  <c r="Q31" i="84"/>
  <c r="Q71" i="84"/>
  <c r="Q142" i="84"/>
  <c r="Q90" i="84"/>
  <c r="Q121" i="84"/>
  <c r="Q153" i="84"/>
  <c r="Q74" i="84"/>
  <c r="Q112" i="84"/>
  <c r="Q84" i="84"/>
  <c r="Q11" i="84"/>
  <c r="Q18" i="84"/>
  <c r="Q87" i="84"/>
  <c r="Q150" i="84"/>
  <c r="Q9" i="84"/>
  <c r="Q28" i="84"/>
  <c r="Q41" i="84"/>
  <c r="Q83" i="84"/>
  <c r="Q23" i="84"/>
  <c r="Q15" i="84"/>
  <c r="Q25" i="84"/>
  <c r="Q34" i="84"/>
  <c r="Q51" i="84"/>
  <c r="Q110" i="84"/>
  <c r="Q50" i="84"/>
  <c r="Q66" i="84"/>
  <c r="Q82" i="84"/>
  <c r="Q96" i="84"/>
  <c r="Q113" i="84"/>
  <c r="Q129" i="84"/>
  <c r="Q145" i="84"/>
  <c r="Q53" i="84"/>
  <c r="Q69" i="84"/>
  <c r="Q76" i="84"/>
  <c r="Q93" i="84"/>
  <c r="Q104" i="84"/>
  <c r="Q120" i="84"/>
  <c r="Q136" i="84"/>
  <c r="Q152" i="84"/>
  <c r="Q56" i="84"/>
  <c r="Q72" i="84"/>
  <c r="Q92" i="84"/>
  <c r="Q111" i="84"/>
  <c r="Q127" i="84"/>
  <c r="Q143" i="84"/>
  <c r="Q159" i="84"/>
  <c r="Q21" i="84"/>
  <c r="Q77" i="84"/>
  <c r="Q16" i="84"/>
  <c r="Q106" i="84"/>
  <c r="Q38" i="84"/>
  <c r="G39" i="84"/>
  <c r="E21" i="84"/>
  <c r="E16" i="84"/>
  <c r="E10" i="84" s="1"/>
  <c r="E9" i="84" s="1"/>
  <c r="I17" i="84"/>
  <c r="G20" i="84"/>
  <c r="G19" i="84"/>
  <c r="Q6" i="84"/>
  <c r="Q29" i="84"/>
  <c r="Q122" i="84"/>
  <c r="Q24" i="84"/>
  <c r="Q45" i="84"/>
  <c r="Q97" i="84"/>
  <c r="Q32" i="84"/>
  <c r="Q14" i="84"/>
  <c r="Q36" i="84"/>
  <c r="Q42" i="84"/>
  <c r="Q114" i="84"/>
  <c r="Q49" i="84"/>
  <c r="Q17" i="84"/>
  <c r="Q26" i="84"/>
  <c r="Q35" i="84"/>
  <c r="Q55" i="84"/>
  <c r="Q126" i="84"/>
  <c r="Q54" i="84"/>
  <c r="Q70" i="84"/>
  <c r="Q86" i="84"/>
  <c r="Q100" i="84"/>
  <c r="Q117" i="84"/>
  <c r="Q133" i="84"/>
  <c r="Q149" i="84"/>
  <c r="Q57" i="84"/>
  <c r="Q73" i="84"/>
  <c r="Q81" i="84"/>
  <c r="Q95" i="84"/>
  <c r="Q108" i="84"/>
  <c r="Q124" i="84"/>
  <c r="Q140" i="84"/>
  <c r="Q156" i="84"/>
  <c r="Q60" i="84"/>
  <c r="Q80" i="84"/>
  <c r="Q98" i="84"/>
  <c r="Q115" i="84"/>
  <c r="Q131" i="84"/>
  <c r="Q147" i="84"/>
  <c r="G16" i="83"/>
  <c r="G14" i="83"/>
  <c r="E14" i="83" s="1"/>
  <c r="E15" i="83" s="1"/>
  <c r="G30" i="83" l="1"/>
  <c r="G31" i="86"/>
  <c r="G32" i="86" s="1"/>
  <c r="G28" i="86"/>
  <c r="G30" i="85"/>
  <c r="E29" i="85"/>
  <c r="G31" i="85"/>
  <c r="G32" i="85" s="1"/>
  <c r="G28" i="85"/>
  <c r="G42" i="84"/>
  <c r="G46" i="84"/>
  <c r="C17" i="84"/>
  <c r="G26" i="84"/>
  <c r="G39" i="83"/>
  <c r="E21" i="83"/>
  <c r="G20" i="83"/>
  <c r="E16" i="83"/>
  <c r="E10" i="83" s="1"/>
  <c r="E9" i="83" s="1"/>
  <c r="G27" i="83"/>
  <c r="G19" i="83"/>
  <c r="E31" i="86" l="1"/>
  <c r="E31" i="85"/>
  <c r="G28" i="84"/>
  <c r="G31" i="84"/>
  <c r="G32" i="84" s="1"/>
  <c r="G42" i="83"/>
  <c r="G46" i="83"/>
  <c r="C12" i="83"/>
  <c r="G26" i="83"/>
  <c r="E31" i="84" l="1"/>
  <c r="G31" i="83"/>
  <c r="G28" i="83"/>
  <c r="G32" i="83" l="1"/>
  <c r="E32" i="83" s="1"/>
  <c r="E31" i="83"/>
  <c r="E19" i="78"/>
  <c r="E19" i="77" l="1"/>
  <c r="D25" i="76"/>
  <c r="E19" i="76"/>
  <c r="C23" i="76"/>
  <c r="C21" i="76"/>
  <c r="D95" i="76"/>
  <c r="G78" i="76"/>
  <c r="G75" i="76"/>
  <c r="G76" i="76" s="1"/>
  <c r="G74" i="76"/>
  <c r="L45" i="76"/>
  <c r="J45" i="76"/>
  <c r="L44" i="76"/>
  <c r="G41" i="76"/>
  <c r="G45" i="76" s="1"/>
  <c r="M39" i="76"/>
  <c r="K39" i="76"/>
  <c r="G34" i="76"/>
  <c r="D28" i="76"/>
  <c r="D29" i="76" s="1"/>
  <c r="D31" i="76" s="1"/>
  <c r="D32" i="76" s="1"/>
  <c r="E27" i="76"/>
  <c r="D27" i="76"/>
  <c r="C24" i="76"/>
  <c r="G23" i="76"/>
  <c r="G22" i="76"/>
  <c r="G18" i="76"/>
  <c r="C95" i="76" s="1"/>
  <c r="C104" i="76" s="1"/>
  <c r="E18" i="76"/>
  <c r="M17" i="76"/>
  <c r="E17" i="76"/>
  <c r="G15" i="76"/>
  <c r="G11" i="76"/>
  <c r="D11" i="76"/>
  <c r="G10" i="76"/>
  <c r="G37" i="76" s="1"/>
  <c r="M9" i="76"/>
  <c r="G8" i="76"/>
  <c r="G9" i="76" s="1"/>
  <c r="K7" i="76"/>
  <c r="K6" i="76"/>
  <c r="E6" i="76"/>
  <c r="O5" i="76"/>
  <c r="O6" i="76" s="1"/>
  <c r="O7" i="76" s="1"/>
  <c r="O8" i="76" s="1"/>
  <c r="O9" i="76" s="1"/>
  <c r="O10" i="76" s="1"/>
  <c r="O11" i="76" s="1"/>
  <c r="O12" i="76" s="1"/>
  <c r="O13" i="76" s="1"/>
  <c r="O14" i="76" s="1"/>
  <c r="O15" i="76" s="1"/>
  <c r="O16" i="76" s="1"/>
  <c r="O17" i="76" s="1"/>
  <c r="O18" i="76" s="1"/>
  <c r="D4" i="76"/>
  <c r="G3" i="76"/>
  <c r="E3" i="76"/>
  <c r="G2" i="76"/>
  <c r="F2" i="76"/>
  <c r="P1" i="76"/>
  <c r="O1" i="76"/>
  <c r="N1" i="76"/>
  <c r="K1" i="76"/>
  <c r="K2" i="76" s="1"/>
  <c r="E1" i="76"/>
  <c r="F1" i="76" s="1"/>
  <c r="D1" i="76"/>
  <c r="O19" i="76" l="1"/>
  <c r="O20" i="76" s="1"/>
  <c r="P18" i="76"/>
  <c r="P8" i="76"/>
  <c r="P19" i="76"/>
  <c r="P6" i="76"/>
  <c r="P17" i="76"/>
  <c r="P15" i="76"/>
  <c r="P10" i="76"/>
  <c r="P5" i="76"/>
  <c r="Q5" i="76" s="1"/>
  <c r="P9" i="76"/>
  <c r="P14" i="76"/>
  <c r="P12" i="76"/>
  <c r="P7" i="76"/>
  <c r="P11" i="76"/>
  <c r="P13" i="76"/>
  <c r="P16" i="76"/>
  <c r="G35" i="76"/>
  <c r="G24" i="76"/>
  <c r="C14" i="76" s="1"/>
  <c r="G13" i="76"/>
  <c r="G43" i="76"/>
  <c r="G44" i="76" s="1"/>
  <c r="G12" i="76"/>
  <c r="C30" i="76" s="1"/>
  <c r="I18" i="76"/>
  <c r="C23" i="78"/>
  <c r="C21" i="78"/>
  <c r="C95" i="78" s="1"/>
  <c r="C104" i="78" s="1"/>
  <c r="D95" i="78"/>
  <c r="G78" i="78"/>
  <c r="G75" i="78"/>
  <c r="G76" i="78" s="1"/>
  <c r="G74" i="78"/>
  <c r="L45" i="78"/>
  <c r="J45" i="78"/>
  <c r="L44" i="78"/>
  <c r="G41" i="78"/>
  <c r="G45" i="78" s="1"/>
  <c r="M39" i="78"/>
  <c r="K39" i="78"/>
  <c r="G34" i="78"/>
  <c r="D28" i="78"/>
  <c r="E27" i="78"/>
  <c r="D27" i="78"/>
  <c r="D29" i="78" s="1"/>
  <c r="D31" i="78" s="1"/>
  <c r="D32" i="78" s="1"/>
  <c r="G23" i="78"/>
  <c r="G22" i="78"/>
  <c r="G35" i="78" s="1"/>
  <c r="I18" i="78"/>
  <c r="G18" i="78"/>
  <c r="C24" i="78" s="1"/>
  <c r="E18" i="78"/>
  <c r="M17" i="78"/>
  <c r="E17" i="78"/>
  <c r="G11" i="78"/>
  <c r="D11" i="78"/>
  <c r="G10" i="78"/>
  <c r="G37" i="78" s="1"/>
  <c r="M9" i="78"/>
  <c r="G9" i="78"/>
  <c r="G8" i="78"/>
  <c r="G13" i="78" s="1"/>
  <c r="K7" i="78"/>
  <c r="O6" i="78"/>
  <c r="O7" i="78" s="1"/>
  <c r="O8" i="78" s="1"/>
  <c r="O9" i="78" s="1"/>
  <c r="O10" i="78" s="1"/>
  <c r="O11" i="78" s="1"/>
  <c r="O12" i="78" s="1"/>
  <c r="O13" i="78" s="1"/>
  <c r="O14" i="78" s="1"/>
  <c r="O15" i="78" s="1"/>
  <c r="O16" i="78" s="1"/>
  <c r="O17" i="78" s="1"/>
  <c r="O18" i="78" s="1"/>
  <c r="O19" i="78" s="1"/>
  <c r="O20" i="78" s="1"/>
  <c r="O21" i="78" s="1"/>
  <c r="O22" i="78" s="1"/>
  <c r="O23" i="78" s="1"/>
  <c r="O24" i="78" s="1"/>
  <c r="O25" i="78" s="1"/>
  <c r="O26" i="78" s="1"/>
  <c r="O27" i="78" s="1"/>
  <c r="O28" i="78" s="1"/>
  <c r="O29" i="78" s="1"/>
  <c r="O30" i="78" s="1"/>
  <c r="O31" i="78" s="1"/>
  <c r="O32" i="78" s="1"/>
  <c r="O33" i="78" s="1"/>
  <c r="O34" i="78" s="1"/>
  <c r="O35" i="78" s="1"/>
  <c r="O36" i="78" s="1"/>
  <c r="O37" i="78" s="1"/>
  <c r="O38" i="78" s="1"/>
  <c r="O39" i="78" s="1"/>
  <c r="O40" i="78" s="1"/>
  <c r="O41" i="78" s="1"/>
  <c r="O42" i="78" s="1"/>
  <c r="O43" i="78" s="1"/>
  <c r="O44" i="78" s="1"/>
  <c r="O45" i="78" s="1"/>
  <c r="O46" i="78" s="1"/>
  <c r="O47" i="78" s="1"/>
  <c r="O48" i="78" s="1"/>
  <c r="O49" i="78" s="1"/>
  <c r="O50" i="78" s="1"/>
  <c r="O51" i="78" s="1"/>
  <c r="O52" i="78" s="1"/>
  <c r="O53" i="78" s="1"/>
  <c r="O54" i="78" s="1"/>
  <c r="O55" i="78" s="1"/>
  <c r="O56" i="78" s="1"/>
  <c r="O57" i="78" s="1"/>
  <c r="O58" i="78" s="1"/>
  <c r="O59" i="78" s="1"/>
  <c r="O60" i="78" s="1"/>
  <c r="O61" i="78" s="1"/>
  <c r="O62" i="78" s="1"/>
  <c r="O63" i="78" s="1"/>
  <c r="O64" i="78" s="1"/>
  <c r="O65" i="78" s="1"/>
  <c r="O66" i="78" s="1"/>
  <c r="O67" i="78" s="1"/>
  <c r="O68" i="78" s="1"/>
  <c r="O69" i="78" s="1"/>
  <c r="O70" i="78" s="1"/>
  <c r="O71" i="78" s="1"/>
  <c r="O72" i="78" s="1"/>
  <c r="O73" i="78" s="1"/>
  <c r="O74" i="78" s="1"/>
  <c r="O75" i="78" s="1"/>
  <c r="O76" i="78" s="1"/>
  <c r="O77" i="78" s="1"/>
  <c r="O78" i="78" s="1"/>
  <c r="O79" i="78" s="1"/>
  <c r="O80" i="78" s="1"/>
  <c r="O81" i="78" s="1"/>
  <c r="O82" i="78" s="1"/>
  <c r="O83" i="78" s="1"/>
  <c r="O84" i="78" s="1"/>
  <c r="O85" i="78" s="1"/>
  <c r="O86" i="78" s="1"/>
  <c r="O87" i="78" s="1"/>
  <c r="O88" i="78" s="1"/>
  <c r="O89" i="78" s="1"/>
  <c r="O90" i="78" s="1"/>
  <c r="O91" i="78" s="1"/>
  <c r="O92" i="78" s="1"/>
  <c r="O93" i="78" s="1"/>
  <c r="O94" i="78" s="1"/>
  <c r="O95" i="78" s="1"/>
  <c r="O96" i="78" s="1"/>
  <c r="O97" i="78" s="1"/>
  <c r="O98" i="78" s="1"/>
  <c r="O99" i="78" s="1"/>
  <c r="O100" i="78" s="1"/>
  <c r="O101" i="78" s="1"/>
  <c r="O102" i="78" s="1"/>
  <c r="O103" i="78" s="1"/>
  <c r="O104" i="78" s="1"/>
  <c r="O105" i="78" s="1"/>
  <c r="O106" i="78" s="1"/>
  <c r="O107" i="78" s="1"/>
  <c r="O108" i="78" s="1"/>
  <c r="O109" i="78" s="1"/>
  <c r="O110" i="78" s="1"/>
  <c r="O111" i="78" s="1"/>
  <c r="O112" i="78" s="1"/>
  <c r="O113" i="78" s="1"/>
  <c r="O114" i="78" s="1"/>
  <c r="O115" i="78" s="1"/>
  <c r="O116" i="78" s="1"/>
  <c r="O117" i="78" s="1"/>
  <c r="O118" i="78" s="1"/>
  <c r="O119" i="78" s="1"/>
  <c r="O120" i="78" s="1"/>
  <c r="O121" i="78" s="1"/>
  <c r="O122" i="78" s="1"/>
  <c r="O123" i="78" s="1"/>
  <c r="O124" i="78" s="1"/>
  <c r="O125" i="78" s="1"/>
  <c r="O126" i="78" s="1"/>
  <c r="O127" i="78" s="1"/>
  <c r="O128" i="78" s="1"/>
  <c r="O129" i="78" s="1"/>
  <c r="O130" i="78" s="1"/>
  <c r="O131" i="78" s="1"/>
  <c r="O132" i="78" s="1"/>
  <c r="O133" i="78" s="1"/>
  <c r="O134" i="78" s="1"/>
  <c r="O135" i="78" s="1"/>
  <c r="O136" i="78" s="1"/>
  <c r="O137" i="78" s="1"/>
  <c r="O138" i="78" s="1"/>
  <c r="O139" i="78" s="1"/>
  <c r="O140" i="78" s="1"/>
  <c r="O141" i="78" s="1"/>
  <c r="O142" i="78" s="1"/>
  <c r="O143" i="78" s="1"/>
  <c r="O144" i="78" s="1"/>
  <c r="O145" i="78" s="1"/>
  <c r="O146" i="78" s="1"/>
  <c r="O147" i="78" s="1"/>
  <c r="O148" i="78" s="1"/>
  <c r="O149" i="78" s="1"/>
  <c r="O150" i="78" s="1"/>
  <c r="O151" i="78" s="1"/>
  <c r="O152" i="78" s="1"/>
  <c r="O153" i="78" s="1"/>
  <c r="O154" i="78" s="1"/>
  <c r="O155" i="78" s="1"/>
  <c r="O156" i="78" s="1"/>
  <c r="O157" i="78" s="1"/>
  <c r="O158" i="78" s="1"/>
  <c r="O159" i="78" s="1"/>
  <c r="K6" i="78"/>
  <c r="E6" i="78"/>
  <c r="O5" i="78"/>
  <c r="D4" i="78"/>
  <c r="G3" i="78"/>
  <c r="E3" i="78"/>
  <c r="G2" i="78"/>
  <c r="F2" i="78"/>
  <c r="P1" i="78"/>
  <c r="O1" i="78"/>
  <c r="N1" i="78"/>
  <c r="F1" i="78"/>
  <c r="E1" i="78"/>
  <c r="D1" i="78"/>
  <c r="Q12" i="76" l="1"/>
  <c r="Q13" i="76"/>
  <c r="Q14" i="76"/>
  <c r="Q15" i="76"/>
  <c r="Q7" i="76"/>
  <c r="Q6" i="76"/>
  <c r="Q16" i="76"/>
  <c r="Q10" i="76"/>
  <c r="Q11" i="76"/>
  <c r="Q9" i="76"/>
  <c r="Q19" i="76"/>
  <c r="G25" i="76"/>
  <c r="G16" i="76"/>
  <c r="G14" i="76"/>
  <c r="E14" i="76" s="1"/>
  <c r="E15" i="76" s="1"/>
  <c r="Q17" i="76"/>
  <c r="Q8" i="76"/>
  <c r="Q18" i="76"/>
  <c r="P20" i="76"/>
  <c r="Q20" i="76" s="1"/>
  <c r="O21" i="76"/>
  <c r="P157" i="78"/>
  <c r="P153" i="78"/>
  <c r="P149" i="78"/>
  <c r="P145" i="78"/>
  <c r="Q145" i="78" s="1"/>
  <c r="P141" i="78"/>
  <c r="P137" i="78"/>
  <c r="P133" i="78"/>
  <c r="P129" i="78"/>
  <c r="Q129" i="78" s="1"/>
  <c r="P125" i="78"/>
  <c r="P121" i="78"/>
  <c r="P117" i="78"/>
  <c r="P113" i="78"/>
  <c r="Q113" i="78" s="1"/>
  <c r="P109" i="78"/>
  <c r="P105" i="78"/>
  <c r="P100" i="78"/>
  <c r="P96" i="78"/>
  <c r="Q96" i="78" s="1"/>
  <c r="P94" i="78"/>
  <c r="P90" i="78"/>
  <c r="P86" i="78"/>
  <c r="P82" i="78"/>
  <c r="Q82" i="78" s="1"/>
  <c r="P78" i="78"/>
  <c r="P77" i="78"/>
  <c r="P70" i="78"/>
  <c r="P66" i="78"/>
  <c r="Q66" i="78" s="1"/>
  <c r="P62" i="78"/>
  <c r="P58" i="78"/>
  <c r="P54" i="78"/>
  <c r="P50" i="78"/>
  <c r="Q50" i="78" s="1"/>
  <c r="P156" i="78"/>
  <c r="P154" i="78"/>
  <c r="P147" i="78"/>
  <c r="P140" i="78"/>
  <c r="Q140" i="78" s="1"/>
  <c r="P138" i="78"/>
  <c r="P131" i="78"/>
  <c r="P124" i="78"/>
  <c r="P122" i="78"/>
  <c r="Q122" i="78" s="1"/>
  <c r="P115" i="78"/>
  <c r="P108" i="78"/>
  <c r="P106" i="78"/>
  <c r="P103" i="78"/>
  <c r="Q103" i="78" s="1"/>
  <c r="P101" i="78"/>
  <c r="P93" i="78"/>
  <c r="P91" i="78"/>
  <c r="P84" i="78"/>
  <c r="Q84" i="78" s="1"/>
  <c r="P73" i="78"/>
  <c r="P71" i="78"/>
  <c r="P64" i="78"/>
  <c r="P57" i="78"/>
  <c r="Q57" i="78" s="1"/>
  <c r="P55" i="78"/>
  <c r="P48" i="78"/>
  <c r="P44" i="78"/>
  <c r="P39" i="78"/>
  <c r="Q39" i="78" s="1"/>
  <c r="P35" i="78"/>
  <c r="P34" i="78"/>
  <c r="P33" i="78"/>
  <c r="P31" i="78"/>
  <c r="Q31" i="78" s="1"/>
  <c r="P159" i="78"/>
  <c r="P152" i="78"/>
  <c r="P150" i="78"/>
  <c r="P143" i="78"/>
  <c r="Q143" i="78" s="1"/>
  <c r="P136" i="78"/>
  <c r="P134" i="78"/>
  <c r="P127" i="78"/>
  <c r="P120" i="78"/>
  <c r="Q120" i="78" s="1"/>
  <c r="P118" i="78"/>
  <c r="P111" i="78"/>
  <c r="P104" i="78"/>
  <c r="P99" i="78"/>
  <c r="Q99" i="78" s="1"/>
  <c r="P97" i="78"/>
  <c r="P89" i="78"/>
  <c r="P87" i="78"/>
  <c r="P80" i="78"/>
  <c r="Q80" i="78" s="1"/>
  <c r="P74" i="78"/>
  <c r="P69" i="78"/>
  <c r="P67" i="78"/>
  <c r="P60" i="78"/>
  <c r="Q60" i="78" s="1"/>
  <c r="P53" i="78"/>
  <c r="P51" i="78"/>
  <c r="P43" i="78"/>
  <c r="P42" i="78"/>
  <c r="Q42" i="78" s="1"/>
  <c r="P41" i="78"/>
  <c r="P40" i="78"/>
  <c r="P37" i="78"/>
  <c r="P36" i="78"/>
  <c r="Q36" i="78" s="1"/>
  <c r="P28" i="78"/>
  <c r="P155" i="78"/>
  <c r="P148" i="78"/>
  <c r="P146" i="78"/>
  <c r="Q146" i="78" s="1"/>
  <c r="P139" i="78"/>
  <c r="P132" i="78"/>
  <c r="P130" i="78"/>
  <c r="P123" i="78"/>
  <c r="Q123" i="78" s="1"/>
  <c r="P116" i="78"/>
  <c r="P114" i="78"/>
  <c r="P107" i="78"/>
  <c r="P102" i="78"/>
  <c r="Q102" i="78" s="1"/>
  <c r="P95" i="78"/>
  <c r="P92" i="78"/>
  <c r="P85" i="78"/>
  <c r="P83" i="78"/>
  <c r="Q83" i="78" s="1"/>
  <c r="P75" i="78"/>
  <c r="P72" i="78"/>
  <c r="P65" i="78"/>
  <c r="P63" i="78"/>
  <c r="Q63" i="78" s="1"/>
  <c r="P56" i="78"/>
  <c r="P49" i="78"/>
  <c r="P46" i="78"/>
  <c r="P45" i="78"/>
  <c r="Q45" i="78" s="1"/>
  <c r="P38" i="78"/>
  <c r="P158" i="78"/>
  <c r="P151" i="78"/>
  <c r="P144" i="78"/>
  <c r="Q144" i="78" s="1"/>
  <c r="P88" i="78"/>
  <c r="P81" i="78"/>
  <c r="P24" i="78"/>
  <c r="P16" i="78"/>
  <c r="Q16" i="78" s="1"/>
  <c r="P13" i="78"/>
  <c r="P12" i="78"/>
  <c r="P11" i="78"/>
  <c r="P8" i="78"/>
  <c r="Q8" i="78" s="1"/>
  <c r="P7" i="78"/>
  <c r="P6" i="78"/>
  <c r="P5" i="78"/>
  <c r="Q5" i="78" s="1"/>
  <c r="P18" i="78"/>
  <c r="Q18" i="78" s="1"/>
  <c r="P142" i="78"/>
  <c r="P135" i="78"/>
  <c r="P128" i="78"/>
  <c r="Q128" i="78" s="1"/>
  <c r="P79" i="78"/>
  <c r="Q79" i="78" s="1"/>
  <c r="P68" i="78"/>
  <c r="P61" i="78"/>
  <c r="P47" i="78"/>
  <c r="Q47" i="78" s="1"/>
  <c r="P27" i="78"/>
  <c r="Q27" i="78" s="1"/>
  <c r="P23" i="78"/>
  <c r="P17" i="78"/>
  <c r="P15" i="78"/>
  <c r="Q15" i="78" s="1"/>
  <c r="P10" i="78"/>
  <c r="Q10" i="78" s="1"/>
  <c r="P30" i="78"/>
  <c r="P26" i="78"/>
  <c r="P126" i="78"/>
  <c r="Q126" i="78" s="1"/>
  <c r="P119" i="78"/>
  <c r="Q119" i="78" s="1"/>
  <c r="P112" i="78"/>
  <c r="P98" i="78"/>
  <c r="P59" i="78"/>
  <c r="Q59" i="78" s="1"/>
  <c r="P52" i="78"/>
  <c r="Q52" i="78" s="1"/>
  <c r="P32" i="78"/>
  <c r="Q32" i="78" s="1"/>
  <c r="P29" i="78"/>
  <c r="Q29" i="78" s="1"/>
  <c r="P22" i="78"/>
  <c r="Q22" i="78" s="1"/>
  <c r="P21" i="78"/>
  <c r="Q21" i="78" s="1"/>
  <c r="P14" i="78"/>
  <c r="Q14" i="78" s="1"/>
  <c r="P9" i="78"/>
  <c r="Q9" i="78" s="1"/>
  <c r="P110" i="78"/>
  <c r="Q110" i="78" s="1"/>
  <c r="P76" i="78"/>
  <c r="Q76" i="78" s="1"/>
  <c r="P25" i="78"/>
  <c r="Q25" i="78" s="1"/>
  <c r="P20" i="78"/>
  <c r="Q20" i="78" s="1"/>
  <c r="P19" i="78"/>
  <c r="Q19" i="78" s="1"/>
  <c r="G14" i="78"/>
  <c r="E14" i="78" s="1"/>
  <c r="E15" i="78" s="1"/>
  <c r="G16" i="78"/>
  <c r="G12" i="78"/>
  <c r="C30" i="78" s="1"/>
  <c r="G24" i="78"/>
  <c r="C14" i="78" s="1"/>
  <c r="G43" i="78"/>
  <c r="G44" i="78" s="1"/>
  <c r="G15" i="78"/>
  <c r="K1" i="78"/>
  <c r="K2" i="78" s="1"/>
  <c r="D4" i="77"/>
  <c r="D95" i="77"/>
  <c r="G78" i="77"/>
  <c r="G75" i="77"/>
  <c r="G76" i="77" s="1"/>
  <c r="G74" i="77"/>
  <c r="L45" i="77"/>
  <c r="J45" i="77"/>
  <c r="L44" i="77"/>
  <c r="G41" i="77"/>
  <c r="G45" i="77" s="1"/>
  <c r="M39" i="77"/>
  <c r="K39" i="77"/>
  <c r="G34" i="77"/>
  <c r="D28" i="77"/>
  <c r="E27" i="77"/>
  <c r="D27" i="77"/>
  <c r="D29" i="77" s="1"/>
  <c r="D31" i="77" s="1"/>
  <c r="D32" i="77" s="1"/>
  <c r="G23" i="77"/>
  <c r="G22" i="77"/>
  <c r="G35" i="77" s="1"/>
  <c r="G18" i="77"/>
  <c r="C23" i="77" s="1"/>
  <c r="M17" i="77"/>
  <c r="E17" i="77"/>
  <c r="G11" i="77"/>
  <c r="D11" i="77"/>
  <c r="G10" i="77"/>
  <c r="G15" i="77" s="1"/>
  <c r="M9" i="77"/>
  <c r="G8" i="77"/>
  <c r="G13" i="77" s="1"/>
  <c r="K7" i="77"/>
  <c r="K6" i="77"/>
  <c r="E6" i="77"/>
  <c r="O5" i="77"/>
  <c r="O6" i="77" s="1"/>
  <c r="O7" i="77" s="1"/>
  <c r="O8" i="77" s="1"/>
  <c r="O9" i="77" s="1"/>
  <c r="O10" i="77" s="1"/>
  <c r="O11" i="77" s="1"/>
  <c r="O12" i="77" s="1"/>
  <c r="O13" i="77" s="1"/>
  <c r="O14" i="77" s="1"/>
  <c r="O15" i="77" s="1"/>
  <c r="O16" i="77" s="1"/>
  <c r="O17" i="77" s="1"/>
  <c r="O18" i="77" s="1"/>
  <c r="O19" i="77" s="1"/>
  <c r="O20" i="77" s="1"/>
  <c r="O21" i="77" s="1"/>
  <c r="O22" i="77" s="1"/>
  <c r="O23" i="77" s="1"/>
  <c r="O24" i="77" s="1"/>
  <c r="O25" i="77" s="1"/>
  <c r="O26" i="77" s="1"/>
  <c r="O27" i="77" s="1"/>
  <c r="O28" i="77" s="1"/>
  <c r="O29" i="77" s="1"/>
  <c r="O30" i="77" s="1"/>
  <c r="O31" i="77" s="1"/>
  <c r="O32" i="77" s="1"/>
  <c r="O33" i="77" s="1"/>
  <c r="O34" i="77" s="1"/>
  <c r="O35" i="77" s="1"/>
  <c r="O36" i="77" s="1"/>
  <c r="O37" i="77" s="1"/>
  <c r="O38" i="77" s="1"/>
  <c r="O39" i="77" s="1"/>
  <c r="O40" i="77" s="1"/>
  <c r="O41" i="77" s="1"/>
  <c r="O42" i="77" s="1"/>
  <c r="O43" i="77" s="1"/>
  <c r="O44" i="77" s="1"/>
  <c r="O45" i="77" s="1"/>
  <c r="O46" i="77" s="1"/>
  <c r="O47" i="77" s="1"/>
  <c r="O48" i="77" s="1"/>
  <c r="O49" i="77" s="1"/>
  <c r="O50" i="77" s="1"/>
  <c r="O51" i="77" s="1"/>
  <c r="O52" i="77" s="1"/>
  <c r="O53" i="77" s="1"/>
  <c r="O54" i="77" s="1"/>
  <c r="O55" i="77" s="1"/>
  <c r="O56" i="77" s="1"/>
  <c r="O57" i="77" s="1"/>
  <c r="O58" i="77" s="1"/>
  <c r="O59" i="77" s="1"/>
  <c r="O60" i="77" s="1"/>
  <c r="O61" i="77" s="1"/>
  <c r="O62" i="77" s="1"/>
  <c r="O63" i="77" s="1"/>
  <c r="O64" i="77" s="1"/>
  <c r="O65" i="77" s="1"/>
  <c r="O66" i="77" s="1"/>
  <c r="O67" i="77" s="1"/>
  <c r="O68" i="77" s="1"/>
  <c r="O69" i="77" s="1"/>
  <c r="O70" i="77" s="1"/>
  <c r="O71" i="77" s="1"/>
  <c r="O72" i="77" s="1"/>
  <c r="O73" i="77" s="1"/>
  <c r="O74" i="77" s="1"/>
  <c r="O75" i="77" s="1"/>
  <c r="O76" i="77" s="1"/>
  <c r="O77" i="77" s="1"/>
  <c r="O78" i="77" s="1"/>
  <c r="O79" i="77" s="1"/>
  <c r="O80" i="77" s="1"/>
  <c r="O81" i="77" s="1"/>
  <c r="O82" i="77" s="1"/>
  <c r="O83" i="77" s="1"/>
  <c r="O84" i="77" s="1"/>
  <c r="O85" i="77" s="1"/>
  <c r="O86" i="77" s="1"/>
  <c r="O87" i="77" s="1"/>
  <c r="O88" i="77" s="1"/>
  <c r="O89" i="77" s="1"/>
  <c r="O90" i="77" s="1"/>
  <c r="O91" i="77" s="1"/>
  <c r="O92" i="77" s="1"/>
  <c r="O93" i="77" s="1"/>
  <c r="O94" i="77" s="1"/>
  <c r="O95" i="77" s="1"/>
  <c r="O96" i="77" s="1"/>
  <c r="O97" i="77" s="1"/>
  <c r="O98" i="77" s="1"/>
  <c r="O99" i="77" s="1"/>
  <c r="O100" i="77" s="1"/>
  <c r="O101" i="77" s="1"/>
  <c r="O102" i="77" s="1"/>
  <c r="O103" i="77" s="1"/>
  <c r="O104" i="77" s="1"/>
  <c r="O105" i="77" s="1"/>
  <c r="O106" i="77" s="1"/>
  <c r="O107" i="77" s="1"/>
  <c r="O108" i="77" s="1"/>
  <c r="O109" i="77" s="1"/>
  <c r="O110" i="77" s="1"/>
  <c r="O111" i="77" s="1"/>
  <c r="O112" i="77" s="1"/>
  <c r="O113" i="77" s="1"/>
  <c r="O114" i="77" s="1"/>
  <c r="O115" i="77" s="1"/>
  <c r="O116" i="77" s="1"/>
  <c r="O117" i="77" s="1"/>
  <c r="O118" i="77" s="1"/>
  <c r="O119" i="77" s="1"/>
  <c r="O120" i="77" s="1"/>
  <c r="O121" i="77" s="1"/>
  <c r="O122" i="77" s="1"/>
  <c r="O123" i="77" s="1"/>
  <c r="O124" i="77" s="1"/>
  <c r="O125" i="77" s="1"/>
  <c r="O126" i="77" s="1"/>
  <c r="O127" i="77" s="1"/>
  <c r="O128" i="77" s="1"/>
  <c r="O129" i="77" s="1"/>
  <c r="O130" i="77" s="1"/>
  <c r="O131" i="77" s="1"/>
  <c r="O132" i="77" s="1"/>
  <c r="O133" i="77" s="1"/>
  <c r="O134" i="77" s="1"/>
  <c r="O135" i="77" s="1"/>
  <c r="O136" i="77" s="1"/>
  <c r="O137" i="77" s="1"/>
  <c r="O138" i="77" s="1"/>
  <c r="O139" i="77" s="1"/>
  <c r="O140" i="77" s="1"/>
  <c r="O141" i="77" s="1"/>
  <c r="O142" i="77" s="1"/>
  <c r="O143" i="77" s="1"/>
  <c r="O144" i="77" s="1"/>
  <c r="O145" i="77" s="1"/>
  <c r="O146" i="77" s="1"/>
  <c r="O147" i="77" s="1"/>
  <c r="O148" i="77" s="1"/>
  <c r="O149" i="77" s="1"/>
  <c r="O150" i="77" s="1"/>
  <c r="O151" i="77" s="1"/>
  <c r="O152" i="77" s="1"/>
  <c r="O153" i="77" s="1"/>
  <c r="O154" i="77" s="1"/>
  <c r="O155" i="77" s="1"/>
  <c r="O156" i="77" s="1"/>
  <c r="O157" i="77" s="1"/>
  <c r="O158" i="77" s="1"/>
  <c r="O159" i="77" s="1"/>
  <c r="G3" i="77"/>
  <c r="E3" i="77"/>
  <c r="G2" i="77"/>
  <c r="F2" i="77"/>
  <c r="P1" i="77"/>
  <c r="O1" i="77"/>
  <c r="N1" i="77"/>
  <c r="K1" i="77"/>
  <c r="K2" i="77" s="1"/>
  <c r="F1" i="77"/>
  <c r="E1" i="77"/>
  <c r="D1" i="77"/>
  <c r="C19" i="72"/>
  <c r="G20" i="76" l="1"/>
  <c r="E21" i="76"/>
  <c r="G39" i="76"/>
  <c r="I17" i="76"/>
  <c r="E16" i="76"/>
  <c r="E10" i="76" s="1"/>
  <c r="E9" i="76" s="1"/>
  <c r="G19" i="76"/>
  <c r="E25" i="76"/>
  <c r="G27" i="76"/>
  <c r="G29" i="76"/>
  <c r="O22" i="76"/>
  <c r="P21" i="76"/>
  <c r="Q21" i="76" s="1"/>
  <c r="Q98" i="78"/>
  <c r="Q112" i="78"/>
  <c r="G25" i="78"/>
  <c r="Q11" i="78"/>
  <c r="Q24" i="78"/>
  <c r="Q151" i="78"/>
  <c r="Q46" i="78"/>
  <c r="Q65" i="78"/>
  <c r="Q85" i="78"/>
  <c r="Q107" i="78"/>
  <c r="Q130" i="78"/>
  <c r="Q148" i="78"/>
  <c r="Q37" i="78"/>
  <c r="Q43" i="78"/>
  <c r="Q67" i="78"/>
  <c r="Q87" i="78"/>
  <c r="Q104" i="78"/>
  <c r="Q127" i="78"/>
  <c r="Q150" i="78"/>
  <c r="Q33" i="78"/>
  <c r="Q44" i="78"/>
  <c r="Q64" i="78"/>
  <c r="Q91" i="78"/>
  <c r="Q106" i="78"/>
  <c r="Q124" i="78"/>
  <c r="Q147" i="78"/>
  <c r="Q54" i="78"/>
  <c r="Q70" i="78"/>
  <c r="Q86" i="78"/>
  <c r="Q100" i="78"/>
  <c r="Q117" i="78"/>
  <c r="Q133" i="78"/>
  <c r="Q149" i="78"/>
  <c r="Q26" i="78"/>
  <c r="Q17" i="78"/>
  <c r="Q61" i="78"/>
  <c r="Q135" i="78"/>
  <c r="Q6" i="78"/>
  <c r="Q12" i="78"/>
  <c r="Q81" i="78"/>
  <c r="Q158" i="78"/>
  <c r="Q49" i="78"/>
  <c r="Q72" i="78"/>
  <c r="Q92" i="78"/>
  <c r="Q114" i="78"/>
  <c r="Q132" i="78"/>
  <c r="Q155" i="78"/>
  <c r="Q40" i="78"/>
  <c r="Q51" i="78"/>
  <c r="Q69" i="78"/>
  <c r="Q89" i="78"/>
  <c r="Q111" i="78"/>
  <c r="Q134" i="78"/>
  <c r="Q152" i="78"/>
  <c r="Q34" i="78"/>
  <c r="Q48" i="78"/>
  <c r="Q71" i="78"/>
  <c r="Q93" i="78"/>
  <c r="Q108" i="78"/>
  <c r="Q131" i="78"/>
  <c r="Q154" i="78"/>
  <c r="Q58" i="78"/>
  <c r="Q77" i="78"/>
  <c r="Q90" i="78"/>
  <c r="Q105" i="78"/>
  <c r="Q121" i="78"/>
  <c r="Q137" i="78"/>
  <c r="Q153" i="78"/>
  <c r="G39" i="78"/>
  <c r="E21" i="78"/>
  <c r="I17" i="78"/>
  <c r="G20" i="78"/>
  <c r="G19" i="78"/>
  <c r="E16" i="78"/>
  <c r="E10" i="78" s="1"/>
  <c r="E9" i="78" s="1"/>
  <c r="Q30" i="78"/>
  <c r="Q23" i="78"/>
  <c r="Q68" i="78"/>
  <c r="Q142" i="78"/>
  <c r="Q7" i="78"/>
  <c r="Q13" i="78"/>
  <c r="Q88" i="78"/>
  <c r="Q38" i="78"/>
  <c r="Q56" i="78"/>
  <c r="Q75" i="78"/>
  <c r="Q95" i="78"/>
  <c r="Q116" i="78"/>
  <c r="Q139" i="78"/>
  <c r="Q28" i="78"/>
  <c r="Q41" i="78"/>
  <c r="Q53" i="78"/>
  <c r="Q74" i="78"/>
  <c r="Q97" i="78"/>
  <c r="Q118" i="78"/>
  <c r="Q136" i="78"/>
  <c r="Q159" i="78"/>
  <c r="Q35" i="78"/>
  <c r="Q55" i="78"/>
  <c r="Q73" i="78"/>
  <c r="Q101" i="78"/>
  <c r="Q115" i="78"/>
  <c r="Q138" i="78"/>
  <c r="Q156" i="78"/>
  <c r="Q62" i="78"/>
  <c r="Q78" i="78"/>
  <c r="Q94" i="78"/>
  <c r="Q109" i="78"/>
  <c r="Q125" i="78"/>
  <c r="Q141" i="78"/>
  <c r="Q157" i="78"/>
  <c r="G16" i="77"/>
  <c r="G14" i="77"/>
  <c r="E14" i="77" s="1"/>
  <c r="E15" i="77" s="1"/>
  <c r="G9" i="77"/>
  <c r="I18" i="77"/>
  <c r="G24" i="77"/>
  <c r="C14" i="77" s="1"/>
  <c r="G37" i="77"/>
  <c r="G43" i="77"/>
  <c r="G44" i="77" s="1"/>
  <c r="G19" i="77"/>
  <c r="G46" i="77" s="1"/>
  <c r="C21" i="77"/>
  <c r="C95" i="77" s="1"/>
  <c r="C104" i="77" s="1"/>
  <c r="E18" i="77"/>
  <c r="G12" i="77"/>
  <c r="C30" i="77" s="1"/>
  <c r="O23" i="76" l="1"/>
  <c r="P22" i="76"/>
  <c r="Q22" i="76" s="1"/>
  <c r="G46" i="76"/>
  <c r="G42" i="76"/>
  <c r="G30" i="76"/>
  <c r="E29" i="76"/>
  <c r="G26" i="76"/>
  <c r="C17" i="76"/>
  <c r="G46" i="78"/>
  <c r="G42" i="78"/>
  <c r="G26" i="78"/>
  <c r="C17" i="78"/>
  <c r="G29" i="78"/>
  <c r="E25" i="78"/>
  <c r="G27" i="78"/>
  <c r="G25" i="77"/>
  <c r="G39" i="77"/>
  <c r="E21" i="77"/>
  <c r="E16" i="77"/>
  <c r="E10" i="77" s="1"/>
  <c r="E9" i="77" s="1"/>
  <c r="G20" i="77"/>
  <c r="I17" i="77"/>
  <c r="C24" i="77"/>
  <c r="G42" i="77"/>
  <c r="G31" i="76" l="1"/>
  <c r="G32" i="76" s="1"/>
  <c r="G28" i="76"/>
  <c r="O24" i="76"/>
  <c r="P23" i="76"/>
  <c r="Q23" i="76" s="1"/>
  <c r="G31" i="78"/>
  <c r="G32" i="78" s="1"/>
  <c r="G28" i="78"/>
  <c r="G30" i="78"/>
  <c r="E29" i="78"/>
  <c r="P158" i="77"/>
  <c r="P154" i="77"/>
  <c r="P150" i="77"/>
  <c r="P146" i="77"/>
  <c r="P142" i="77"/>
  <c r="P138" i="77"/>
  <c r="P134" i="77"/>
  <c r="P130" i="77"/>
  <c r="P126" i="77"/>
  <c r="P122" i="77"/>
  <c r="P118" i="77"/>
  <c r="P114" i="77"/>
  <c r="P110" i="77"/>
  <c r="P106" i="77"/>
  <c r="P101" i="77"/>
  <c r="P97" i="77"/>
  <c r="P91" i="77"/>
  <c r="P87" i="77"/>
  <c r="P83" i="77"/>
  <c r="P79" i="77"/>
  <c r="P71" i="77"/>
  <c r="P67" i="77"/>
  <c r="P159" i="77"/>
  <c r="P155" i="77"/>
  <c r="P151" i="77"/>
  <c r="P147" i="77"/>
  <c r="P143" i="77"/>
  <c r="P139" i="77"/>
  <c r="P135" i="77"/>
  <c r="P131" i="77"/>
  <c r="P127" i="77"/>
  <c r="P123" i="77"/>
  <c r="P119" i="77"/>
  <c r="P115" i="77"/>
  <c r="P111" i="77"/>
  <c r="P107" i="77"/>
  <c r="P102" i="77"/>
  <c r="P98" i="77"/>
  <c r="P92" i="77"/>
  <c r="P88" i="77"/>
  <c r="P84" i="77"/>
  <c r="P80" i="77"/>
  <c r="P72" i="77"/>
  <c r="P68" i="77"/>
  <c r="P64" i="77"/>
  <c r="P60" i="77"/>
  <c r="P56" i="77"/>
  <c r="P52" i="77"/>
  <c r="P48" i="77"/>
  <c r="P156" i="77"/>
  <c r="P152" i="77"/>
  <c r="P148" i="77"/>
  <c r="P144" i="77"/>
  <c r="P140" i="77"/>
  <c r="P136" i="77"/>
  <c r="P132" i="77"/>
  <c r="P128" i="77"/>
  <c r="P124" i="77"/>
  <c r="P120" i="77"/>
  <c r="P116" i="77"/>
  <c r="P112" i="77"/>
  <c r="P108" i="77"/>
  <c r="P104" i="77"/>
  <c r="P103" i="77"/>
  <c r="P99" i="77"/>
  <c r="P95" i="77"/>
  <c r="P93" i="77"/>
  <c r="P89" i="77"/>
  <c r="P85" i="77"/>
  <c r="P81" i="77"/>
  <c r="P76" i="77"/>
  <c r="P75" i="77"/>
  <c r="P74" i="77"/>
  <c r="P73" i="77"/>
  <c r="P69" i="77"/>
  <c r="P65" i="77"/>
  <c r="P61" i="77"/>
  <c r="P57" i="77"/>
  <c r="P53" i="77"/>
  <c r="P49" i="77"/>
  <c r="P157" i="77"/>
  <c r="P153" i="77"/>
  <c r="P149" i="77"/>
  <c r="P145" i="77"/>
  <c r="P141" i="77"/>
  <c r="P137" i="77"/>
  <c r="P133" i="77"/>
  <c r="P129" i="77"/>
  <c r="P125" i="77"/>
  <c r="P121" i="77"/>
  <c r="P117" i="77"/>
  <c r="P113" i="77"/>
  <c r="P109" i="77"/>
  <c r="P105" i="77"/>
  <c r="P100" i="77"/>
  <c r="P96" i="77"/>
  <c r="P94" i="77"/>
  <c r="P90" i="77"/>
  <c r="P86" i="77"/>
  <c r="P82" i="77"/>
  <c r="P78" i="77"/>
  <c r="P77" i="77"/>
  <c r="P70" i="77"/>
  <c r="P66" i="77"/>
  <c r="P62" i="77"/>
  <c r="P58" i="77"/>
  <c r="P54" i="77"/>
  <c r="P50" i="77"/>
  <c r="P59" i="77"/>
  <c r="P44" i="77"/>
  <c r="P39" i="77"/>
  <c r="P35" i="77"/>
  <c r="P34" i="77"/>
  <c r="P33" i="77"/>
  <c r="P31" i="77"/>
  <c r="P26" i="77"/>
  <c r="P25" i="77"/>
  <c r="P20" i="77"/>
  <c r="P19" i="77"/>
  <c r="P14" i="77"/>
  <c r="P9" i="77"/>
  <c r="P63" i="77"/>
  <c r="P43" i="77"/>
  <c r="P42" i="77"/>
  <c r="P41" i="77"/>
  <c r="P40" i="77"/>
  <c r="P37" i="77"/>
  <c r="P36" i="77"/>
  <c r="P28" i="77"/>
  <c r="P24" i="77"/>
  <c r="P18" i="77"/>
  <c r="P51" i="77"/>
  <c r="P46" i="77"/>
  <c r="P45" i="77"/>
  <c r="P38" i="77"/>
  <c r="P30" i="77"/>
  <c r="P27" i="77"/>
  <c r="P23" i="77"/>
  <c r="P16" i="77"/>
  <c r="P13" i="77"/>
  <c r="P12" i="77"/>
  <c r="P11" i="77"/>
  <c r="P8" i="77"/>
  <c r="P7" i="77"/>
  <c r="P6" i="77"/>
  <c r="P55" i="77"/>
  <c r="P47" i="77"/>
  <c r="P32" i="77"/>
  <c r="P29" i="77"/>
  <c r="P22" i="77"/>
  <c r="P21" i="77"/>
  <c r="P17" i="77"/>
  <c r="P15" i="77"/>
  <c r="P10" i="77"/>
  <c r="P5" i="77"/>
  <c r="Q5" i="77" s="1"/>
  <c r="C17" i="77"/>
  <c r="G26" i="77"/>
  <c r="G27" i="77"/>
  <c r="G29" i="77"/>
  <c r="E25" i="77"/>
  <c r="D95" i="72"/>
  <c r="G78" i="72"/>
  <c r="G75" i="72"/>
  <c r="G76" i="72" s="1"/>
  <c r="G74" i="72"/>
  <c r="L45" i="72"/>
  <c r="J45" i="72"/>
  <c r="L44" i="72"/>
  <c r="G41" i="72"/>
  <c r="M39" i="72"/>
  <c r="K39" i="72"/>
  <c r="G34" i="72"/>
  <c r="D28" i="72"/>
  <c r="E27" i="72"/>
  <c r="D27" i="72"/>
  <c r="D29" i="72" s="1"/>
  <c r="D31" i="72" s="1"/>
  <c r="D32" i="72" s="1"/>
  <c r="G23" i="72"/>
  <c r="G22" i="72"/>
  <c r="G18" i="72"/>
  <c r="C21" i="72" s="1"/>
  <c r="M17" i="72"/>
  <c r="E17" i="72"/>
  <c r="G11" i="72"/>
  <c r="D11" i="72"/>
  <c r="G10" i="72"/>
  <c r="G37" i="72" s="1"/>
  <c r="M9" i="72"/>
  <c r="G8" i="72"/>
  <c r="G13" i="72" s="1"/>
  <c r="K7" i="72"/>
  <c r="K6" i="72"/>
  <c r="E6" i="72"/>
  <c r="O5" i="72"/>
  <c r="O6" i="72" s="1"/>
  <c r="O7" i="72" s="1"/>
  <c r="G3" i="72"/>
  <c r="E3" i="72"/>
  <c r="G2" i="72"/>
  <c r="F2" i="72"/>
  <c r="P1" i="72"/>
  <c r="O1" i="72"/>
  <c r="N1" i="72"/>
  <c r="E1" i="72"/>
  <c r="F1" i="72" s="1"/>
  <c r="D1" i="72"/>
  <c r="O25" i="76" l="1"/>
  <c r="P24" i="76"/>
  <c r="Q24" i="76" s="1"/>
  <c r="E31" i="76"/>
  <c r="E31" i="78"/>
  <c r="Q17" i="77"/>
  <c r="Q32" i="77"/>
  <c r="Q7" i="77"/>
  <c r="Q13" i="77"/>
  <c r="Q30" i="77"/>
  <c r="Q51" i="77"/>
  <c r="Q36" i="77"/>
  <c r="Q42" i="77"/>
  <c r="Q14" i="77"/>
  <c r="Q26" i="77"/>
  <c r="Q35" i="77"/>
  <c r="Q50" i="77"/>
  <c r="Q66" i="77"/>
  <c r="Q82" i="77"/>
  <c r="Q96" i="77"/>
  <c r="Q113" i="77"/>
  <c r="Q129" i="77"/>
  <c r="Q145" i="77"/>
  <c r="Q49" i="77"/>
  <c r="Q65" i="77"/>
  <c r="Q75" i="77"/>
  <c r="Q89" i="77"/>
  <c r="Q103" i="77"/>
  <c r="Q116" i="77"/>
  <c r="Q132" i="77"/>
  <c r="Q148" i="77"/>
  <c r="Q52" i="77"/>
  <c r="Q68" i="77"/>
  <c r="Q88" i="77"/>
  <c r="Q107" i="77"/>
  <c r="Q123" i="77"/>
  <c r="Q139" i="77"/>
  <c r="Q155" i="77"/>
  <c r="Q79" i="77"/>
  <c r="Q97" i="77"/>
  <c r="Q114" i="77"/>
  <c r="Q130" i="77"/>
  <c r="Q146" i="77"/>
  <c r="G30" i="77"/>
  <c r="E29" i="77"/>
  <c r="Q21" i="77"/>
  <c r="Q47" i="77"/>
  <c r="Q8" i="77"/>
  <c r="Q16" i="77"/>
  <c r="Q38" i="77"/>
  <c r="Q18" i="77"/>
  <c r="Q37" i="77"/>
  <c r="Q43" i="77"/>
  <c r="Q19" i="77"/>
  <c r="Q31" i="77"/>
  <c r="Q39" i="77"/>
  <c r="Q54" i="77"/>
  <c r="Q70" i="77"/>
  <c r="Q86" i="77"/>
  <c r="Q100" i="77"/>
  <c r="Q117" i="77"/>
  <c r="Q133" i="77"/>
  <c r="Q149" i="77"/>
  <c r="Q53" i="77"/>
  <c r="Q69" i="77"/>
  <c r="Q76" i="77"/>
  <c r="Q93" i="77"/>
  <c r="Q104" i="77"/>
  <c r="Q120" i="77"/>
  <c r="Q136" i="77"/>
  <c r="Q152" i="77"/>
  <c r="Q56" i="77"/>
  <c r="Q72" i="77"/>
  <c r="Q92" i="77"/>
  <c r="Q111" i="77"/>
  <c r="Q127" i="77"/>
  <c r="Q143" i="77"/>
  <c r="Q159" i="77"/>
  <c r="Q83" i="77"/>
  <c r="Q101" i="77"/>
  <c r="Q118" i="77"/>
  <c r="Q134" i="77"/>
  <c r="Q150" i="77"/>
  <c r="Q10" i="77"/>
  <c r="Q22" i="77"/>
  <c r="Q55" i="77"/>
  <c r="Q11" i="77"/>
  <c r="Q23" i="77"/>
  <c r="Q45" i="77"/>
  <c r="Q24" i="77"/>
  <c r="Q40" i="77"/>
  <c r="Q63" i="77"/>
  <c r="Q20" i="77"/>
  <c r="Q33" i="77"/>
  <c r="Q44" i="77"/>
  <c r="Q58" i="77"/>
  <c r="Q77" i="77"/>
  <c r="Q90" i="77"/>
  <c r="Q105" i="77"/>
  <c r="Q121" i="77"/>
  <c r="Q137" i="77"/>
  <c r="Q153" i="77"/>
  <c r="Q57" i="77"/>
  <c r="Q73" i="77"/>
  <c r="Q81" i="77"/>
  <c r="Q95" i="77"/>
  <c r="Q108" i="77"/>
  <c r="Q124" i="77"/>
  <c r="Q140" i="77"/>
  <c r="Q156" i="77"/>
  <c r="Q60" i="77"/>
  <c r="Q80" i="77"/>
  <c r="Q98" i="77"/>
  <c r="Q115" i="77"/>
  <c r="Q131" i="77"/>
  <c r="Q147" i="77"/>
  <c r="Q67" i="77"/>
  <c r="Q87" i="77"/>
  <c r="Q106" i="77"/>
  <c r="Q122" i="77"/>
  <c r="Q138" i="77"/>
  <c r="Q154" i="77"/>
  <c r="G31" i="77"/>
  <c r="G32" i="77" s="1"/>
  <c r="G28" i="77"/>
  <c r="Q15" i="77"/>
  <c r="Q29" i="77"/>
  <c r="Q6" i="77"/>
  <c r="Q12" i="77"/>
  <c r="Q27" i="77"/>
  <c r="Q46" i="77"/>
  <c r="Q28" i="77"/>
  <c r="Q41" i="77"/>
  <c r="Q9" i="77"/>
  <c r="Q25" i="77"/>
  <c r="Q34" i="77"/>
  <c r="Q59" i="77"/>
  <c r="Q62" i="77"/>
  <c r="Q78" i="77"/>
  <c r="Q94" i="77"/>
  <c r="Q109" i="77"/>
  <c r="Q125" i="77"/>
  <c r="Q141" i="77"/>
  <c r="Q157" i="77"/>
  <c r="Q61" i="77"/>
  <c r="Q74" i="77"/>
  <c r="Q85" i="77"/>
  <c r="Q99" i="77"/>
  <c r="Q112" i="77"/>
  <c r="Q128" i="77"/>
  <c r="Q144" i="77"/>
  <c r="Q48" i="77"/>
  <c r="Q64" i="77"/>
  <c r="Q84" i="77"/>
  <c r="Q102" i="77"/>
  <c r="Q119" i="77"/>
  <c r="Q135" i="77"/>
  <c r="Q151" i="77"/>
  <c r="Q71" i="77"/>
  <c r="Q91" i="77"/>
  <c r="Q110" i="77"/>
  <c r="Q126" i="77"/>
  <c r="Q142" i="77"/>
  <c r="Q158" i="77"/>
  <c r="G12" i="72"/>
  <c r="C30" i="72" s="1"/>
  <c r="O8" i="72"/>
  <c r="G14" i="72"/>
  <c r="E14" i="72" s="1"/>
  <c r="E15" i="72" s="1"/>
  <c r="G43" i="72"/>
  <c r="G44" i="72" s="1"/>
  <c r="G16" i="72"/>
  <c r="C95" i="72"/>
  <c r="C104" i="72" s="1"/>
  <c r="K1" i="72"/>
  <c r="K2" i="72" s="1"/>
  <c r="G15" i="72"/>
  <c r="G9" i="72"/>
  <c r="G24" i="72"/>
  <c r="C14" i="72" s="1"/>
  <c r="G35" i="72"/>
  <c r="G45" i="72"/>
  <c r="C23" i="72"/>
  <c r="C24" i="72" s="1"/>
  <c r="I18" i="72"/>
  <c r="E18" i="72"/>
  <c r="C23" i="71"/>
  <c r="C21" i="71"/>
  <c r="Z121" i="71"/>
  <c r="Z120" i="71"/>
  <c r="Z122" i="71" s="1"/>
  <c r="Z123" i="71" s="1"/>
  <c r="Z124" i="71" s="1"/>
  <c r="D95" i="71"/>
  <c r="G78" i="71"/>
  <c r="G76" i="71"/>
  <c r="G75" i="71"/>
  <c r="G74" i="71"/>
  <c r="L45" i="71"/>
  <c r="J45" i="71"/>
  <c r="L44" i="71"/>
  <c r="G41" i="71"/>
  <c r="G45" i="71" s="1"/>
  <c r="M39" i="71"/>
  <c r="K39" i="71"/>
  <c r="G34" i="71"/>
  <c r="C19" i="71" s="1"/>
  <c r="D31" i="71"/>
  <c r="D32" i="71" s="1"/>
  <c r="D28" i="71"/>
  <c r="E27" i="71"/>
  <c r="D27" i="71"/>
  <c r="D29" i="71" s="1"/>
  <c r="G23" i="71"/>
  <c r="G22" i="71"/>
  <c r="I18" i="71"/>
  <c r="G18" i="71"/>
  <c r="M17" i="71"/>
  <c r="E17" i="71"/>
  <c r="C16" i="71"/>
  <c r="G11" i="71"/>
  <c r="D11" i="71"/>
  <c r="G10" i="71"/>
  <c r="M9" i="71"/>
  <c r="G8" i="71"/>
  <c r="G13" i="71" s="1"/>
  <c r="Y7" i="71"/>
  <c r="Y8" i="71" s="1"/>
  <c r="Y9" i="71" s="1"/>
  <c r="K7" i="71"/>
  <c r="Y6" i="71"/>
  <c r="K6" i="71"/>
  <c r="E6" i="71"/>
  <c r="O5" i="71"/>
  <c r="O6" i="71" s="1"/>
  <c r="G3" i="71"/>
  <c r="E3" i="71"/>
  <c r="G2" i="71"/>
  <c r="F2" i="71"/>
  <c r="U1" i="71"/>
  <c r="U2" i="71" s="1"/>
  <c r="P1" i="71"/>
  <c r="O1" i="71"/>
  <c r="N1" i="71"/>
  <c r="E1" i="71"/>
  <c r="F1" i="71" s="1"/>
  <c r="D1" i="71"/>
  <c r="C23" i="70"/>
  <c r="C21" i="70"/>
  <c r="C95" i="70" s="1"/>
  <c r="C104" i="70" s="1"/>
  <c r="Z121" i="70"/>
  <c r="Z120" i="70"/>
  <c r="Z122" i="70" s="1"/>
  <c r="Z123" i="70" s="1"/>
  <c r="Z124" i="70" s="1"/>
  <c r="D95" i="70"/>
  <c r="G78" i="70"/>
  <c r="G75" i="70"/>
  <c r="G76" i="70" s="1"/>
  <c r="G74" i="70"/>
  <c r="L45" i="70"/>
  <c r="J45" i="70"/>
  <c r="G45" i="70"/>
  <c r="L44" i="70"/>
  <c r="G41" i="70"/>
  <c r="M39" i="70"/>
  <c r="K39" i="70"/>
  <c r="G35" i="70"/>
  <c r="G34" i="70"/>
  <c r="D28" i="70"/>
  <c r="E27" i="70"/>
  <c r="D27" i="70"/>
  <c r="D29" i="70" s="1"/>
  <c r="D31" i="70" s="1"/>
  <c r="D32" i="70" s="1"/>
  <c r="G23" i="70"/>
  <c r="G22" i="70"/>
  <c r="G24" i="70" s="1"/>
  <c r="C14" i="70" s="1"/>
  <c r="C19" i="70"/>
  <c r="G18" i="70"/>
  <c r="M17" i="70"/>
  <c r="E17" i="70"/>
  <c r="C16" i="70"/>
  <c r="G15" i="70"/>
  <c r="G11" i="70"/>
  <c r="D11" i="70"/>
  <c r="G10" i="70"/>
  <c r="G37" i="70" s="1"/>
  <c r="M9" i="70"/>
  <c r="G8" i="70"/>
  <c r="G12" i="70" s="1"/>
  <c r="C30" i="70" s="1"/>
  <c r="Y7" i="70"/>
  <c r="Y8" i="70" s="1"/>
  <c r="Y9" i="70" s="1"/>
  <c r="K7" i="70"/>
  <c r="Y6" i="70"/>
  <c r="O6" i="70"/>
  <c r="K6" i="70"/>
  <c r="E6" i="70"/>
  <c r="R5" i="70"/>
  <c r="O5" i="70"/>
  <c r="G3" i="70"/>
  <c r="E3" i="70"/>
  <c r="G2" i="70"/>
  <c r="F2" i="70"/>
  <c r="U1" i="70"/>
  <c r="U2" i="70" s="1"/>
  <c r="P1" i="70"/>
  <c r="O1" i="70"/>
  <c r="N1" i="70"/>
  <c r="K1" i="70"/>
  <c r="K2" i="70" s="1"/>
  <c r="E1" i="70"/>
  <c r="F1" i="70" s="1"/>
  <c r="D1" i="70"/>
  <c r="J45" i="69"/>
  <c r="O152" i="69"/>
  <c r="R152" i="69" s="1"/>
  <c r="P151" i="69"/>
  <c r="Q151" i="69" s="1"/>
  <c r="O151" i="69"/>
  <c r="R151" i="69" s="1"/>
  <c r="C24" i="69"/>
  <c r="C21" i="69"/>
  <c r="Z122" i="69"/>
  <c r="Z123" i="69" s="1"/>
  <c r="Z124" i="69" s="1"/>
  <c r="Z121" i="69"/>
  <c r="Z120" i="69"/>
  <c r="D95" i="69"/>
  <c r="G78" i="69"/>
  <c r="G75" i="69"/>
  <c r="G74" i="69"/>
  <c r="G76" i="69" s="1"/>
  <c r="L45" i="69"/>
  <c r="L44" i="69"/>
  <c r="G41" i="69"/>
  <c r="M39" i="69"/>
  <c r="K39" i="69"/>
  <c r="G34" i="69"/>
  <c r="C19" i="69" s="1"/>
  <c r="D31" i="69"/>
  <c r="D32" i="69" s="1"/>
  <c r="D29" i="69"/>
  <c r="D28" i="69"/>
  <c r="E27" i="69"/>
  <c r="D27" i="69"/>
  <c r="G23" i="69"/>
  <c r="G22" i="69"/>
  <c r="G18" i="69"/>
  <c r="C23" i="69" s="1"/>
  <c r="E18" i="69"/>
  <c r="M17" i="69"/>
  <c r="E17" i="69"/>
  <c r="C16" i="69"/>
  <c r="G12" i="69"/>
  <c r="C30" i="69" s="1"/>
  <c r="G11" i="69"/>
  <c r="D11" i="69"/>
  <c r="G10" i="69"/>
  <c r="M9" i="69"/>
  <c r="Y8" i="69"/>
  <c r="Y9" i="69" s="1"/>
  <c r="G8" i="69"/>
  <c r="G13" i="69" s="1"/>
  <c r="Y7" i="69"/>
  <c r="K7" i="69"/>
  <c r="Y6" i="69"/>
  <c r="K6" i="69"/>
  <c r="E6" i="69"/>
  <c r="O5" i="69"/>
  <c r="O6" i="69" s="1"/>
  <c r="G3" i="69"/>
  <c r="E3" i="69"/>
  <c r="G2" i="69"/>
  <c r="F2" i="69"/>
  <c r="U1" i="69"/>
  <c r="U2" i="69" s="1"/>
  <c r="P1" i="69"/>
  <c r="O1" i="69"/>
  <c r="N1" i="69"/>
  <c r="E1" i="69"/>
  <c r="F1" i="69" s="1"/>
  <c r="D1" i="69"/>
  <c r="C16" i="62"/>
  <c r="O26" i="76" l="1"/>
  <c r="P25" i="76"/>
  <c r="Q25" i="76" s="1"/>
  <c r="E31" i="77"/>
  <c r="E21" i="72"/>
  <c r="G39" i="72"/>
  <c r="E16" i="72"/>
  <c r="E10" i="72" s="1"/>
  <c r="E9" i="72" s="1"/>
  <c r="I17" i="72"/>
  <c r="G20" i="72"/>
  <c r="G19" i="72"/>
  <c r="G42" i="72" s="1"/>
  <c r="P5" i="72"/>
  <c r="Q5" i="72" s="1"/>
  <c r="P6" i="72"/>
  <c r="P7" i="72"/>
  <c r="P8" i="72"/>
  <c r="G46" i="72"/>
  <c r="G25" i="72"/>
  <c r="O9" i="72"/>
  <c r="G15" i="71"/>
  <c r="K1" i="71"/>
  <c r="K2" i="71" s="1"/>
  <c r="G37" i="71"/>
  <c r="G24" i="71"/>
  <c r="C14" i="71" s="1"/>
  <c r="O7" i="71"/>
  <c r="R6" i="71"/>
  <c r="G14" i="71"/>
  <c r="E14" i="71" s="1"/>
  <c r="E15" i="71" s="1"/>
  <c r="G16" i="71"/>
  <c r="G12" i="71"/>
  <c r="C30" i="71" s="1"/>
  <c r="E18" i="71"/>
  <c r="G43" i="71"/>
  <c r="G44" i="71" s="1"/>
  <c r="R5" i="71"/>
  <c r="G19" i="71"/>
  <c r="G42" i="71" s="1"/>
  <c r="C95" i="71"/>
  <c r="C104" i="71" s="1"/>
  <c r="G35" i="71"/>
  <c r="G9" i="71"/>
  <c r="E18" i="70"/>
  <c r="C24" i="70"/>
  <c r="I18" i="70"/>
  <c r="O7" i="70"/>
  <c r="R6" i="70"/>
  <c r="G25" i="70"/>
  <c r="G9" i="70"/>
  <c r="G13" i="70"/>
  <c r="G43" i="70" s="1"/>
  <c r="G44" i="70" s="1"/>
  <c r="W151" i="69"/>
  <c r="S151" i="69"/>
  <c r="P152" i="69"/>
  <c r="Q152" i="69" s="1"/>
  <c r="O153" i="69"/>
  <c r="O7" i="69"/>
  <c r="R6" i="69"/>
  <c r="G14" i="69"/>
  <c r="E14" i="69" s="1"/>
  <c r="E15" i="69" s="1"/>
  <c r="G16" i="69"/>
  <c r="G15" i="69"/>
  <c r="K1" i="69"/>
  <c r="K2" i="69" s="1"/>
  <c r="G37" i="69"/>
  <c r="G24" i="69"/>
  <c r="C14" i="69" s="1"/>
  <c r="G43" i="69"/>
  <c r="G44" i="69" s="1"/>
  <c r="R5" i="69"/>
  <c r="G19" i="69"/>
  <c r="G42" i="69" s="1"/>
  <c r="C95" i="69"/>
  <c r="C104" i="69" s="1"/>
  <c r="G35" i="69"/>
  <c r="G45" i="69"/>
  <c r="G46" i="69" s="1"/>
  <c r="G9" i="69"/>
  <c r="I18" i="69"/>
  <c r="B7" i="58"/>
  <c r="O27" i="76" l="1"/>
  <c r="P26" i="76"/>
  <c r="Q26" i="76" s="1"/>
  <c r="Q8" i="72"/>
  <c r="Q7" i="72"/>
  <c r="Q6" i="72"/>
  <c r="O10" i="72"/>
  <c r="P9" i="72"/>
  <c r="Q9" i="72" s="1"/>
  <c r="G29" i="72"/>
  <c r="G27" i="72"/>
  <c r="E25" i="72"/>
  <c r="G26" i="72"/>
  <c r="C17" i="72"/>
  <c r="C24" i="71"/>
  <c r="O8" i="71"/>
  <c r="R7" i="71"/>
  <c r="G25" i="71"/>
  <c r="E21" i="71"/>
  <c r="I17" i="71"/>
  <c r="E16" i="71"/>
  <c r="E10" i="71" s="1"/>
  <c r="E9" i="71" s="1"/>
  <c r="G20" i="71"/>
  <c r="G39" i="71"/>
  <c r="G46" i="71"/>
  <c r="O8" i="70"/>
  <c r="R7" i="70"/>
  <c r="E25" i="70"/>
  <c r="G27" i="70"/>
  <c r="G29" i="70"/>
  <c r="G14" i="70"/>
  <c r="E14" i="70" s="1"/>
  <c r="E15" i="70" s="1"/>
  <c r="G16" i="70"/>
  <c r="P8" i="70"/>
  <c r="Q8" i="70" s="1"/>
  <c r="P5" i="70"/>
  <c r="Q5" i="70" s="1"/>
  <c r="P6" i="70"/>
  <c r="Q6" i="70" s="1"/>
  <c r="P7" i="70"/>
  <c r="Q7" i="70" s="1"/>
  <c r="R3" i="70"/>
  <c r="S1" i="70" s="1"/>
  <c r="W152" i="69"/>
  <c r="S152" i="69"/>
  <c r="T151" i="69"/>
  <c r="U151" i="69"/>
  <c r="V151" i="69" s="1"/>
  <c r="O154" i="69"/>
  <c r="P153" i="69"/>
  <c r="Q153" i="69" s="1"/>
  <c r="R153" i="69"/>
  <c r="G25" i="69"/>
  <c r="O8" i="69"/>
  <c r="R7" i="69"/>
  <c r="E21" i="69"/>
  <c r="I17" i="69"/>
  <c r="E16" i="69"/>
  <c r="E10" i="69" s="1"/>
  <c r="E9" i="69" s="1"/>
  <c r="G20" i="69"/>
  <c r="G39" i="69"/>
  <c r="E6" i="58"/>
  <c r="O28" i="76" l="1"/>
  <c r="P27" i="76"/>
  <c r="Q27" i="76" s="1"/>
  <c r="O11" i="72"/>
  <c r="P10" i="72"/>
  <c r="Q10" i="72" s="1"/>
  <c r="G30" i="72"/>
  <c r="E29" i="72"/>
  <c r="G28" i="72"/>
  <c r="G31" i="72"/>
  <c r="G32" i="72" s="1"/>
  <c r="R8" i="71"/>
  <c r="O9" i="71"/>
  <c r="G26" i="71"/>
  <c r="C17" i="71"/>
  <c r="G29" i="71"/>
  <c r="E25" i="71"/>
  <c r="G27" i="71"/>
  <c r="P6" i="71"/>
  <c r="Q6" i="71" s="1"/>
  <c r="P9" i="71"/>
  <c r="Q9" i="71" s="1"/>
  <c r="P7" i="71"/>
  <c r="Q7" i="71" s="1"/>
  <c r="R3" i="71"/>
  <c r="S1" i="71" s="1"/>
  <c r="P8" i="71"/>
  <c r="Q8" i="71" s="1"/>
  <c r="P5" i="71"/>
  <c r="Q5" i="71" s="1"/>
  <c r="E16" i="70"/>
  <c r="E10" i="70" s="1"/>
  <c r="E9" i="70" s="1"/>
  <c r="G39" i="70"/>
  <c r="G20" i="70"/>
  <c r="E21" i="70"/>
  <c r="I17" i="70"/>
  <c r="G19" i="70"/>
  <c r="S6" i="70"/>
  <c r="W6" i="70"/>
  <c r="W7" i="70"/>
  <c r="S7" i="70"/>
  <c r="W8" i="70"/>
  <c r="S8" i="70"/>
  <c r="W5" i="70"/>
  <c r="S5" i="70"/>
  <c r="G30" i="70"/>
  <c r="E29" i="70"/>
  <c r="O9" i="70"/>
  <c r="R8" i="70"/>
  <c r="W153" i="69"/>
  <c r="S153" i="69"/>
  <c r="U152" i="69"/>
  <c r="V152" i="69" s="1"/>
  <c r="T152" i="69"/>
  <c r="O155" i="69"/>
  <c r="P154" i="69"/>
  <c r="Q154" i="69" s="1"/>
  <c r="R154" i="69"/>
  <c r="R8" i="69"/>
  <c r="O9" i="69"/>
  <c r="G29" i="69"/>
  <c r="E25" i="69"/>
  <c r="G27" i="69"/>
  <c r="G26" i="69"/>
  <c r="C17" i="69"/>
  <c r="P6" i="69"/>
  <c r="Q6" i="69" s="1"/>
  <c r="P9" i="69"/>
  <c r="Q9" i="69" s="1"/>
  <c r="P7" i="69"/>
  <c r="Q7" i="69" s="1"/>
  <c r="R3" i="69"/>
  <c r="S1" i="69" s="1"/>
  <c r="P8" i="69"/>
  <c r="Q8" i="69" s="1"/>
  <c r="P5" i="69"/>
  <c r="Q5" i="69" s="1"/>
  <c r="M21" i="58"/>
  <c r="B21" i="58"/>
  <c r="O29" i="76" l="1"/>
  <c r="P28" i="76"/>
  <c r="Q28" i="76" s="1"/>
  <c r="O12" i="72"/>
  <c r="P11" i="72"/>
  <c r="Q11" i="72" s="1"/>
  <c r="E31" i="72"/>
  <c r="G28" i="71"/>
  <c r="G31" i="71"/>
  <c r="G32" i="71" s="1"/>
  <c r="S8" i="71"/>
  <c r="W8" i="71"/>
  <c r="W7" i="71"/>
  <c r="S7" i="71"/>
  <c r="W6" i="71"/>
  <c r="S6" i="71"/>
  <c r="O10" i="71"/>
  <c r="R9" i="71"/>
  <c r="W5" i="71"/>
  <c r="S5" i="71"/>
  <c r="W9" i="71"/>
  <c r="S9" i="71"/>
  <c r="G30" i="71"/>
  <c r="E29" i="71"/>
  <c r="U7" i="70"/>
  <c r="T7" i="70"/>
  <c r="V7" i="70" s="1"/>
  <c r="G26" i="70"/>
  <c r="C17" i="70"/>
  <c r="T8" i="70"/>
  <c r="V8" i="70" s="1"/>
  <c r="U8" i="70"/>
  <c r="G46" i="70"/>
  <c r="G42" i="70"/>
  <c r="U6" i="70"/>
  <c r="T6" i="70"/>
  <c r="V6" i="70" s="1"/>
  <c r="O10" i="70"/>
  <c r="R9" i="70"/>
  <c r="P9" i="70"/>
  <c r="Q9" i="70" s="1"/>
  <c r="U5" i="70"/>
  <c r="T5" i="70"/>
  <c r="V5" i="70" s="1"/>
  <c r="W154" i="69"/>
  <c r="S154" i="69"/>
  <c r="U153" i="69"/>
  <c r="V153" i="69" s="1"/>
  <c r="T153" i="69"/>
  <c r="R155" i="69"/>
  <c r="O156" i="69"/>
  <c r="P155" i="69"/>
  <c r="Q155" i="69" s="1"/>
  <c r="W9" i="69"/>
  <c r="S9" i="69"/>
  <c r="G30" i="69"/>
  <c r="E29" i="69"/>
  <c r="G28" i="69"/>
  <c r="G31" i="69"/>
  <c r="G32" i="69" s="1"/>
  <c r="O10" i="69"/>
  <c r="R9" i="69"/>
  <c r="W5" i="69"/>
  <c r="S5" i="69"/>
  <c r="W6" i="69"/>
  <c r="S6" i="69"/>
  <c r="W8" i="69"/>
  <c r="S8" i="69"/>
  <c r="W7" i="69"/>
  <c r="S7" i="69"/>
  <c r="O30" i="76" l="1"/>
  <c r="P29" i="76"/>
  <c r="Q29" i="76" s="1"/>
  <c r="O13" i="72"/>
  <c r="P12" i="72"/>
  <c r="Q12" i="72" s="1"/>
  <c r="U7" i="71"/>
  <c r="T7" i="71"/>
  <c r="V7" i="71" s="1"/>
  <c r="U9" i="71"/>
  <c r="T9" i="71"/>
  <c r="V9" i="71" s="1"/>
  <c r="T6" i="71"/>
  <c r="V6" i="71" s="1"/>
  <c r="U6" i="71"/>
  <c r="U5" i="71"/>
  <c r="T5" i="71"/>
  <c r="V5" i="71" s="1"/>
  <c r="O11" i="71"/>
  <c r="R10" i="71"/>
  <c r="P10" i="71"/>
  <c r="Q10" i="71" s="1"/>
  <c r="U8" i="71"/>
  <c r="T8" i="71"/>
  <c r="V8" i="71" s="1"/>
  <c r="E31" i="71"/>
  <c r="W9" i="70"/>
  <c r="S9" i="70"/>
  <c r="E31" i="70"/>
  <c r="O11" i="70"/>
  <c r="R10" i="70"/>
  <c r="P10" i="70"/>
  <c r="Q10" i="70" s="1"/>
  <c r="G28" i="70"/>
  <c r="G31" i="70"/>
  <c r="G32" i="70" s="1"/>
  <c r="W155" i="69"/>
  <c r="S155" i="69"/>
  <c r="R156" i="69"/>
  <c r="O157" i="69"/>
  <c r="P156" i="69"/>
  <c r="Q156" i="69" s="1"/>
  <c r="T154" i="69"/>
  <c r="U154" i="69"/>
  <c r="V154" i="69" s="1"/>
  <c r="U8" i="69"/>
  <c r="T8" i="69"/>
  <c r="V8" i="69" s="1"/>
  <c r="U5" i="69"/>
  <c r="T5" i="69"/>
  <c r="V5" i="69" s="1"/>
  <c r="E31" i="69"/>
  <c r="T6" i="69"/>
  <c r="V6" i="69" s="1"/>
  <c r="U6" i="69"/>
  <c r="U9" i="69"/>
  <c r="T9" i="69"/>
  <c r="V9" i="69" s="1"/>
  <c r="U7" i="69"/>
  <c r="T7" i="69"/>
  <c r="V7" i="69" s="1"/>
  <c r="O11" i="69"/>
  <c r="R10" i="69"/>
  <c r="P10" i="69"/>
  <c r="Q10" i="69" s="1"/>
  <c r="D28" i="62"/>
  <c r="D27" i="62"/>
  <c r="O31" i="76" l="1"/>
  <c r="P30" i="76"/>
  <c r="Q30" i="76" s="1"/>
  <c r="O14" i="72"/>
  <c r="P13" i="72"/>
  <c r="Q13" i="72" s="1"/>
  <c r="W10" i="71"/>
  <c r="S10" i="71"/>
  <c r="R11" i="71"/>
  <c r="O12" i="71"/>
  <c r="P11" i="71"/>
  <c r="Q11" i="71" s="1"/>
  <c r="W10" i="70"/>
  <c r="S10" i="70"/>
  <c r="U9" i="70"/>
  <c r="T9" i="70"/>
  <c r="V9" i="70" s="1"/>
  <c r="R11" i="70"/>
  <c r="O12" i="70"/>
  <c r="P11" i="70"/>
  <c r="Q11" i="70" s="1"/>
  <c r="W156" i="69"/>
  <c r="S156" i="69"/>
  <c r="T155" i="69"/>
  <c r="U155" i="69"/>
  <c r="V155" i="69" s="1"/>
  <c r="O158" i="69"/>
  <c r="P157" i="69"/>
  <c r="Q157" i="69" s="1"/>
  <c r="R157" i="69"/>
  <c r="R11" i="69"/>
  <c r="O12" i="69"/>
  <c r="P11" i="69"/>
  <c r="Q11" i="69" s="1"/>
  <c r="W10" i="69"/>
  <c r="S10" i="69"/>
  <c r="D29" i="62"/>
  <c r="D31" i="62" s="1"/>
  <c r="D32" i="62" s="1"/>
  <c r="M6" i="58"/>
  <c r="O32" i="76" l="1"/>
  <c r="P31" i="76"/>
  <c r="Q31" i="76" s="1"/>
  <c r="O15" i="72"/>
  <c r="P14" i="72"/>
  <c r="Q14" i="72" s="1"/>
  <c r="W11" i="71"/>
  <c r="S11" i="71"/>
  <c r="U10" i="71"/>
  <c r="T10" i="71"/>
  <c r="V10" i="71" s="1"/>
  <c r="R12" i="71"/>
  <c r="O13" i="71"/>
  <c r="P12" i="71"/>
  <c r="Q12" i="71" s="1"/>
  <c r="R12" i="70"/>
  <c r="O13" i="70"/>
  <c r="P12" i="70"/>
  <c r="Q12" i="70" s="1"/>
  <c r="W11" i="70"/>
  <c r="S11" i="70"/>
  <c r="U10" i="70"/>
  <c r="T10" i="70"/>
  <c r="V10" i="70" s="1"/>
  <c r="W157" i="69"/>
  <c r="S157" i="69"/>
  <c r="U156" i="69"/>
  <c r="V156" i="69" s="1"/>
  <c r="T156" i="69"/>
  <c r="O159" i="69"/>
  <c r="P158" i="69"/>
  <c r="Q158" i="69" s="1"/>
  <c r="R158" i="69"/>
  <c r="S11" i="69"/>
  <c r="W11" i="69"/>
  <c r="R12" i="69"/>
  <c r="O13" i="69"/>
  <c r="P12" i="69"/>
  <c r="Q12" i="69" s="1"/>
  <c r="U10" i="69"/>
  <c r="T10" i="69"/>
  <c r="V10" i="69" s="1"/>
  <c r="Z121" i="62"/>
  <c r="Z120" i="62"/>
  <c r="D95" i="62"/>
  <c r="G78" i="62"/>
  <c r="G75" i="62"/>
  <c r="G74" i="62"/>
  <c r="L45" i="62"/>
  <c r="L44" i="62"/>
  <c r="G41" i="62"/>
  <c r="G45" i="62" s="1"/>
  <c r="M39" i="62"/>
  <c r="K39" i="62"/>
  <c r="G34" i="62"/>
  <c r="C19" i="62" s="1"/>
  <c r="E27" i="62"/>
  <c r="G18" i="62"/>
  <c r="M17" i="62"/>
  <c r="E17" i="62"/>
  <c r="G11" i="62"/>
  <c r="D11" i="62"/>
  <c r="G10" i="62"/>
  <c r="G15" i="62" s="1"/>
  <c r="M9" i="62"/>
  <c r="G8" i="62"/>
  <c r="G12" i="62" s="1"/>
  <c r="C30" i="62" s="1"/>
  <c r="Y7" i="62"/>
  <c r="K7" i="62"/>
  <c r="Y6" i="62"/>
  <c r="K6" i="62"/>
  <c r="E6" i="62"/>
  <c r="O5" i="62"/>
  <c r="O6" i="62" s="1"/>
  <c r="G3" i="62"/>
  <c r="E3" i="62"/>
  <c r="G2" i="62"/>
  <c r="F2" i="62"/>
  <c r="U1" i="62"/>
  <c r="U2" i="62" s="1"/>
  <c r="P1" i="62"/>
  <c r="O1" i="62"/>
  <c r="N1" i="62"/>
  <c r="E1" i="62"/>
  <c r="F1" i="62" s="1"/>
  <c r="D1" i="62"/>
  <c r="O33" i="76" l="1"/>
  <c r="P32" i="76"/>
  <c r="Q32" i="76" s="1"/>
  <c r="O16" i="72"/>
  <c r="P15" i="72"/>
  <c r="Q15" i="72" s="1"/>
  <c r="R13" i="71"/>
  <c r="O14" i="71"/>
  <c r="P13" i="71"/>
  <c r="Q13" i="71" s="1"/>
  <c r="U11" i="71"/>
  <c r="T11" i="71"/>
  <c r="V11" i="71" s="1"/>
  <c r="W12" i="71"/>
  <c r="S12" i="71"/>
  <c r="W12" i="70"/>
  <c r="S12" i="70"/>
  <c r="O14" i="70"/>
  <c r="R13" i="70"/>
  <c r="P13" i="70"/>
  <c r="Q13" i="70" s="1"/>
  <c r="T11" i="70"/>
  <c r="V11" i="70" s="1"/>
  <c r="U11" i="70"/>
  <c r="U157" i="69"/>
  <c r="V157" i="69" s="1"/>
  <c r="T157" i="69"/>
  <c r="R159" i="69"/>
  <c r="P159" i="69"/>
  <c r="Q159" i="69" s="1"/>
  <c r="W158" i="69"/>
  <c r="S158" i="69"/>
  <c r="W12" i="69"/>
  <c r="S12" i="69"/>
  <c r="U11" i="69"/>
  <c r="T11" i="69"/>
  <c r="V11" i="69" s="1"/>
  <c r="R13" i="69"/>
  <c r="O14" i="69"/>
  <c r="P13" i="69"/>
  <c r="Q13" i="69" s="1"/>
  <c r="G76" i="62"/>
  <c r="Z122" i="62"/>
  <c r="Z123" i="62" s="1"/>
  <c r="Z124" i="62" s="1"/>
  <c r="C23" i="62"/>
  <c r="C21" i="62"/>
  <c r="C95" i="62" s="1"/>
  <c r="C104" i="62" s="1"/>
  <c r="I18" i="62"/>
  <c r="O7" i="62"/>
  <c r="O8" i="62" s="1"/>
  <c r="R8" i="62" s="1"/>
  <c r="R6" i="62"/>
  <c r="R5" i="62"/>
  <c r="Y8" i="62"/>
  <c r="Y9" i="62" s="1"/>
  <c r="G37" i="62"/>
  <c r="K1" i="62"/>
  <c r="K2" i="62" s="1"/>
  <c r="G13" i="62"/>
  <c r="G43" i="62" s="1"/>
  <c r="G44" i="62" s="1"/>
  <c r="G9" i="62"/>
  <c r="E18" i="62"/>
  <c r="R7" i="62"/>
  <c r="G22" i="62"/>
  <c r="G23" i="62"/>
  <c r="O34" i="76" l="1"/>
  <c r="P33" i="76"/>
  <c r="Q33" i="76" s="1"/>
  <c r="O17" i="72"/>
  <c r="P16" i="72"/>
  <c r="Q16" i="72" s="1"/>
  <c r="T12" i="71"/>
  <c r="V12" i="71" s="1"/>
  <c r="U12" i="71"/>
  <c r="S13" i="71"/>
  <c r="W13" i="71"/>
  <c r="O15" i="71"/>
  <c r="R14" i="71"/>
  <c r="P14" i="71"/>
  <c r="Q14" i="71" s="1"/>
  <c r="U12" i="70"/>
  <c r="T12" i="70"/>
  <c r="V12" i="70" s="1"/>
  <c r="W13" i="70"/>
  <c r="S13" i="70"/>
  <c r="O15" i="70"/>
  <c r="R14" i="70"/>
  <c r="P14" i="70"/>
  <c r="Q14" i="70" s="1"/>
  <c r="W159" i="69"/>
  <c r="S159" i="69"/>
  <c r="T158" i="69"/>
  <c r="U158" i="69"/>
  <c r="V158" i="69" s="1"/>
  <c r="W13" i="69"/>
  <c r="S13" i="69"/>
  <c r="O15" i="69"/>
  <c r="R14" i="69"/>
  <c r="P14" i="69"/>
  <c r="Q14" i="69" s="1"/>
  <c r="T12" i="69"/>
  <c r="V12" i="69" s="1"/>
  <c r="U12" i="69"/>
  <c r="O9" i="62"/>
  <c r="C24" i="62"/>
  <c r="R3" i="62" s="1"/>
  <c r="S1" i="62" s="1"/>
  <c r="R9" i="62"/>
  <c r="O10" i="62"/>
  <c r="G35" i="62"/>
  <c r="G24" i="62"/>
  <c r="C14" i="62" s="1"/>
  <c r="G14" i="62"/>
  <c r="E14" i="62" s="1"/>
  <c r="E15" i="62" s="1"/>
  <c r="G16" i="62"/>
  <c r="P5" i="62"/>
  <c r="Q5" i="62" s="1"/>
  <c r="P6" i="62"/>
  <c r="Q6" i="62" s="1"/>
  <c r="P7" i="62"/>
  <c r="Q7" i="62" s="1"/>
  <c r="H48" i="58"/>
  <c r="H49" i="58" s="1"/>
  <c r="H47" i="58"/>
  <c r="H46" i="58"/>
  <c r="O35" i="76" l="1"/>
  <c r="P34" i="76"/>
  <c r="Q34" i="76" s="1"/>
  <c r="O18" i="72"/>
  <c r="P17" i="72"/>
  <c r="Q17" i="72" s="1"/>
  <c r="W14" i="71"/>
  <c r="S14" i="71"/>
  <c r="O16" i="71"/>
  <c r="R15" i="71"/>
  <c r="P15" i="71"/>
  <c r="Q15" i="71" s="1"/>
  <c r="U13" i="71"/>
  <c r="T13" i="71"/>
  <c r="V13" i="71" s="1"/>
  <c r="W14" i="70"/>
  <c r="S14" i="70"/>
  <c r="T13" i="70"/>
  <c r="V13" i="70" s="1"/>
  <c r="U13" i="70"/>
  <c r="O16" i="70"/>
  <c r="R15" i="70"/>
  <c r="P15" i="70"/>
  <c r="Q15" i="70" s="1"/>
  <c r="T159" i="69"/>
  <c r="U159" i="69"/>
  <c r="V159" i="69" s="1"/>
  <c r="U13" i="69"/>
  <c r="T13" i="69"/>
  <c r="V13" i="69" s="1"/>
  <c r="W14" i="69"/>
  <c r="S14" i="69"/>
  <c r="O16" i="69"/>
  <c r="R15" i="69"/>
  <c r="P15" i="69"/>
  <c r="Q15" i="69" s="1"/>
  <c r="P10" i="62"/>
  <c r="Q10" i="62" s="1"/>
  <c r="P9" i="62"/>
  <c r="Q9" i="62" s="1"/>
  <c r="W9" i="62" s="1"/>
  <c r="P8" i="62"/>
  <c r="Q8" i="62" s="1"/>
  <c r="W7" i="62"/>
  <c r="S7" i="62"/>
  <c r="G25" i="62"/>
  <c r="S9" i="62"/>
  <c r="E16" i="62"/>
  <c r="E10" i="62" s="1"/>
  <c r="E9" i="62" s="1"/>
  <c r="I17" i="62"/>
  <c r="G39" i="62"/>
  <c r="E21" i="62"/>
  <c r="G20" i="62"/>
  <c r="G19" i="62"/>
  <c r="O11" i="62"/>
  <c r="R10" i="62"/>
  <c r="W6" i="62"/>
  <c r="S6" i="62"/>
  <c r="W10" i="62"/>
  <c r="S10" i="62"/>
  <c r="W8" i="62"/>
  <c r="S8" i="62"/>
  <c r="W5" i="62"/>
  <c r="S5" i="62"/>
  <c r="T5" i="62" s="1"/>
  <c r="H3" i="58"/>
  <c r="H4" i="58" s="1"/>
  <c r="I240" i="58"/>
  <c r="J56" i="58"/>
  <c r="I56" i="58"/>
  <c r="J55" i="58"/>
  <c r="K54" i="58"/>
  <c r="J53" i="58"/>
  <c r="J57" i="58" s="1"/>
  <c r="G52" i="58"/>
  <c r="G51" i="58"/>
  <c r="K50" i="58"/>
  <c r="K49" i="58"/>
  <c r="L47" i="58"/>
  <c r="I47" i="58"/>
  <c r="I48" i="58" s="1"/>
  <c r="I49" i="58" s="1"/>
  <c r="F47" i="58"/>
  <c r="P45" i="58"/>
  <c r="P46" i="58" s="1"/>
  <c r="I45" i="58"/>
  <c r="F45" i="58"/>
  <c r="F46" i="58" s="1"/>
  <c r="M29" i="58"/>
  <c r="M28" i="58"/>
  <c r="B28" i="58"/>
  <c r="M25" i="58"/>
  <c r="B25" i="58"/>
  <c r="M24" i="58"/>
  <c r="B24" i="58"/>
  <c r="M23" i="58"/>
  <c r="B23" i="58"/>
  <c r="M22" i="58"/>
  <c r="B22" i="58"/>
  <c r="M20" i="58"/>
  <c r="B20" i="58"/>
  <c r="M19" i="58"/>
  <c r="B19" i="58"/>
  <c r="M18" i="58"/>
  <c r="B18" i="58"/>
  <c r="M17" i="58"/>
  <c r="N7" i="58" s="1"/>
  <c r="B17" i="58"/>
  <c r="A12" i="58"/>
  <c r="M12" i="58" s="1"/>
  <c r="M11" i="58"/>
  <c r="B11" i="58"/>
  <c r="A10" i="58"/>
  <c r="M10" i="58" s="1"/>
  <c r="M9" i="58"/>
  <c r="B9" i="58"/>
  <c r="F7" i="58"/>
  <c r="Y6" i="58"/>
  <c r="Y7" i="58" s="1"/>
  <c r="L6" i="58"/>
  <c r="I6" i="58"/>
  <c r="L5" i="58"/>
  <c r="B4" i="58"/>
  <c r="N3" i="58"/>
  <c r="N4" i="58" s="1"/>
  <c r="I3" i="58"/>
  <c r="Y2" i="58"/>
  <c r="Y3" i="58" s="1"/>
  <c r="Q2" i="58"/>
  <c r="Q3" i="58" s="1"/>
  <c r="Q4" i="58" s="1"/>
  <c r="I2" i="58"/>
  <c r="B2" i="58"/>
  <c r="Q1" i="58"/>
  <c r="O36" i="76" l="1"/>
  <c r="P35" i="76"/>
  <c r="Q35" i="76" s="1"/>
  <c r="O19" i="72"/>
  <c r="P18" i="72"/>
  <c r="Q18" i="72" s="1"/>
  <c r="R16" i="71"/>
  <c r="O17" i="71"/>
  <c r="P16" i="71"/>
  <c r="Q16" i="71" s="1"/>
  <c r="U14" i="71"/>
  <c r="T14" i="71"/>
  <c r="V14" i="71" s="1"/>
  <c r="W15" i="71"/>
  <c r="S15" i="71"/>
  <c r="W15" i="70"/>
  <c r="S15" i="70"/>
  <c r="O17" i="70"/>
  <c r="R16" i="70"/>
  <c r="P16" i="70"/>
  <c r="Q16" i="70" s="1"/>
  <c r="T14" i="70"/>
  <c r="V14" i="70" s="1"/>
  <c r="U14" i="70"/>
  <c r="W15" i="69"/>
  <c r="S15" i="69"/>
  <c r="R16" i="69"/>
  <c r="O17" i="69"/>
  <c r="P16" i="69"/>
  <c r="Q16" i="69" s="1"/>
  <c r="U14" i="69"/>
  <c r="T14" i="69"/>
  <c r="V14" i="69" s="1"/>
  <c r="D21" i="58"/>
  <c r="J21" i="58"/>
  <c r="C21" i="58"/>
  <c r="H21" i="58" s="1"/>
  <c r="J9" i="58"/>
  <c r="J10" i="58"/>
  <c r="J17" i="58"/>
  <c r="J18" i="58"/>
  <c r="D25" i="58"/>
  <c r="J12" i="58"/>
  <c r="D22" i="58"/>
  <c r="H44" i="58" s="1"/>
  <c r="D23" i="58"/>
  <c r="J24" i="58"/>
  <c r="J11" i="58"/>
  <c r="D20" i="58"/>
  <c r="E20" i="58" s="1"/>
  <c r="J22" i="58"/>
  <c r="J23" i="58"/>
  <c r="Y8" i="58"/>
  <c r="D9" i="58"/>
  <c r="C10" i="58"/>
  <c r="H10" i="58" s="1"/>
  <c r="D17" i="58"/>
  <c r="F17" i="58" s="1"/>
  <c r="G17" i="58" s="1"/>
  <c r="D18" i="58"/>
  <c r="J19" i="58"/>
  <c r="E2" i="58"/>
  <c r="D46" i="58" s="1"/>
  <c r="D47" i="58" s="1"/>
  <c r="H5" i="58"/>
  <c r="I44" i="58"/>
  <c r="G46" i="58"/>
  <c r="G47" i="58" s="1"/>
  <c r="G48" i="58" s="1"/>
  <c r="G49" i="58" s="1"/>
  <c r="B29" i="58"/>
  <c r="J29" i="58"/>
  <c r="C29" i="58"/>
  <c r="H29" i="58" s="1"/>
  <c r="A30" i="58"/>
  <c r="M30" i="58" s="1"/>
  <c r="D29" i="58"/>
  <c r="E25" i="62"/>
  <c r="G29" i="62"/>
  <c r="G27" i="62"/>
  <c r="V5" i="62"/>
  <c r="U5" i="62"/>
  <c r="R11" i="62"/>
  <c r="O12" i="62"/>
  <c r="P11" i="62"/>
  <c r="Q11" i="62" s="1"/>
  <c r="T9" i="62"/>
  <c r="V9" i="62" s="1"/>
  <c r="U9" i="62"/>
  <c r="T7" i="62"/>
  <c r="V7" i="62" s="1"/>
  <c r="U7" i="62"/>
  <c r="T10" i="62"/>
  <c r="V10" i="62" s="1"/>
  <c r="U10" i="62"/>
  <c r="U6" i="62"/>
  <c r="T6" i="62"/>
  <c r="V6" i="62" s="1"/>
  <c r="G46" i="62"/>
  <c r="G42" i="62"/>
  <c r="T8" i="62"/>
  <c r="V8" i="62" s="1"/>
  <c r="U8" i="62"/>
  <c r="G26" i="62"/>
  <c r="C17" i="62"/>
  <c r="F20" i="58"/>
  <c r="G20" i="58" s="1"/>
  <c r="K1" i="58"/>
  <c r="B26" i="58"/>
  <c r="D26" i="58"/>
  <c r="M26" i="58"/>
  <c r="C26" i="58"/>
  <c r="H26" i="58" s="1"/>
  <c r="C30" i="58"/>
  <c r="H30" i="58" s="1"/>
  <c r="I9" i="58"/>
  <c r="E9" i="58"/>
  <c r="F9" i="58"/>
  <c r="G9" i="58" s="1"/>
  <c r="F18" i="58"/>
  <c r="G18" i="58" s="1"/>
  <c r="E18" i="58"/>
  <c r="I18" i="58"/>
  <c r="F23" i="58"/>
  <c r="G23" i="58" s="1"/>
  <c r="E23" i="58"/>
  <c r="I23" i="58"/>
  <c r="B6" i="58"/>
  <c r="K21" i="58" s="1"/>
  <c r="L21" i="58" s="1"/>
  <c r="A13" i="58"/>
  <c r="I17" i="58"/>
  <c r="I22" i="58"/>
  <c r="B12" i="58"/>
  <c r="E17" i="58"/>
  <c r="E22" i="58"/>
  <c r="I25" i="58"/>
  <c r="I29" i="58"/>
  <c r="E29" i="58"/>
  <c r="J28" i="58"/>
  <c r="C28" i="58"/>
  <c r="J26" i="58"/>
  <c r="C25" i="58"/>
  <c r="H25" i="58" s="1"/>
  <c r="C24" i="58"/>
  <c r="H24" i="58" s="1"/>
  <c r="C23" i="58"/>
  <c r="H23" i="58" s="1"/>
  <c r="C22" i="58"/>
  <c r="C20" i="58"/>
  <c r="H20" i="58" s="1"/>
  <c r="C19" i="58"/>
  <c r="C18" i="58"/>
  <c r="H18" i="58" s="1"/>
  <c r="C17" i="58"/>
  <c r="H17" i="58" s="1"/>
  <c r="J13" i="58"/>
  <c r="C12" i="58"/>
  <c r="H12" i="58" s="1"/>
  <c r="D11" i="58"/>
  <c r="D10" i="58"/>
  <c r="F6" i="58"/>
  <c r="L7" i="58"/>
  <c r="C9" i="58"/>
  <c r="H9" i="58" s="1"/>
  <c r="B10" i="58"/>
  <c r="C11" i="58"/>
  <c r="H11" i="58" s="1"/>
  <c r="D12" i="58"/>
  <c r="D13" i="58"/>
  <c r="D19" i="58"/>
  <c r="J20" i="58"/>
  <c r="F22" i="58"/>
  <c r="G22" i="58" s="1"/>
  <c r="D24" i="58"/>
  <c r="J25" i="58"/>
  <c r="D28" i="58"/>
  <c r="F29" i="58"/>
  <c r="G29" i="58" s="1"/>
  <c r="H45" i="58"/>
  <c r="G53" i="58"/>
  <c r="I20" i="58" l="1"/>
  <c r="O37" i="76"/>
  <c r="P36" i="76"/>
  <c r="Q36" i="76" s="1"/>
  <c r="O20" i="72"/>
  <c r="P19" i="72"/>
  <c r="Q19" i="72" s="1"/>
  <c r="W16" i="71"/>
  <c r="S16" i="71"/>
  <c r="R17" i="71"/>
  <c r="O18" i="71"/>
  <c r="P17" i="71"/>
  <c r="Q17" i="71" s="1"/>
  <c r="U15" i="71"/>
  <c r="T15" i="71"/>
  <c r="V15" i="71" s="1"/>
  <c r="O18" i="70"/>
  <c r="R17" i="70"/>
  <c r="P17" i="70"/>
  <c r="Q17" i="70" s="1"/>
  <c r="W16" i="70"/>
  <c r="S16" i="70"/>
  <c r="U15" i="70"/>
  <c r="T15" i="70"/>
  <c r="V15" i="70" s="1"/>
  <c r="W16" i="69"/>
  <c r="S16" i="69"/>
  <c r="U15" i="69"/>
  <c r="T15" i="69"/>
  <c r="V15" i="69" s="1"/>
  <c r="R17" i="69"/>
  <c r="O18" i="69"/>
  <c r="P17" i="69"/>
  <c r="Q17" i="69" s="1"/>
  <c r="E25" i="58"/>
  <c r="F25" i="58"/>
  <c r="G25" i="58" s="1"/>
  <c r="F21" i="58"/>
  <c r="G21" i="58" s="1"/>
  <c r="I21" i="58"/>
  <c r="E21" i="58"/>
  <c r="D30" i="58"/>
  <c r="F30" i="58" s="1"/>
  <c r="G30" i="58" s="1"/>
  <c r="J30" i="58"/>
  <c r="A31" i="58"/>
  <c r="C31" i="58" s="1"/>
  <c r="H31" i="58" s="1"/>
  <c r="B30" i="58"/>
  <c r="W11" i="62"/>
  <c r="S11" i="62"/>
  <c r="O13" i="62"/>
  <c r="R12" i="62"/>
  <c r="P12" i="62"/>
  <c r="Q12" i="62" s="1"/>
  <c r="G30" i="62"/>
  <c r="E29" i="62"/>
  <c r="G31" i="62"/>
  <c r="G28" i="62"/>
  <c r="H1" i="58"/>
  <c r="I19" i="58"/>
  <c r="F19" i="58"/>
  <c r="G19" i="58" s="1"/>
  <c r="E19" i="58"/>
  <c r="H28" i="58"/>
  <c r="S3" i="58"/>
  <c r="H6" i="58"/>
  <c r="K3" i="58" s="1"/>
  <c r="K4" i="58" s="1"/>
  <c r="H7" i="58"/>
  <c r="K25" i="58"/>
  <c r="L25" i="58" s="1"/>
  <c r="K24" i="58"/>
  <c r="L24" i="58" s="1"/>
  <c r="K23" i="58"/>
  <c r="L23" i="58" s="1"/>
  <c r="K22" i="58"/>
  <c r="L22" i="58" s="1"/>
  <c r="K20" i="58"/>
  <c r="L20" i="58" s="1"/>
  <c r="K19" i="58"/>
  <c r="L19" i="58" s="1"/>
  <c r="K18" i="58"/>
  <c r="L18" i="58" s="1"/>
  <c r="K17" i="58"/>
  <c r="L17" i="58" s="1"/>
  <c r="K12" i="58"/>
  <c r="L12" i="58" s="1"/>
  <c r="K28" i="58"/>
  <c r="L28" i="58" s="1"/>
  <c r="K26" i="58"/>
  <c r="L26" i="58" s="1"/>
  <c r="K30" i="58"/>
  <c r="L30" i="58" s="1"/>
  <c r="K29" i="58"/>
  <c r="L29" i="58" s="1"/>
  <c r="K10" i="58"/>
  <c r="L10" i="58" s="1"/>
  <c r="K11" i="58"/>
  <c r="L11" i="58" s="1"/>
  <c r="K9" i="58"/>
  <c r="L9" i="58" s="1"/>
  <c r="K13" i="58"/>
  <c r="L13" i="58" s="1"/>
  <c r="I24" i="58"/>
  <c r="F24" i="58"/>
  <c r="E24" i="58"/>
  <c r="F13" i="58"/>
  <c r="G13" i="58" s="1"/>
  <c r="I13" i="58"/>
  <c r="E13" i="58"/>
  <c r="F10" i="58"/>
  <c r="G10" i="58" s="1"/>
  <c r="E10" i="58"/>
  <c r="I10" i="58"/>
  <c r="H19" i="58"/>
  <c r="G54" i="58"/>
  <c r="G55" i="58" s="1"/>
  <c r="H53" i="58"/>
  <c r="H54" i="58" s="1"/>
  <c r="H55" i="58" s="1"/>
  <c r="M31" i="58"/>
  <c r="B31" i="58"/>
  <c r="J31" i="58"/>
  <c r="D31" i="58"/>
  <c r="K31" i="58" s="1"/>
  <c r="L31" i="58" s="1"/>
  <c r="A32" i="58"/>
  <c r="F26" i="58"/>
  <c r="G26" i="58" s="1"/>
  <c r="E26" i="58"/>
  <c r="I26" i="58"/>
  <c r="I12" i="58"/>
  <c r="F12" i="58"/>
  <c r="G12" i="58" s="1"/>
  <c r="E12" i="58"/>
  <c r="I11" i="58"/>
  <c r="F11" i="58"/>
  <c r="G11" i="58" s="1"/>
  <c r="E11" i="58"/>
  <c r="F28" i="58"/>
  <c r="G28" i="58" s="1"/>
  <c r="I28" i="58"/>
  <c r="E28" i="58"/>
  <c r="J44" i="58"/>
  <c r="J45" i="58" s="1"/>
  <c r="O2" i="58"/>
  <c r="H22" i="58"/>
  <c r="C7" i="58"/>
  <c r="E30" i="58"/>
  <c r="I30" i="58"/>
  <c r="A14" i="58"/>
  <c r="B13" i="58"/>
  <c r="M13" i="58"/>
  <c r="C13" i="58"/>
  <c r="H13" i="58" s="1"/>
  <c r="M27" i="58"/>
  <c r="J27" i="58"/>
  <c r="D27" i="58"/>
  <c r="C27" i="58"/>
  <c r="B27" i="58"/>
  <c r="O38" i="76" l="1"/>
  <c r="P37" i="76"/>
  <c r="Q37" i="76" s="1"/>
  <c r="O21" i="72"/>
  <c r="P20" i="72"/>
  <c r="Q20" i="72" s="1"/>
  <c r="W17" i="71"/>
  <c r="S17" i="71"/>
  <c r="U16" i="71"/>
  <c r="T16" i="71"/>
  <c r="V16" i="71" s="1"/>
  <c r="O19" i="71"/>
  <c r="R18" i="71"/>
  <c r="P18" i="71"/>
  <c r="Q18" i="71" s="1"/>
  <c r="W17" i="70"/>
  <c r="S17" i="70"/>
  <c r="U16" i="70"/>
  <c r="T16" i="70"/>
  <c r="V16" i="70" s="1"/>
  <c r="O19" i="70"/>
  <c r="R18" i="70"/>
  <c r="P18" i="70"/>
  <c r="Q18" i="70" s="1"/>
  <c r="S17" i="69"/>
  <c r="W17" i="69"/>
  <c r="O19" i="69"/>
  <c r="R18" i="69"/>
  <c r="P18" i="69"/>
  <c r="Q18" i="69" s="1"/>
  <c r="U16" i="69"/>
  <c r="T16" i="69"/>
  <c r="V16" i="69" s="1"/>
  <c r="G32" i="62"/>
  <c r="E31" i="62"/>
  <c r="O14" i="62"/>
  <c r="R13" i="62"/>
  <c r="P13" i="62"/>
  <c r="Q13" i="62" s="1"/>
  <c r="U11" i="62"/>
  <c r="T11" i="62"/>
  <c r="V11" i="62" s="1"/>
  <c r="S12" i="62"/>
  <c r="W12" i="62"/>
  <c r="K5" i="58"/>
  <c r="K6" i="58"/>
  <c r="K7" i="58" s="1"/>
  <c r="I27" i="58"/>
  <c r="E27" i="58"/>
  <c r="F27" i="58"/>
  <c r="G27" i="58" s="1"/>
  <c r="O3" i="58"/>
  <c r="P2" i="58"/>
  <c r="O4" i="58"/>
  <c r="G24" i="58"/>
  <c r="G44" i="58"/>
  <c r="M14" i="58"/>
  <c r="C14" i="58"/>
  <c r="H14" i="58" s="1"/>
  <c r="B14" i="58"/>
  <c r="A15" i="58"/>
  <c r="J14" i="58"/>
  <c r="D14" i="58"/>
  <c r="A33" i="58"/>
  <c r="B32" i="58"/>
  <c r="M32" i="58"/>
  <c r="D32" i="58"/>
  <c r="J32" i="58"/>
  <c r="C32" i="58"/>
  <c r="H32" i="58" s="1"/>
  <c r="K27" i="58"/>
  <c r="L27" i="58" s="1"/>
  <c r="C44" i="58"/>
  <c r="H27" i="58"/>
  <c r="F31" i="58"/>
  <c r="G31" i="58" s="1"/>
  <c r="E31" i="58"/>
  <c r="I31" i="58"/>
  <c r="O39" i="76" l="1"/>
  <c r="P38" i="76"/>
  <c r="Q38" i="76" s="1"/>
  <c r="O22" i="72"/>
  <c r="P21" i="72"/>
  <c r="Q21" i="72" s="1"/>
  <c r="U17" i="71"/>
  <c r="T17" i="71"/>
  <c r="V17" i="71" s="1"/>
  <c r="R19" i="71"/>
  <c r="O20" i="71"/>
  <c r="P19" i="71"/>
  <c r="Q19" i="71" s="1"/>
  <c r="W18" i="71"/>
  <c r="S18" i="71"/>
  <c r="W18" i="70"/>
  <c r="S18" i="70"/>
  <c r="O20" i="70"/>
  <c r="R19" i="70"/>
  <c r="P19" i="70"/>
  <c r="Q19" i="70" s="1"/>
  <c r="T17" i="70"/>
  <c r="V17" i="70" s="1"/>
  <c r="U17" i="70"/>
  <c r="W18" i="69"/>
  <c r="S18" i="69"/>
  <c r="U17" i="69"/>
  <c r="T17" i="69"/>
  <c r="V17" i="69" s="1"/>
  <c r="R19" i="69"/>
  <c r="O20" i="69"/>
  <c r="P19" i="69"/>
  <c r="Q19" i="69" s="1"/>
  <c r="N12" i="58"/>
  <c r="P12" i="58" s="1"/>
  <c r="Q12" i="58" s="1"/>
  <c r="N21" i="58"/>
  <c r="T12" i="62"/>
  <c r="V12" i="62" s="1"/>
  <c r="U12" i="62"/>
  <c r="W13" i="62"/>
  <c r="S13" i="62"/>
  <c r="O15" i="62"/>
  <c r="R14" i="62"/>
  <c r="P14" i="62"/>
  <c r="Q14" i="62" s="1"/>
  <c r="N18" i="58"/>
  <c r="P18" i="58" s="1"/>
  <c r="Q18" i="58" s="1"/>
  <c r="N31" i="58"/>
  <c r="P31" i="58" s="1"/>
  <c r="Q31" i="58" s="1"/>
  <c r="N30" i="58"/>
  <c r="O30" i="58" s="1"/>
  <c r="N29" i="58"/>
  <c r="P29" i="58" s="1"/>
  <c r="Q29" i="58" s="1"/>
  <c r="N17" i="58"/>
  <c r="P17" i="58" s="1"/>
  <c r="Q17" i="58" s="1"/>
  <c r="N26" i="58"/>
  <c r="O26" i="58" s="1"/>
  <c r="N23" i="58"/>
  <c r="O23" i="58" s="1"/>
  <c r="N9" i="58"/>
  <c r="P9" i="58" s="1"/>
  <c r="Q9" i="58" s="1"/>
  <c r="N10" i="58"/>
  <c r="O10" i="58" s="1"/>
  <c r="N28" i="58"/>
  <c r="P28" i="58" s="1"/>
  <c r="Q28" i="58" s="1"/>
  <c r="N25" i="58"/>
  <c r="P25" i="58" s="1"/>
  <c r="Q25" i="58" s="1"/>
  <c r="N22" i="58"/>
  <c r="O22" i="58" s="1"/>
  <c r="P4" i="58" s="1"/>
  <c r="N11" i="58"/>
  <c r="O11" i="58" s="1"/>
  <c r="N13" i="58"/>
  <c r="O13" i="58" s="1"/>
  <c r="N19" i="58"/>
  <c r="P19" i="58" s="1"/>
  <c r="Q19" i="58" s="1"/>
  <c r="N27" i="58"/>
  <c r="P27" i="58" s="1"/>
  <c r="Q27" i="58" s="1"/>
  <c r="N20" i="58"/>
  <c r="O20" i="58" s="1"/>
  <c r="N24" i="58"/>
  <c r="O24" i="58" s="1"/>
  <c r="M33" i="58"/>
  <c r="A34" i="58"/>
  <c r="D33" i="58"/>
  <c r="J33" i="58"/>
  <c r="B33" i="58"/>
  <c r="C33" i="58"/>
  <c r="H33" i="58" s="1"/>
  <c r="C15" i="58"/>
  <c r="H15" i="58" s="1"/>
  <c r="M15" i="58"/>
  <c r="B15" i="58"/>
  <c r="A16" i="58"/>
  <c r="J15" i="58"/>
  <c r="D15" i="58"/>
  <c r="F32" i="58"/>
  <c r="G32" i="58" s="1"/>
  <c r="E32" i="58"/>
  <c r="I32" i="58"/>
  <c r="K32" i="58"/>
  <c r="L32" i="58" s="1"/>
  <c r="N32" i="58" s="1"/>
  <c r="I14" i="58"/>
  <c r="E14" i="58"/>
  <c r="F14" i="58"/>
  <c r="G14" i="58" s="1"/>
  <c r="K14" i="58"/>
  <c r="L14" i="58" s="1"/>
  <c r="N14" i="58" s="1"/>
  <c r="O40" i="76" l="1"/>
  <c r="P39" i="76"/>
  <c r="Q39" i="76" s="1"/>
  <c r="O23" i="72"/>
  <c r="P22" i="72"/>
  <c r="Q22" i="72" s="1"/>
  <c r="R20" i="71"/>
  <c r="O21" i="71"/>
  <c r="P20" i="71"/>
  <c r="Q20" i="71" s="1"/>
  <c r="U18" i="71"/>
  <c r="T18" i="71"/>
  <c r="V18" i="71" s="1"/>
  <c r="W19" i="71"/>
  <c r="S19" i="71"/>
  <c r="W19" i="70"/>
  <c r="S19" i="70"/>
  <c r="T18" i="70"/>
  <c r="V18" i="70" s="1"/>
  <c r="U18" i="70"/>
  <c r="O21" i="70"/>
  <c r="R20" i="70"/>
  <c r="P20" i="70"/>
  <c r="Q20" i="70" s="1"/>
  <c r="W19" i="69"/>
  <c r="S19" i="69"/>
  <c r="R20" i="69"/>
  <c r="O21" i="69"/>
  <c r="P20" i="69"/>
  <c r="Q20" i="69" s="1"/>
  <c r="U18" i="69"/>
  <c r="T18" i="69"/>
  <c r="V18" i="69" s="1"/>
  <c r="O12" i="58"/>
  <c r="O18" i="58"/>
  <c r="P21" i="58"/>
  <c r="Q21" i="58" s="1"/>
  <c r="O21" i="58"/>
  <c r="W14" i="62"/>
  <c r="S14" i="62"/>
  <c r="T13" i="62"/>
  <c r="V13" i="62" s="1"/>
  <c r="U13" i="62"/>
  <c r="O16" i="62"/>
  <c r="R15" i="62"/>
  <c r="P15" i="62"/>
  <c r="Q15" i="62" s="1"/>
  <c r="P10" i="58"/>
  <c r="Q10" i="58" s="1"/>
  <c r="R10" i="58" s="1"/>
  <c r="S10" i="58" s="1"/>
  <c r="T10" i="58" s="1"/>
  <c r="P26" i="58"/>
  <c r="Q26" i="58" s="1"/>
  <c r="R26" i="58" s="1"/>
  <c r="S26" i="58" s="1"/>
  <c r="U26" i="58" s="1"/>
  <c r="P13" i="58"/>
  <c r="Q13" i="58" s="1"/>
  <c r="R13" i="58" s="1"/>
  <c r="S13" i="58" s="1"/>
  <c r="U13" i="58" s="1"/>
  <c r="P24" i="58"/>
  <c r="Q24" i="58" s="1"/>
  <c r="R24" i="58" s="1"/>
  <c r="S24" i="58" s="1"/>
  <c r="T24" i="58" s="1"/>
  <c r="O28" i="58"/>
  <c r="O25" i="58"/>
  <c r="P30" i="58"/>
  <c r="Q30" i="58" s="1"/>
  <c r="R30" i="58" s="1"/>
  <c r="S30" i="58" s="1"/>
  <c r="U30" i="58" s="1"/>
  <c r="O31" i="58"/>
  <c r="P23" i="58"/>
  <c r="Q23" i="58" s="1"/>
  <c r="R23" i="58" s="1"/>
  <c r="S23" i="58" s="1"/>
  <c r="T23" i="58" s="1"/>
  <c r="O9" i="58"/>
  <c r="P22" i="58"/>
  <c r="Q22" i="58" s="1"/>
  <c r="R22" i="58" s="1"/>
  <c r="S22" i="58" s="1"/>
  <c r="U22" i="58" s="1"/>
  <c r="O27" i="58"/>
  <c r="O29" i="58"/>
  <c r="P11" i="58"/>
  <c r="Q11" i="58" s="1"/>
  <c r="R11" i="58" s="1"/>
  <c r="S11" i="58" s="1"/>
  <c r="U11" i="58" s="1"/>
  <c r="O17" i="58"/>
  <c r="O19" i="58"/>
  <c r="P20" i="58"/>
  <c r="Q20" i="58" s="1"/>
  <c r="R20" i="58" s="1"/>
  <c r="S20" i="58" s="1"/>
  <c r="T20" i="58" s="1"/>
  <c r="A35" i="58"/>
  <c r="M34" i="58"/>
  <c r="J34" i="58"/>
  <c r="B34" i="58"/>
  <c r="C34" i="58"/>
  <c r="H34" i="58" s="1"/>
  <c r="D34" i="58"/>
  <c r="R19" i="58"/>
  <c r="S19" i="58" s="1"/>
  <c r="T19" i="58" s="1"/>
  <c r="R29" i="58"/>
  <c r="S29" i="58" s="1"/>
  <c r="T29" i="58" s="1"/>
  <c r="R28" i="58"/>
  <c r="S28" i="58" s="1"/>
  <c r="U28" i="58" s="1"/>
  <c r="E15" i="58"/>
  <c r="I15" i="58"/>
  <c r="F15" i="58"/>
  <c r="G15" i="58" s="1"/>
  <c r="K15" i="58"/>
  <c r="L15" i="58" s="1"/>
  <c r="N15" i="58" s="1"/>
  <c r="R31" i="58"/>
  <c r="S31" i="58" s="1"/>
  <c r="U31" i="58" s="1"/>
  <c r="R25" i="58"/>
  <c r="S25" i="58" s="1"/>
  <c r="U25" i="58" s="1"/>
  <c r="R12" i="58"/>
  <c r="S12" i="58" s="1"/>
  <c r="T12" i="58" s="1"/>
  <c r="O14" i="58"/>
  <c r="P14" i="58"/>
  <c r="Q14" i="58" s="1"/>
  <c r="O32" i="58"/>
  <c r="P32" i="58"/>
  <c r="Q32" i="58" s="1"/>
  <c r="R18" i="58"/>
  <c r="S18" i="58" s="1"/>
  <c r="T18" i="58" s="1"/>
  <c r="D16" i="58"/>
  <c r="M16" i="58"/>
  <c r="B16" i="58"/>
  <c r="C16" i="58"/>
  <c r="H16" i="58" s="1"/>
  <c r="J16" i="58"/>
  <c r="R17" i="58"/>
  <c r="S17" i="58" s="1"/>
  <c r="U17" i="58" s="1"/>
  <c r="R9" i="58"/>
  <c r="S9" i="58" s="1"/>
  <c r="T9" i="58" s="1"/>
  <c r="I33" i="58"/>
  <c r="E33" i="58"/>
  <c r="F33" i="58"/>
  <c r="G33" i="58" s="1"/>
  <c r="K33" i="58"/>
  <c r="L33" i="58" s="1"/>
  <c r="N33" i="58" s="1"/>
  <c r="R27" i="58"/>
  <c r="S27" i="58" s="1"/>
  <c r="U27" i="58" s="1"/>
  <c r="O41" i="76" l="1"/>
  <c r="P40" i="76"/>
  <c r="Q40" i="76" s="1"/>
  <c r="O24" i="72"/>
  <c r="P23" i="72"/>
  <c r="Q23" i="72" s="1"/>
  <c r="U19" i="71"/>
  <c r="T19" i="71"/>
  <c r="V19" i="71" s="1"/>
  <c r="W20" i="71"/>
  <c r="S20" i="71"/>
  <c r="R21" i="71"/>
  <c r="O22" i="71"/>
  <c r="P21" i="71"/>
  <c r="Q21" i="71" s="1"/>
  <c r="W20" i="70"/>
  <c r="S20" i="70"/>
  <c r="R21" i="70"/>
  <c r="O22" i="70"/>
  <c r="P21" i="70"/>
  <c r="Q21" i="70" s="1"/>
  <c r="U19" i="70"/>
  <c r="T19" i="70"/>
  <c r="V19" i="70" s="1"/>
  <c r="W20" i="69"/>
  <c r="S20" i="69"/>
  <c r="U19" i="69"/>
  <c r="T19" i="69"/>
  <c r="V19" i="69" s="1"/>
  <c r="R21" i="69"/>
  <c r="O22" i="69"/>
  <c r="P21" i="69"/>
  <c r="Q21" i="69" s="1"/>
  <c r="R21" i="58"/>
  <c r="S21" i="58" s="1"/>
  <c r="U21" i="58" s="1"/>
  <c r="O17" i="62"/>
  <c r="R16" i="62"/>
  <c r="P16" i="62"/>
  <c r="Q16" i="62" s="1"/>
  <c r="T14" i="62"/>
  <c r="V14" i="62" s="1"/>
  <c r="U14" i="62"/>
  <c r="W15" i="62"/>
  <c r="S15" i="62"/>
  <c r="T30" i="58"/>
  <c r="U20" i="58"/>
  <c r="U23" i="58"/>
  <c r="T28" i="58"/>
  <c r="T17" i="58"/>
  <c r="U12" i="58"/>
  <c r="T31" i="58"/>
  <c r="U29" i="58"/>
  <c r="U10" i="58"/>
  <c r="T26" i="58"/>
  <c r="T13" i="58"/>
  <c r="T27" i="58"/>
  <c r="U19" i="58"/>
  <c r="U24" i="58"/>
  <c r="U18" i="58"/>
  <c r="R14" i="58"/>
  <c r="S14" i="58" s="1"/>
  <c r="U14" i="58" s="1"/>
  <c r="P15" i="58"/>
  <c r="Q15" i="58" s="1"/>
  <c r="O15" i="58"/>
  <c r="A36" i="58"/>
  <c r="M35" i="58"/>
  <c r="B35" i="58"/>
  <c r="J35" i="58"/>
  <c r="C35" i="58"/>
  <c r="H35" i="58" s="1"/>
  <c r="D35" i="58"/>
  <c r="U9" i="58"/>
  <c r="T11" i="58"/>
  <c r="E16" i="58"/>
  <c r="I16" i="58"/>
  <c r="F16" i="58"/>
  <c r="G16" i="58" s="1"/>
  <c r="K16" i="58"/>
  <c r="L16" i="58" s="1"/>
  <c r="N16" i="58" s="1"/>
  <c r="R32" i="58"/>
  <c r="S32" i="58" s="1"/>
  <c r="U32" i="58" s="1"/>
  <c r="T25" i="58"/>
  <c r="T22" i="58"/>
  <c r="O33" i="58"/>
  <c r="P33" i="58"/>
  <c r="Q33" i="58" s="1"/>
  <c r="I34" i="58"/>
  <c r="F34" i="58"/>
  <c r="G34" i="58" s="1"/>
  <c r="E34" i="58"/>
  <c r="K34" i="58"/>
  <c r="L34" i="58" s="1"/>
  <c r="N34" i="58" s="1"/>
  <c r="O42" i="76" l="1"/>
  <c r="P41" i="76"/>
  <c r="Q41" i="76" s="1"/>
  <c r="O25" i="72"/>
  <c r="P24" i="72"/>
  <c r="Q24" i="72" s="1"/>
  <c r="W21" i="71"/>
  <c r="S21" i="71"/>
  <c r="O23" i="71"/>
  <c r="R22" i="71"/>
  <c r="P22" i="71"/>
  <c r="Q22" i="71" s="1"/>
  <c r="U20" i="71"/>
  <c r="T20" i="71"/>
  <c r="V20" i="71" s="1"/>
  <c r="U20" i="70"/>
  <c r="T20" i="70"/>
  <c r="V20" i="70" s="1"/>
  <c r="W21" i="70"/>
  <c r="S21" i="70"/>
  <c r="O23" i="70"/>
  <c r="R22" i="70"/>
  <c r="P22" i="70"/>
  <c r="Q22" i="70" s="1"/>
  <c r="W21" i="69"/>
  <c r="S21" i="69"/>
  <c r="O23" i="69"/>
  <c r="R22" i="69"/>
  <c r="P22" i="69"/>
  <c r="Q22" i="69" s="1"/>
  <c r="U20" i="69"/>
  <c r="T20" i="69"/>
  <c r="V20" i="69" s="1"/>
  <c r="T21" i="58"/>
  <c r="T15" i="62"/>
  <c r="V15" i="62" s="1"/>
  <c r="U15" i="62"/>
  <c r="W16" i="62"/>
  <c r="S16" i="62"/>
  <c r="O18" i="62"/>
  <c r="R17" i="62"/>
  <c r="P17" i="62"/>
  <c r="Q17" i="62" s="1"/>
  <c r="T32" i="58"/>
  <c r="R33" i="58"/>
  <c r="S33" i="58" s="1"/>
  <c r="U33" i="58" s="1"/>
  <c r="R15" i="58"/>
  <c r="S15" i="58" s="1"/>
  <c r="U15" i="58" s="1"/>
  <c r="A37" i="58"/>
  <c r="B36" i="58"/>
  <c r="M36" i="58"/>
  <c r="C36" i="58"/>
  <c r="H36" i="58" s="1"/>
  <c r="D36" i="58"/>
  <c r="J36" i="58"/>
  <c r="T14" i="58"/>
  <c r="P34" i="58"/>
  <c r="Q34" i="58" s="1"/>
  <c r="O34" i="58"/>
  <c r="I35" i="58"/>
  <c r="F35" i="58"/>
  <c r="G35" i="58" s="1"/>
  <c r="E35" i="58"/>
  <c r="K35" i="58"/>
  <c r="L35" i="58" s="1"/>
  <c r="N35" i="58" s="1"/>
  <c r="O16" i="58"/>
  <c r="P16" i="58"/>
  <c r="Q16" i="58" s="1"/>
  <c r="O43" i="76" l="1"/>
  <c r="P42" i="76"/>
  <c r="Q42" i="76" s="1"/>
  <c r="O26" i="72"/>
  <c r="P25" i="72"/>
  <c r="Q25" i="72" s="1"/>
  <c r="O24" i="71"/>
  <c r="R23" i="71"/>
  <c r="P23" i="71"/>
  <c r="Q23" i="71" s="1"/>
  <c r="U21" i="71"/>
  <c r="T21" i="71"/>
  <c r="V21" i="71" s="1"/>
  <c r="W22" i="71"/>
  <c r="S22" i="71"/>
  <c r="O24" i="70"/>
  <c r="R23" i="70"/>
  <c r="P23" i="70"/>
  <c r="Q23" i="70" s="1"/>
  <c r="S22" i="70"/>
  <c r="W22" i="70"/>
  <c r="T21" i="70"/>
  <c r="V21" i="70" s="1"/>
  <c r="U21" i="70"/>
  <c r="U21" i="69"/>
  <c r="T21" i="69"/>
  <c r="V21" i="69" s="1"/>
  <c r="W22" i="69"/>
  <c r="S22" i="69"/>
  <c r="R23" i="69"/>
  <c r="O24" i="69"/>
  <c r="P23" i="69"/>
  <c r="Q23" i="69" s="1"/>
  <c r="W17" i="62"/>
  <c r="S17" i="62"/>
  <c r="R18" i="62"/>
  <c r="O19" i="62"/>
  <c r="P18" i="62"/>
  <c r="Q18" i="62" s="1"/>
  <c r="T16" i="62"/>
  <c r="V16" i="62" s="1"/>
  <c r="U16" i="62"/>
  <c r="T15" i="58"/>
  <c r="F36" i="58"/>
  <c r="G36" i="58" s="1"/>
  <c r="I36" i="58"/>
  <c r="E36" i="58"/>
  <c r="K36" i="58"/>
  <c r="L36" i="58" s="1"/>
  <c r="N36" i="58" s="1"/>
  <c r="M37" i="58"/>
  <c r="B37" i="58"/>
  <c r="A38" i="58"/>
  <c r="C37" i="58"/>
  <c r="H37" i="58" s="1"/>
  <c r="J37" i="58"/>
  <c r="D37" i="58"/>
  <c r="R34" i="58"/>
  <c r="S34" i="58" s="1"/>
  <c r="U34" i="58" s="1"/>
  <c r="T33" i="58"/>
  <c r="O35" i="58"/>
  <c r="P35" i="58"/>
  <c r="Q35" i="58" s="1"/>
  <c r="R16" i="58"/>
  <c r="S16" i="58" s="1"/>
  <c r="U16" i="58" s="1"/>
  <c r="O44" i="76" l="1"/>
  <c r="P43" i="76"/>
  <c r="Q43" i="76" s="1"/>
  <c r="O27" i="72"/>
  <c r="P26" i="72"/>
  <c r="Q26" i="72" s="1"/>
  <c r="T22" i="71"/>
  <c r="V22" i="71" s="1"/>
  <c r="U22" i="71"/>
  <c r="W23" i="71"/>
  <c r="S23" i="71"/>
  <c r="O25" i="71"/>
  <c r="R24" i="71"/>
  <c r="P24" i="71"/>
  <c r="Q24" i="71" s="1"/>
  <c r="W23" i="70"/>
  <c r="S23" i="70"/>
  <c r="U22" i="70"/>
  <c r="T22" i="70"/>
  <c r="V22" i="70" s="1"/>
  <c r="O25" i="70"/>
  <c r="R24" i="70"/>
  <c r="P24" i="70"/>
  <c r="Q24" i="70" s="1"/>
  <c r="T22" i="69"/>
  <c r="V22" i="69" s="1"/>
  <c r="U22" i="69"/>
  <c r="O25" i="69"/>
  <c r="R24" i="69"/>
  <c r="P24" i="69"/>
  <c r="Q24" i="69" s="1"/>
  <c r="W23" i="69"/>
  <c r="S23" i="69"/>
  <c r="T17" i="62"/>
  <c r="V17" i="62" s="1"/>
  <c r="U17" i="62"/>
  <c r="W18" i="62"/>
  <c r="S18" i="62"/>
  <c r="R19" i="62"/>
  <c r="O20" i="62"/>
  <c r="P19" i="62"/>
  <c r="Q19" i="62" s="1"/>
  <c r="T34" i="58"/>
  <c r="R35" i="58"/>
  <c r="S35" i="58" s="1"/>
  <c r="T35" i="58" s="1"/>
  <c r="O36" i="58"/>
  <c r="P36" i="58"/>
  <c r="Q36" i="58" s="1"/>
  <c r="B38" i="58"/>
  <c r="A39" i="58"/>
  <c r="M38" i="58"/>
  <c r="C38" i="58"/>
  <c r="H38" i="58" s="1"/>
  <c r="D38" i="58"/>
  <c r="J38" i="58"/>
  <c r="T16" i="58"/>
  <c r="I37" i="58"/>
  <c r="E37" i="58"/>
  <c r="F37" i="58"/>
  <c r="G37" i="58" s="1"/>
  <c r="K37" i="58"/>
  <c r="L37" i="58" s="1"/>
  <c r="N37" i="58" s="1"/>
  <c r="O45" i="76" l="1"/>
  <c r="P44" i="76"/>
  <c r="Q44" i="76" s="1"/>
  <c r="O28" i="72"/>
  <c r="P27" i="72"/>
  <c r="Q27" i="72" s="1"/>
  <c r="U23" i="71"/>
  <c r="T23" i="71"/>
  <c r="V23" i="71" s="1"/>
  <c r="R25" i="71"/>
  <c r="O26" i="71"/>
  <c r="P25" i="71"/>
  <c r="Q25" i="71" s="1"/>
  <c r="S24" i="71"/>
  <c r="W24" i="71"/>
  <c r="W24" i="70"/>
  <c r="S24" i="70"/>
  <c r="O26" i="70"/>
  <c r="R25" i="70"/>
  <c r="P25" i="70"/>
  <c r="Q25" i="70" s="1"/>
  <c r="U23" i="70"/>
  <c r="T23" i="70"/>
  <c r="V23" i="70" s="1"/>
  <c r="U23" i="69"/>
  <c r="T23" i="69"/>
  <c r="V23" i="69" s="1"/>
  <c r="R25" i="69"/>
  <c r="O26" i="69"/>
  <c r="P25" i="69"/>
  <c r="Q25" i="69" s="1"/>
  <c r="W24" i="69"/>
  <c r="S24" i="69"/>
  <c r="S19" i="62"/>
  <c r="W19" i="62"/>
  <c r="T18" i="62"/>
  <c r="V18" i="62" s="1"/>
  <c r="U18" i="62"/>
  <c r="O21" i="62"/>
  <c r="R20" i="62"/>
  <c r="P20" i="62"/>
  <c r="Q20" i="62" s="1"/>
  <c r="B39" i="58"/>
  <c r="A40" i="58"/>
  <c r="M39" i="58"/>
  <c r="D39" i="58"/>
  <c r="C39" i="58"/>
  <c r="H39" i="58" s="1"/>
  <c r="J39" i="58"/>
  <c r="E38" i="58"/>
  <c r="I38" i="58"/>
  <c r="F38" i="58"/>
  <c r="G38" i="58" s="1"/>
  <c r="K38" i="58"/>
  <c r="L38" i="58" s="1"/>
  <c r="N38" i="58" s="1"/>
  <c r="U35" i="58"/>
  <c r="O37" i="58"/>
  <c r="P37" i="58"/>
  <c r="Q37" i="58" s="1"/>
  <c r="R36" i="58"/>
  <c r="S36" i="58" s="1"/>
  <c r="T36" i="58" s="1"/>
  <c r="O46" i="76" l="1"/>
  <c r="P45" i="76"/>
  <c r="Q45" i="76" s="1"/>
  <c r="O29" i="72"/>
  <c r="P28" i="72"/>
  <c r="Q28" i="72" s="1"/>
  <c r="U24" i="71"/>
  <c r="T24" i="71"/>
  <c r="V24" i="71" s="1"/>
  <c r="O27" i="71"/>
  <c r="R26" i="71"/>
  <c r="P26" i="71"/>
  <c r="Q26" i="71" s="1"/>
  <c r="W25" i="71"/>
  <c r="S25" i="71"/>
  <c r="W25" i="70"/>
  <c r="S25" i="70"/>
  <c r="O27" i="70"/>
  <c r="R26" i="70"/>
  <c r="P26" i="70"/>
  <c r="Q26" i="70" s="1"/>
  <c r="T24" i="70"/>
  <c r="V24" i="70" s="1"/>
  <c r="U24" i="70"/>
  <c r="W25" i="69"/>
  <c r="S25" i="69"/>
  <c r="U24" i="69"/>
  <c r="T24" i="69"/>
  <c r="V24" i="69" s="1"/>
  <c r="O27" i="69"/>
  <c r="R26" i="69"/>
  <c r="P26" i="69"/>
  <c r="Q26" i="69" s="1"/>
  <c r="W20" i="62"/>
  <c r="S20" i="62"/>
  <c r="R21" i="62"/>
  <c r="O22" i="62"/>
  <c r="P21" i="62"/>
  <c r="Q21" i="62" s="1"/>
  <c r="T19" i="62"/>
  <c r="V19" i="62" s="1"/>
  <c r="U19" i="62"/>
  <c r="U36" i="58"/>
  <c r="E39" i="58"/>
  <c r="I39" i="58"/>
  <c r="F39" i="58"/>
  <c r="G39" i="58" s="1"/>
  <c r="K39" i="58"/>
  <c r="L39" i="58" s="1"/>
  <c r="N39" i="58" s="1"/>
  <c r="A41" i="58"/>
  <c r="B40" i="58"/>
  <c r="M40" i="58"/>
  <c r="D40" i="58"/>
  <c r="J40" i="58"/>
  <c r="C40" i="58"/>
  <c r="H40" i="58" s="1"/>
  <c r="P38" i="58"/>
  <c r="Q38" i="58" s="1"/>
  <c r="O38" i="58"/>
  <c r="R37" i="58"/>
  <c r="S37" i="58" s="1"/>
  <c r="U37" i="58" s="1"/>
  <c r="O47" i="76" l="1"/>
  <c r="P46" i="76"/>
  <c r="Q46" i="76" s="1"/>
  <c r="O30" i="72"/>
  <c r="P29" i="72"/>
  <c r="Q29" i="72" s="1"/>
  <c r="U25" i="71"/>
  <c r="T25" i="71"/>
  <c r="V25" i="71" s="1"/>
  <c r="R27" i="71"/>
  <c r="O28" i="71"/>
  <c r="P27" i="71"/>
  <c r="Q27" i="71" s="1"/>
  <c r="W26" i="71"/>
  <c r="S26" i="71"/>
  <c r="U25" i="70"/>
  <c r="T25" i="70"/>
  <c r="V25" i="70" s="1"/>
  <c r="O28" i="70"/>
  <c r="R27" i="70"/>
  <c r="P27" i="70"/>
  <c r="Q27" i="70" s="1"/>
  <c r="W26" i="70"/>
  <c r="S26" i="70"/>
  <c r="W26" i="69"/>
  <c r="S26" i="69"/>
  <c r="O28" i="69"/>
  <c r="R27" i="69"/>
  <c r="P27" i="69"/>
  <c r="Q27" i="69" s="1"/>
  <c r="U25" i="69"/>
  <c r="T25" i="69"/>
  <c r="V25" i="69" s="1"/>
  <c r="W21" i="62"/>
  <c r="S21" i="62"/>
  <c r="T20" i="62"/>
  <c r="V20" i="62" s="1"/>
  <c r="U20" i="62"/>
  <c r="O23" i="62"/>
  <c r="R22" i="62"/>
  <c r="P22" i="62"/>
  <c r="Q22" i="62" s="1"/>
  <c r="F40" i="58"/>
  <c r="G40" i="58" s="1"/>
  <c r="E40" i="58"/>
  <c r="I40" i="58"/>
  <c r="K40" i="58"/>
  <c r="L40" i="58" s="1"/>
  <c r="N40" i="58" s="1"/>
  <c r="O39" i="58"/>
  <c r="P39" i="58"/>
  <c r="Q39" i="58" s="1"/>
  <c r="R38" i="58"/>
  <c r="S38" i="58" s="1"/>
  <c r="T38" i="58" s="1"/>
  <c r="T37" i="58"/>
  <c r="M41" i="58"/>
  <c r="A42" i="58"/>
  <c r="B41" i="58"/>
  <c r="D41" i="58"/>
  <c r="J41" i="58"/>
  <c r="C41" i="58"/>
  <c r="H41" i="58" s="1"/>
  <c r="O48" i="76" l="1"/>
  <c r="P47" i="76"/>
  <c r="Q47" i="76" s="1"/>
  <c r="O31" i="72"/>
  <c r="P30" i="72"/>
  <c r="Q30" i="72" s="1"/>
  <c r="R28" i="71"/>
  <c r="O29" i="71"/>
  <c r="P28" i="71"/>
  <c r="Q28" i="71" s="1"/>
  <c r="U26" i="71"/>
  <c r="T26" i="71"/>
  <c r="V26" i="71" s="1"/>
  <c r="W27" i="71"/>
  <c r="S27" i="71"/>
  <c r="U26" i="70"/>
  <c r="T26" i="70"/>
  <c r="V26" i="70" s="1"/>
  <c r="O29" i="70"/>
  <c r="R28" i="70"/>
  <c r="P28" i="70"/>
  <c r="Q28" i="70" s="1"/>
  <c r="W27" i="70"/>
  <c r="S27" i="70"/>
  <c r="W27" i="69"/>
  <c r="S27" i="69"/>
  <c r="U26" i="69"/>
  <c r="T26" i="69"/>
  <c r="V26" i="69" s="1"/>
  <c r="R28" i="69"/>
  <c r="O29" i="69"/>
  <c r="P28" i="69"/>
  <c r="Q28" i="69" s="1"/>
  <c r="W22" i="62"/>
  <c r="S22" i="62"/>
  <c r="O24" i="62"/>
  <c r="R23" i="62"/>
  <c r="P23" i="62"/>
  <c r="Q23" i="62" s="1"/>
  <c r="T21" i="62"/>
  <c r="V21" i="62" s="1"/>
  <c r="U21" i="62"/>
  <c r="U38" i="58"/>
  <c r="M42" i="58"/>
  <c r="B42" i="58"/>
  <c r="C42" i="58"/>
  <c r="D42" i="58"/>
  <c r="J42" i="58"/>
  <c r="P40" i="58"/>
  <c r="Q40" i="58" s="1"/>
  <c r="O40" i="58"/>
  <c r="I41" i="58"/>
  <c r="E41" i="58"/>
  <c r="F41" i="58"/>
  <c r="G41" i="58" s="1"/>
  <c r="K41" i="58"/>
  <c r="L41" i="58" s="1"/>
  <c r="N41" i="58" s="1"/>
  <c r="R39" i="58"/>
  <c r="S39" i="58" s="1"/>
  <c r="T39" i="58" s="1"/>
  <c r="O49" i="76" l="1"/>
  <c r="P48" i="76"/>
  <c r="Q48" i="76" s="1"/>
  <c r="O32" i="72"/>
  <c r="P31" i="72"/>
  <c r="Q31" i="72" s="1"/>
  <c r="U27" i="71"/>
  <c r="T27" i="71"/>
  <c r="V27" i="71" s="1"/>
  <c r="W28" i="71"/>
  <c r="S28" i="71"/>
  <c r="O30" i="71"/>
  <c r="R29" i="71"/>
  <c r="P29" i="71"/>
  <c r="Q29" i="71" s="1"/>
  <c r="U27" i="70"/>
  <c r="T27" i="70"/>
  <c r="V27" i="70" s="1"/>
  <c r="O30" i="70"/>
  <c r="R29" i="70"/>
  <c r="P29" i="70"/>
  <c r="Q29" i="70" s="1"/>
  <c r="W28" i="70"/>
  <c r="S28" i="70"/>
  <c r="W28" i="69"/>
  <c r="S28" i="69"/>
  <c r="O30" i="69"/>
  <c r="R29" i="69"/>
  <c r="P29" i="69"/>
  <c r="Q29" i="69" s="1"/>
  <c r="T27" i="69"/>
  <c r="V27" i="69" s="1"/>
  <c r="U27" i="69"/>
  <c r="O25" i="62"/>
  <c r="R24" i="62"/>
  <c r="P24" i="62"/>
  <c r="Q24" i="62" s="1"/>
  <c r="W23" i="62"/>
  <c r="S23" i="62"/>
  <c r="T22" i="62"/>
  <c r="V22" i="62" s="1"/>
  <c r="U22" i="62"/>
  <c r="U39" i="58"/>
  <c r="F42" i="58"/>
  <c r="G42" i="58" s="1"/>
  <c r="E42" i="58"/>
  <c r="I42" i="58"/>
  <c r="K42" i="58"/>
  <c r="L42" i="58" s="1"/>
  <c r="N42" i="58" s="1"/>
  <c r="P41" i="58"/>
  <c r="Q41" i="58" s="1"/>
  <c r="O41" i="58"/>
  <c r="H42" i="58"/>
  <c r="D43" i="58"/>
  <c r="R40" i="58"/>
  <c r="S40" i="58" s="1"/>
  <c r="U40" i="58" s="1"/>
  <c r="O50" i="76" l="1"/>
  <c r="P49" i="76"/>
  <c r="Q49" i="76" s="1"/>
  <c r="O33" i="72"/>
  <c r="P32" i="72"/>
  <c r="Q32" i="72" s="1"/>
  <c r="W29" i="71"/>
  <c r="S29" i="71"/>
  <c r="O31" i="71"/>
  <c r="R30" i="71"/>
  <c r="P30" i="71"/>
  <c r="Q30" i="71" s="1"/>
  <c r="U28" i="71"/>
  <c r="T28" i="71"/>
  <c r="V28" i="71" s="1"/>
  <c r="T28" i="70"/>
  <c r="V28" i="70" s="1"/>
  <c r="U28" i="70"/>
  <c r="O31" i="70"/>
  <c r="R30" i="70"/>
  <c r="P30" i="70"/>
  <c r="Q30" i="70" s="1"/>
  <c r="W29" i="70"/>
  <c r="S29" i="70"/>
  <c r="O31" i="69"/>
  <c r="R30" i="69"/>
  <c r="P30" i="69"/>
  <c r="Q30" i="69" s="1"/>
  <c r="T28" i="69"/>
  <c r="V28" i="69" s="1"/>
  <c r="U28" i="69"/>
  <c r="W29" i="69"/>
  <c r="S29" i="69"/>
  <c r="W24" i="62"/>
  <c r="S24" i="62"/>
  <c r="U23" i="62"/>
  <c r="T23" i="62"/>
  <c r="V23" i="62" s="1"/>
  <c r="O26" i="62"/>
  <c r="R25" i="62"/>
  <c r="P25" i="62"/>
  <c r="Q25" i="62" s="1"/>
  <c r="T40" i="58"/>
  <c r="F43" i="58"/>
  <c r="D44" i="58"/>
  <c r="K43" i="58"/>
  <c r="L43" i="58" s="1"/>
  <c r="N43" i="58" s="1"/>
  <c r="O43" i="58" s="1"/>
  <c r="P42" i="58"/>
  <c r="Q42" i="58" s="1"/>
  <c r="O42" i="58"/>
  <c r="R41" i="58"/>
  <c r="S41" i="58" s="1"/>
  <c r="U41" i="58" s="1"/>
  <c r="O51" i="76" l="1"/>
  <c r="P50" i="76"/>
  <c r="Q50" i="76" s="1"/>
  <c r="O34" i="72"/>
  <c r="P33" i="72"/>
  <c r="Q33" i="72" s="1"/>
  <c r="O32" i="71"/>
  <c r="R31" i="71"/>
  <c r="P31" i="71"/>
  <c r="Q31" i="71" s="1"/>
  <c r="U29" i="71"/>
  <c r="T29" i="71"/>
  <c r="V29" i="71" s="1"/>
  <c r="W30" i="71"/>
  <c r="S30" i="71"/>
  <c r="T29" i="70"/>
  <c r="V29" i="70" s="1"/>
  <c r="U29" i="70"/>
  <c r="R31" i="70"/>
  <c r="O32" i="70"/>
  <c r="P31" i="70"/>
  <c r="Q31" i="70" s="1"/>
  <c r="W30" i="70"/>
  <c r="S30" i="70"/>
  <c r="T29" i="69"/>
  <c r="V29" i="69" s="1"/>
  <c r="U29" i="69"/>
  <c r="W30" i="69"/>
  <c r="S30" i="69"/>
  <c r="O32" i="69"/>
  <c r="R31" i="69"/>
  <c r="P31" i="69"/>
  <c r="Q31" i="69" s="1"/>
  <c r="S25" i="62"/>
  <c r="W25" i="62"/>
  <c r="O27" i="62"/>
  <c r="R26" i="62"/>
  <c r="P26" i="62"/>
  <c r="Q26" i="62" s="1"/>
  <c r="T24" i="62"/>
  <c r="V24" i="62" s="1"/>
  <c r="U24" i="62"/>
  <c r="T41" i="58"/>
  <c r="R42" i="58"/>
  <c r="S42" i="58" s="1"/>
  <c r="T42" i="58" s="1"/>
  <c r="O52" i="76" l="1"/>
  <c r="P51" i="76"/>
  <c r="Q51" i="76" s="1"/>
  <c r="O35" i="72"/>
  <c r="P34" i="72"/>
  <c r="Q34" i="72" s="1"/>
  <c r="U30" i="71"/>
  <c r="T30" i="71"/>
  <c r="V30" i="71" s="1"/>
  <c r="W31" i="71"/>
  <c r="S31" i="71"/>
  <c r="O33" i="71"/>
  <c r="R32" i="71"/>
  <c r="P32" i="71"/>
  <c r="Q32" i="71" s="1"/>
  <c r="R32" i="70"/>
  <c r="O33" i="70"/>
  <c r="P32" i="70"/>
  <c r="Q32" i="70" s="1"/>
  <c r="U30" i="70"/>
  <c r="T30" i="70"/>
  <c r="V30" i="70" s="1"/>
  <c r="W31" i="70"/>
  <c r="S31" i="70"/>
  <c r="U30" i="69"/>
  <c r="T30" i="69"/>
  <c r="V30" i="69" s="1"/>
  <c r="W31" i="69"/>
  <c r="S31" i="69"/>
  <c r="O33" i="69"/>
  <c r="R32" i="69"/>
  <c r="P32" i="69"/>
  <c r="Q32" i="69" s="1"/>
  <c r="R27" i="62"/>
  <c r="O28" i="62"/>
  <c r="P27" i="62"/>
  <c r="Q27" i="62" s="1"/>
  <c r="W26" i="62"/>
  <c r="S26" i="62"/>
  <c r="T25" i="62"/>
  <c r="V25" i="62" s="1"/>
  <c r="U25" i="62"/>
  <c r="U42" i="58"/>
  <c r="O53" i="76" l="1"/>
  <c r="P52" i="76"/>
  <c r="Q52" i="76" s="1"/>
  <c r="O36" i="72"/>
  <c r="P35" i="72"/>
  <c r="Q35" i="72" s="1"/>
  <c r="W32" i="71"/>
  <c r="S32" i="71"/>
  <c r="U31" i="71"/>
  <c r="T31" i="71"/>
  <c r="V31" i="71" s="1"/>
  <c r="R33" i="71"/>
  <c r="O34" i="71"/>
  <c r="P33" i="71"/>
  <c r="Q33" i="71" s="1"/>
  <c r="U31" i="70"/>
  <c r="T31" i="70"/>
  <c r="V31" i="70" s="1"/>
  <c r="W32" i="70"/>
  <c r="S32" i="70"/>
  <c r="O34" i="70"/>
  <c r="R33" i="70"/>
  <c r="P33" i="70"/>
  <c r="Q33" i="70" s="1"/>
  <c r="W32" i="69"/>
  <c r="S32" i="69"/>
  <c r="U31" i="69"/>
  <c r="T31" i="69"/>
  <c r="V31" i="69" s="1"/>
  <c r="R33" i="69"/>
  <c r="O34" i="69"/>
  <c r="P33" i="69"/>
  <c r="Q33" i="69" s="1"/>
  <c r="W27" i="62"/>
  <c r="S27" i="62"/>
  <c r="O29" i="62"/>
  <c r="R28" i="62"/>
  <c r="P28" i="62"/>
  <c r="Q28" i="62" s="1"/>
  <c r="U26" i="62"/>
  <c r="T26" i="62"/>
  <c r="V26" i="62" s="1"/>
  <c r="O54" i="76" l="1"/>
  <c r="P53" i="76"/>
  <c r="Q53" i="76" s="1"/>
  <c r="O37" i="72"/>
  <c r="P36" i="72"/>
  <c r="Q36" i="72" s="1"/>
  <c r="W33" i="71"/>
  <c r="S33" i="71"/>
  <c r="O35" i="71"/>
  <c r="R34" i="71"/>
  <c r="P34" i="71"/>
  <c r="Q34" i="71" s="1"/>
  <c r="T32" i="71"/>
  <c r="V32" i="71" s="1"/>
  <c r="U32" i="71"/>
  <c r="W33" i="70"/>
  <c r="S33" i="70"/>
  <c r="R34" i="70"/>
  <c r="O35" i="70"/>
  <c r="P34" i="70"/>
  <c r="Q34" i="70" s="1"/>
  <c r="U32" i="70"/>
  <c r="T32" i="70"/>
  <c r="V32" i="70" s="1"/>
  <c r="W33" i="69"/>
  <c r="S33" i="69"/>
  <c r="O35" i="69"/>
  <c r="R34" i="69"/>
  <c r="P34" i="69"/>
  <c r="Q34" i="69" s="1"/>
  <c r="T32" i="69"/>
  <c r="V32" i="69" s="1"/>
  <c r="U32" i="69"/>
  <c r="O30" i="62"/>
  <c r="R29" i="62"/>
  <c r="P29" i="62"/>
  <c r="Q29" i="62" s="1"/>
  <c r="W28" i="62"/>
  <c r="S28" i="62"/>
  <c r="T27" i="62"/>
  <c r="V27" i="62" s="1"/>
  <c r="U27" i="62"/>
  <c r="O55" i="76" l="1"/>
  <c r="P54" i="76"/>
  <c r="Q54" i="76" s="1"/>
  <c r="O38" i="72"/>
  <c r="P37" i="72"/>
  <c r="Q37" i="72" s="1"/>
  <c r="W34" i="71"/>
  <c r="S34" i="71"/>
  <c r="U33" i="71"/>
  <c r="T33" i="71"/>
  <c r="V33" i="71" s="1"/>
  <c r="R35" i="71"/>
  <c r="O36" i="71"/>
  <c r="P35" i="71"/>
  <c r="Q35" i="71" s="1"/>
  <c r="W34" i="70"/>
  <c r="S34" i="70"/>
  <c r="U33" i="70"/>
  <c r="T33" i="70"/>
  <c r="V33" i="70" s="1"/>
  <c r="O36" i="70"/>
  <c r="R35" i="70"/>
  <c r="P35" i="70"/>
  <c r="Q35" i="70" s="1"/>
  <c r="R35" i="69"/>
  <c r="O36" i="69"/>
  <c r="P35" i="69"/>
  <c r="Q35" i="69" s="1"/>
  <c r="W34" i="69"/>
  <c r="S34" i="69"/>
  <c r="U33" i="69"/>
  <c r="T33" i="69"/>
  <c r="V33" i="69" s="1"/>
  <c r="T28" i="62"/>
  <c r="V28" i="62" s="1"/>
  <c r="U28" i="62"/>
  <c r="W29" i="62"/>
  <c r="S29" i="62"/>
  <c r="R30" i="62"/>
  <c r="O31" i="62"/>
  <c r="P30" i="62"/>
  <c r="Q30" i="62" s="1"/>
  <c r="O56" i="76" l="1"/>
  <c r="P55" i="76"/>
  <c r="Q55" i="76" s="1"/>
  <c r="O39" i="72"/>
  <c r="P38" i="72"/>
  <c r="Q38" i="72" s="1"/>
  <c r="U34" i="71"/>
  <c r="T34" i="71"/>
  <c r="V34" i="71" s="1"/>
  <c r="W35" i="71"/>
  <c r="S35" i="71"/>
  <c r="R36" i="71"/>
  <c r="O37" i="71"/>
  <c r="P36" i="71"/>
  <c r="Q36" i="71" s="1"/>
  <c r="W35" i="70"/>
  <c r="S35" i="70"/>
  <c r="R36" i="70"/>
  <c r="O37" i="70"/>
  <c r="P36" i="70"/>
  <c r="Q36" i="70" s="1"/>
  <c r="U34" i="70"/>
  <c r="T34" i="70"/>
  <c r="V34" i="70" s="1"/>
  <c r="W35" i="69"/>
  <c r="S35" i="69"/>
  <c r="R36" i="69"/>
  <c r="O37" i="69"/>
  <c r="P36" i="69"/>
  <c r="Q36" i="69" s="1"/>
  <c r="T34" i="69"/>
  <c r="V34" i="69" s="1"/>
  <c r="U34" i="69"/>
  <c r="W30" i="62"/>
  <c r="S30" i="62"/>
  <c r="U29" i="62"/>
  <c r="T29" i="62"/>
  <c r="V29" i="62" s="1"/>
  <c r="R31" i="62"/>
  <c r="O32" i="62"/>
  <c r="P31" i="62"/>
  <c r="Q31" i="62" s="1"/>
  <c r="O57" i="76" l="1"/>
  <c r="P56" i="76"/>
  <c r="Q56" i="76" s="1"/>
  <c r="O40" i="72"/>
  <c r="P39" i="72"/>
  <c r="Q39" i="72" s="1"/>
  <c r="W36" i="71"/>
  <c r="S36" i="71"/>
  <c r="U35" i="71"/>
  <c r="T35" i="71"/>
  <c r="V35" i="71" s="1"/>
  <c r="O38" i="71"/>
  <c r="R37" i="71"/>
  <c r="P37" i="71"/>
  <c r="Q37" i="71" s="1"/>
  <c r="W36" i="70"/>
  <c r="S36" i="70"/>
  <c r="U35" i="70"/>
  <c r="T35" i="70"/>
  <c r="V35" i="70" s="1"/>
  <c r="R37" i="70"/>
  <c r="O38" i="70"/>
  <c r="P37" i="70"/>
  <c r="Q37" i="70" s="1"/>
  <c r="W36" i="69"/>
  <c r="S36" i="69"/>
  <c r="U35" i="69"/>
  <c r="T35" i="69"/>
  <c r="V35" i="69" s="1"/>
  <c r="O38" i="69"/>
  <c r="R37" i="69"/>
  <c r="P37" i="69"/>
  <c r="Q37" i="69" s="1"/>
  <c r="W31" i="62"/>
  <c r="S31" i="62"/>
  <c r="O33" i="62"/>
  <c r="R32" i="62"/>
  <c r="P32" i="62"/>
  <c r="Q32" i="62" s="1"/>
  <c r="T30" i="62"/>
  <c r="V30" i="62" s="1"/>
  <c r="U30" i="62"/>
  <c r="O58" i="76" l="1"/>
  <c r="P57" i="76"/>
  <c r="Q57" i="76" s="1"/>
  <c r="O41" i="72"/>
  <c r="P40" i="72"/>
  <c r="Q40" i="72" s="1"/>
  <c r="U36" i="71"/>
  <c r="T36" i="71"/>
  <c r="V36" i="71" s="1"/>
  <c r="O39" i="71"/>
  <c r="R38" i="71"/>
  <c r="P38" i="71"/>
  <c r="Q38" i="71" s="1"/>
  <c r="W37" i="71"/>
  <c r="S37" i="71"/>
  <c r="O39" i="70"/>
  <c r="R38" i="70"/>
  <c r="P38" i="70"/>
  <c r="Q38" i="70" s="1"/>
  <c r="W37" i="70"/>
  <c r="S37" i="70"/>
  <c r="T36" i="70"/>
  <c r="V36" i="70" s="1"/>
  <c r="U36" i="70"/>
  <c r="T36" i="69"/>
  <c r="V36" i="69" s="1"/>
  <c r="U36" i="69"/>
  <c r="W37" i="69"/>
  <c r="S37" i="69"/>
  <c r="O39" i="69"/>
  <c r="R38" i="69"/>
  <c r="P38" i="69"/>
  <c r="Q38" i="69" s="1"/>
  <c r="W32" i="62"/>
  <c r="S32" i="62"/>
  <c r="R33" i="62"/>
  <c r="O34" i="62"/>
  <c r="P33" i="62"/>
  <c r="Q33" i="62" s="1"/>
  <c r="T31" i="62"/>
  <c r="V31" i="62" s="1"/>
  <c r="U31" i="62"/>
  <c r="O59" i="76" l="1"/>
  <c r="P58" i="76"/>
  <c r="Q58" i="76" s="1"/>
  <c r="O42" i="72"/>
  <c r="P41" i="72"/>
  <c r="Q41" i="72" s="1"/>
  <c r="R39" i="71"/>
  <c r="O40" i="71"/>
  <c r="P39" i="71"/>
  <c r="Q39" i="71" s="1"/>
  <c r="T37" i="71"/>
  <c r="V37" i="71" s="1"/>
  <c r="U37" i="71"/>
  <c r="W38" i="71"/>
  <c r="S38" i="71"/>
  <c r="W38" i="70"/>
  <c r="S38" i="70"/>
  <c r="U37" i="70"/>
  <c r="T37" i="70"/>
  <c r="V37" i="70" s="1"/>
  <c r="O40" i="70"/>
  <c r="R39" i="70"/>
  <c r="P39" i="70"/>
  <c r="Q39" i="70" s="1"/>
  <c r="T37" i="69"/>
  <c r="V37" i="69" s="1"/>
  <c r="U37" i="69"/>
  <c r="W38" i="69"/>
  <c r="S38" i="69"/>
  <c r="R39" i="69"/>
  <c r="O40" i="69"/>
  <c r="P39" i="69"/>
  <c r="Q39" i="69" s="1"/>
  <c r="W33" i="62"/>
  <c r="S33" i="62"/>
  <c r="T32" i="62"/>
  <c r="V32" i="62" s="1"/>
  <c r="U32" i="62"/>
  <c r="O35" i="62"/>
  <c r="R34" i="62"/>
  <c r="P34" i="62"/>
  <c r="Q34" i="62" s="1"/>
  <c r="O60" i="76" l="1"/>
  <c r="P59" i="76"/>
  <c r="Q59" i="76" s="1"/>
  <c r="O43" i="72"/>
  <c r="P42" i="72"/>
  <c r="Q42" i="72" s="1"/>
  <c r="W39" i="71"/>
  <c r="S39" i="71"/>
  <c r="R40" i="71"/>
  <c r="O41" i="71"/>
  <c r="P40" i="71"/>
  <c r="Q40" i="71" s="1"/>
  <c r="U38" i="71"/>
  <c r="T38" i="71"/>
  <c r="V38" i="71" s="1"/>
  <c r="W39" i="70"/>
  <c r="S39" i="70"/>
  <c r="R40" i="70"/>
  <c r="O41" i="70"/>
  <c r="P40" i="70"/>
  <c r="Q40" i="70" s="1"/>
  <c r="U38" i="70"/>
  <c r="T38" i="70"/>
  <c r="V38" i="70" s="1"/>
  <c r="W39" i="69"/>
  <c r="S39" i="69"/>
  <c r="U38" i="69"/>
  <c r="T38" i="69"/>
  <c r="V38" i="69" s="1"/>
  <c r="R40" i="69"/>
  <c r="O41" i="69"/>
  <c r="P40" i="69"/>
  <c r="Q40" i="69" s="1"/>
  <c r="R35" i="62"/>
  <c r="O36" i="62"/>
  <c r="P35" i="62"/>
  <c r="Q35" i="62" s="1"/>
  <c r="T33" i="62"/>
  <c r="V33" i="62" s="1"/>
  <c r="U33" i="62"/>
  <c r="W34" i="62"/>
  <c r="S34" i="62"/>
  <c r="O61" i="76" l="1"/>
  <c r="P60" i="76"/>
  <c r="Q60" i="76" s="1"/>
  <c r="O44" i="72"/>
  <c r="P43" i="72"/>
  <c r="Q43" i="72" s="1"/>
  <c r="W40" i="71"/>
  <c r="S40" i="71"/>
  <c r="T39" i="71"/>
  <c r="V39" i="71" s="1"/>
  <c r="U39" i="71"/>
  <c r="R41" i="71"/>
  <c r="O42" i="71"/>
  <c r="P41" i="71"/>
  <c r="Q41" i="71" s="1"/>
  <c r="W40" i="70"/>
  <c r="S40" i="70"/>
  <c r="T39" i="70"/>
  <c r="V39" i="70" s="1"/>
  <c r="U39" i="70"/>
  <c r="R41" i="70"/>
  <c r="O42" i="70"/>
  <c r="P41" i="70"/>
  <c r="Q41" i="70" s="1"/>
  <c r="W40" i="69"/>
  <c r="S40" i="69"/>
  <c r="R41" i="69"/>
  <c r="O42" i="69"/>
  <c r="P41" i="69"/>
  <c r="Q41" i="69" s="1"/>
  <c r="T39" i="69"/>
  <c r="V39" i="69" s="1"/>
  <c r="U39" i="69"/>
  <c r="W35" i="62"/>
  <c r="S35" i="62"/>
  <c r="R36" i="62"/>
  <c r="O37" i="62"/>
  <c r="P36" i="62"/>
  <c r="Q36" i="62" s="1"/>
  <c r="T34" i="62"/>
  <c r="V34" i="62" s="1"/>
  <c r="U34" i="62"/>
  <c r="O62" i="76" l="1"/>
  <c r="P61" i="76"/>
  <c r="Q61" i="76" s="1"/>
  <c r="O45" i="72"/>
  <c r="P44" i="72"/>
  <c r="Q44" i="72" s="1"/>
  <c r="T40" i="71"/>
  <c r="V40" i="71" s="1"/>
  <c r="U40" i="71"/>
  <c r="W41" i="71"/>
  <c r="S41" i="71"/>
  <c r="R42" i="71"/>
  <c r="O43" i="71"/>
  <c r="P42" i="71"/>
  <c r="Q42" i="71" s="1"/>
  <c r="R42" i="70"/>
  <c r="O43" i="70"/>
  <c r="P42" i="70"/>
  <c r="Q42" i="70" s="1"/>
  <c r="W41" i="70"/>
  <c r="S41" i="70"/>
  <c r="T40" i="70"/>
  <c r="V40" i="70" s="1"/>
  <c r="U40" i="70"/>
  <c r="T40" i="69"/>
  <c r="V40" i="69" s="1"/>
  <c r="U40" i="69"/>
  <c r="W41" i="69"/>
  <c r="S41" i="69"/>
  <c r="R42" i="69"/>
  <c r="O43" i="69"/>
  <c r="P42" i="69"/>
  <c r="Q42" i="69" s="1"/>
  <c r="U35" i="62"/>
  <c r="T35" i="62"/>
  <c r="V35" i="62" s="1"/>
  <c r="S36" i="62"/>
  <c r="W36" i="62"/>
  <c r="O38" i="62"/>
  <c r="R37" i="62"/>
  <c r="P37" i="62"/>
  <c r="Q37" i="62" s="1"/>
  <c r="O63" i="76" l="1"/>
  <c r="P62" i="76"/>
  <c r="Q62" i="76" s="1"/>
  <c r="O46" i="72"/>
  <c r="P45" i="72"/>
  <c r="Q45" i="72" s="1"/>
  <c r="T41" i="71"/>
  <c r="V41" i="71" s="1"/>
  <c r="U41" i="71"/>
  <c r="W42" i="71"/>
  <c r="S42" i="71"/>
  <c r="O44" i="71"/>
  <c r="R43" i="71"/>
  <c r="P43" i="71"/>
  <c r="Q43" i="71" s="1"/>
  <c r="W42" i="70"/>
  <c r="S42" i="70"/>
  <c r="U41" i="70"/>
  <c r="T41" i="70"/>
  <c r="V41" i="70" s="1"/>
  <c r="O44" i="70"/>
  <c r="R43" i="70"/>
  <c r="P43" i="70"/>
  <c r="Q43" i="70" s="1"/>
  <c r="T41" i="69"/>
  <c r="V41" i="69" s="1"/>
  <c r="U41" i="69"/>
  <c r="O44" i="69"/>
  <c r="R43" i="69"/>
  <c r="P43" i="69"/>
  <c r="Q43" i="69" s="1"/>
  <c r="S42" i="69"/>
  <c r="W42" i="69"/>
  <c r="T36" i="62"/>
  <c r="V36" i="62" s="1"/>
  <c r="U36" i="62"/>
  <c r="W37" i="62"/>
  <c r="S37" i="62"/>
  <c r="O39" i="62"/>
  <c r="R38" i="62"/>
  <c r="P38" i="62"/>
  <c r="Q38" i="62" s="1"/>
  <c r="O64" i="76" l="1"/>
  <c r="P63" i="76"/>
  <c r="Q63" i="76" s="1"/>
  <c r="O47" i="72"/>
  <c r="P46" i="72"/>
  <c r="Q46" i="72" s="1"/>
  <c r="W43" i="71"/>
  <c r="S43" i="71"/>
  <c r="O45" i="71"/>
  <c r="R44" i="71"/>
  <c r="P44" i="71"/>
  <c r="Q44" i="71" s="1"/>
  <c r="T42" i="71"/>
  <c r="V42" i="71" s="1"/>
  <c r="U42" i="71"/>
  <c r="S43" i="70"/>
  <c r="W43" i="70"/>
  <c r="O45" i="70"/>
  <c r="R44" i="70"/>
  <c r="P44" i="70"/>
  <c r="Q44" i="70" s="1"/>
  <c r="T42" i="70"/>
  <c r="V42" i="70" s="1"/>
  <c r="U42" i="70"/>
  <c r="W43" i="69"/>
  <c r="S43" i="69"/>
  <c r="T42" i="69"/>
  <c r="V42" i="69" s="1"/>
  <c r="U42" i="69"/>
  <c r="O45" i="69"/>
  <c r="R44" i="69"/>
  <c r="P44" i="69"/>
  <c r="Q44" i="69" s="1"/>
  <c r="T37" i="62"/>
  <c r="V37" i="62" s="1"/>
  <c r="U37" i="62"/>
  <c r="W38" i="62"/>
  <c r="S38" i="62"/>
  <c r="R39" i="62"/>
  <c r="O40" i="62"/>
  <c r="P39" i="62"/>
  <c r="Q39" i="62" s="1"/>
  <c r="O65" i="76" l="1"/>
  <c r="P64" i="76"/>
  <c r="Q64" i="76" s="1"/>
  <c r="O48" i="72"/>
  <c r="P47" i="72"/>
  <c r="Q47" i="72" s="1"/>
  <c r="W44" i="71"/>
  <c r="S44" i="71"/>
  <c r="T43" i="71"/>
  <c r="V43" i="71" s="1"/>
  <c r="U43" i="71"/>
  <c r="O46" i="71"/>
  <c r="R45" i="71"/>
  <c r="P45" i="71"/>
  <c r="Q45" i="71" s="1"/>
  <c r="U43" i="70"/>
  <c r="T43" i="70"/>
  <c r="V43" i="70" s="1"/>
  <c r="R45" i="70"/>
  <c r="O46" i="70"/>
  <c r="P45" i="70"/>
  <c r="Q45" i="70" s="1"/>
  <c r="W44" i="70"/>
  <c r="S44" i="70"/>
  <c r="W44" i="69"/>
  <c r="S44" i="69"/>
  <c r="R45" i="69"/>
  <c r="O46" i="69"/>
  <c r="P45" i="69"/>
  <c r="Q45" i="69" s="1"/>
  <c r="T43" i="69"/>
  <c r="V43" i="69" s="1"/>
  <c r="U43" i="69"/>
  <c r="W39" i="62"/>
  <c r="S39" i="62"/>
  <c r="U38" i="62"/>
  <c r="T38" i="62"/>
  <c r="V38" i="62" s="1"/>
  <c r="R40" i="62"/>
  <c r="O41" i="62"/>
  <c r="P40" i="62"/>
  <c r="Q40" i="62" s="1"/>
  <c r="O66" i="76" l="1"/>
  <c r="P65" i="76"/>
  <c r="Q65" i="76" s="1"/>
  <c r="O49" i="72"/>
  <c r="P48" i="72"/>
  <c r="Q48" i="72" s="1"/>
  <c r="W45" i="71"/>
  <c r="S45" i="71"/>
  <c r="R46" i="71"/>
  <c r="O47" i="71"/>
  <c r="P46" i="71"/>
  <c r="Q46" i="71" s="1"/>
  <c r="T44" i="71"/>
  <c r="V44" i="71" s="1"/>
  <c r="U44" i="71"/>
  <c r="O47" i="70"/>
  <c r="R46" i="70"/>
  <c r="P46" i="70"/>
  <c r="Q46" i="70" s="1"/>
  <c r="T44" i="70"/>
  <c r="V44" i="70" s="1"/>
  <c r="U44" i="70"/>
  <c r="W45" i="70"/>
  <c r="S45" i="70"/>
  <c r="T44" i="69"/>
  <c r="V44" i="69" s="1"/>
  <c r="U44" i="69"/>
  <c r="S45" i="69"/>
  <c r="W45" i="69"/>
  <c r="O47" i="69"/>
  <c r="R46" i="69"/>
  <c r="P46" i="69"/>
  <c r="Q46" i="69" s="1"/>
  <c r="O42" i="62"/>
  <c r="R41" i="62"/>
  <c r="P41" i="62"/>
  <c r="Q41" i="62" s="1"/>
  <c r="T39" i="62"/>
  <c r="V39" i="62" s="1"/>
  <c r="U39" i="62"/>
  <c r="S40" i="62"/>
  <c r="W40" i="62"/>
  <c r="O67" i="76" l="1"/>
  <c r="P66" i="76"/>
  <c r="Q66" i="76" s="1"/>
  <c r="O50" i="72"/>
  <c r="P49" i="72"/>
  <c r="Q49" i="72" s="1"/>
  <c r="W46" i="71"/>
  <c r="S46" i="71"/>
  <c r="T45" i="71"/>
  <c r="V45" i="71" s="1"/>
  <c r="U45" i="71"/>
  <c r="R47" i="71"/>
  <c r="O48" i="71"/>
  <c r="P47" i="71"/>
  <c r="Q47" i="71" s="1"/>
  <c r="T45" i="70"/>
  <c r="V45" i="70" s="1"/>
  <c r="U45" i="70"/>
  <c r="W46" i="70"/>
  <c r="S46" i="70"/>
  <c r="O48" i="70"/>
  <c r="R47" i="70"/>
  <c r="P47" i="70"/>
  <c r="Q47" i="70" s="1"/>
  <c r="T45" i="69"/>
  <c r="V45" i="69" s="1"/>
  <c r="U45" i="69"/>
  <c r="W46" i="69"/>
  <c r="S46" i="69"/>
  <c r="R47" i="69"/>
  <c r="O48" i="69"/>
  <c r="P47" i="69"/>
  <c r="Q47" i="69" s="1"/>
  <c r="T40" i="62"/>
  <c r="U40" i="62"/>
  <c r="W41" i="62"/>
  <c r="S41" i="62"/>
  <c r="R42" i="62"/>
  <c r="O43" i="62"/>
  <c r="P42" i="62"/>
  <c r="Q42" i="62" s="1"/>
  <c r="O68" i="76" l="1"/>
  <c r="P67" i="76"/>
  <c r="Q67" i="76" s="1"/>
  <c r="O51" i="72"/>
  <c r="P50" i="72"/>
  <c r="Q50" i="72" s="1"/>
  <c r="O49" i="71"/>
  <c r="R48" i="71"/>
  <c r="P48" i="71"/>
  <c r="Q48" i="71" s="1"/>
  <c r="T46" i="71"/>
  <c r="V46" i="71" s="1"/>
  <c r="U46" i="71"/>
  <c r="W47" i="71"/>
  <c r="S47" i="71"/>
  <c r="R48" i="70"/>
  <c r="O49" i="70"/>
  <c r="P48" i="70"/>
  <c r="Q48" i="70" s="1"/>
  <c r="W47" i="70"/>
  <c r="S47" i="70"/>
  <c r="T46" i="70"/>
  <c r="V46" i="70" s="1"/>
  <c r="U46" i="70"/>
  <c r="T46" i="69"/>
  <c r="V46" i="69" s="1"/>
  <c r="U46" i="69"/>
  <c r="R48" i="69"/>
  <c r="O49" i="69"/>
  <c r="P48" i="69"/>
  <c r="Q48" i="69" s="1"/>
  <c r="W47" i="69"/>
  <c r="S47" i="69"/>
  <c r="V40" i="62"/>
  <c r="W42" i="62"/>
  <c r="S42" i="62"/>
  <c r="T41" i="62"/>
  <c r="U41" i="62"/>
  <c r="O44" i="62"/>
  <c r="R43" i="62"/>
  <c r="P43" i="62"/>
  <c r="Q43" i="62" s="1"/>
  <c r="O69" i="76" l="1"/>
  <c r="P68" i="76"/>
  <c r="Q68" i="76" s="1"/>
  <c r="O52" i="72"/>
  <c r="P51" i="72"/>
  <c r="Q51" i="72" s="1"/>
  <c r="T47" i="71"/>
  <c r="V47" i="71" s="1"/>
  <c r="U47" i="71"/>
  <c r="W48" i="71"/>
  <c r="S48" i="71"/>
  <c r="O50" i="71"/>
  <c r="R49" i="71"/>
  <c r="P49" i="71"/>
  <c r="Q49" i="71" s="1"/>
  <c r="W48" i="70"/>
  <c r="S48" i="70"/>
  <c r="R49" i="70"/>
  <c r="O50" i="70"/>
  <c r="P49" i="70"/>
  <c r="Q49" i="70" s="1"/>
  <c r="T47" i="70"/>
  <c r="V47" i="70" s="1"/>
  <c r="U47" i="70"/>
  <c r="R49" i="69"/>
  <c r="O50" i="69"/>
  <c r="P49" i="69"/>
  <c r="Q49" i="69" s="1"/>
  <c r="T47" i="69"/>
  <c r="V47" i="69" s="1"/>
  <c r="U47" i="69"/>
  <c r="W48" i="69"/>
  <c r="S48" i="69"/>
  <c r="V41" i="62"/>
  <c r="T42" i="62"/>
  <c r="U42" i="62"/>
  <c r="S43" i="62"/>
  <c r="W43" i="62"/>
  <c r="O45" i="62"/>
  <c r="R44" i="62"/>
  <c r="P44" i="62"/>
  <c r="Q44" i="62" s="1"/>
  <c r="O70" i="76" l="1"/>
  <c r="P69" i="76"/>
  <c r="Q69" i="76" s="1"/>
  <c r="O53" i="72"/>
  <c r="P52" i="72"/>
  <c r="Q52" i="72" s="1"/>
  <c r="T48" i="71"/>
  <c r="V48" i="71" s="1"/>
  <c r="U48" i="71"/>
  <c r="R50" i="71"/>
  <c r="O51" i="71"/>
  <c r="P50" i="71"/>
  <c r="Q50" i="71" s="1"/>
  <c r="W49" i="71"/>
  <c r="S49" i="71"/>
  <c r="S49" i="70"/>
  <c r="W49" i="70"/>
  <c r="T48" i="70"/>
  <c r="V48" i="70" s="1"/>
  <c r="U48" i="70"/>
  <c r="R50" i="70"/>
  <c r="O51" i="70"/>
  <c r="P50" i="70"/>
  <c r="Q50" i="70" s="1"/>
  <c r="T48" i="69"/>
  <c r="V48" i="69" s="1"/>
  <c r="U48" i="69"/>
  <c r="W49" i="69"/>
  <c r="S49" i="69"/>
  <c r="O51" i="69"/>
  <c r="R50" i="69"/>
  <c r="P50" i="69"/>
  <c r="Q50" i="69" s="1"/>
  <c r="V42" i="62"/>
  <c r="R45" i="62"/>
  <c r="O46" i="62"/>
  <c r="P45" i="62"/>
  <c r="Q45" i="62" s="1"/>
  <c r="W44" i="62"/>
  <c r="S44" i="62"/>
  <c r="T43" i="62"/>
  <c r="V43" i="62" s="1"/>
  <c r="U43" i="62"/>
  <c r="O71" i="76" l="1"/>
  <c r="P70" i="76"/>
  <c r="Q70" i="76" s="1"/>
  <c r="O54" i="72"/>
  <c r="P53" i="72"/>
  <c r="Q53" i="72" s="1"/>
  <c r="R51" i="71"/>
  <c r="O52" i="71"/>
  <c r="P51" i="71"/>
  <c r="Q51" i="71" s="1"/>
  <c r="T49" i="71"/>
  <c r="V49" i="71" s="1"/>
  <c r="U49" i="71"/>
  <c r="W50" i="71"/>
  <c r="S50" i="71"/>
  <c r="O52" i="70"/>
  <c r="R51" i="70"/>
  <c r="P51" i="70"/>
  <c r="Q51" i="70" s="1"/>
  <c r="W50" i="70"/>
  <c r="S50" i="70"/>
  <c r="T49" i="70"/>
  <c r="V49" i="70" s="1"/>
  <c r="U49" i="70"/>
  <c r="T49" i="69"/>
  <c r="V49" i="69" s="1"/>
  <c r="U49" i="69"/>
  <c r="W50" i="69"/>
  <c r="S50" i="69"/>
  <c r="R51" i="69"/>
  <c r="O52" i="69"/>
  <c r="P51" i="69"/>
  <c r="Q51" i="69" s="1"/>
  <c r="R46" i="62"/>
  <c r="O47" i="62"/>
  <c r="P46" i="62"/>
  <c r="Q46" i="62" s="1"/>
  <c r="W45" i="62"/>
  <c r="S45" i="62"/>
  <c r="T44" i="62"/>
  <c r="U44" i="62"/>
  <c r="O72" i="76" l="1"/>
  <c r="P71" i="76"/>
  <c r="Q71" i="76" s="1"/>
  <c r="O55" i="72"/>
  <c r="P54" i="72"/>
  <c r="Q54" i="72" s="1"/>
  <c r="T50" i="71"/>
  <c r="V50" i="71" s="1"/>
  <c r="U50" i="71"/>
  <c r="S51" i="71"/>
  <c r="W51" i="71"/>
  <c r="O53" i="71"/>
  <c r="R52" i="71"/>
  <c r="P52" i="71"/>
  <c r="Q52" i="71" s="1"/>
  <c r="W51" i="70"/>
  <c r="S51" i="70"/>
  <c r="T50" i="70"/>
  <c r="V50" i="70" s="1"/>
  <c r="U50" i="70"/>
  <c r="O53" i="70"/>
  <c r="R52" i="70"/>
  <c r="P52" i="70"/>
  <c r="Q52" i="70" s="1"/>
  <c r="W51" i="69"/>
  <c r="S51" i="69"/>
  <c r="T50" i="69"/>
  <c r="V50" i="69" s="1"/>
  <c r="U50" i="69"/>
  <c r="R52" i="69"/>
  <c r="O53" i="69"/>
  <c r="P52" i="69"/>
  <c r="Q52" i="69" s="1"/>
  <c r="V44" i="62"/>
  <c r="S46" i="62"/>
  <c r="W46" i="62"/>
  <c r="O48" i="62"/>
  <c r="R47" i="62"/>
  <c r="P47" i="62"/>
  <c r="Q47" i="62" s="1"/>
  <c r="T45" i="62"/>
  <c r="V45" i="62" s="1"/>
  <c r="U45" i="62"/>
  <c r="O73" i="76" l="1"/>
  <c r="P72" i="76"/>
  <c r="Q72" i="76" s="1"/>
  <c r="O56" i="72"/>
  <c r="P55" i="72"/>
  <c r="Q55" i="72" s="1"/>
  <c r="W52" i="71"/>
  <c r="S52" i="71"/>
  <c r="O54" i="71"/>
  <c r="R53" i="71"/>
  <c r="P53" i="71"/>
  <c r="Q53" i="71" s="1"/>
  <c r="T51" i="71"/>
  <c r="V51" i="71" s="1"/>
  <c r="U51" i="71"/>
  <c r="S52" i="70"/>
  <c r="W52" i="70"/>
  <c r="O54" i="70"/>
  <c r="R53" i="70"/>
  <c r="P53" i="70"/>
  <c r="Q53" i="70" s="1"/>
  <c r="T51" i="70"/>
  <c r="V51" i="70" s="1"/>
  <c r="U51" i="70"/>
  <c r="S52" i="69"/>
  <c r="W52" i="69"/>
  <c r="O54" i="69"/>
  <c r="R53" i="69"/>
  <c r="P53" i="69"/>
  <c r="Q53" i="69" s="1"/>
  <c r="T51" i="69"/>
  <c r="V51" i="69" s="1"/>
  <c r="U51" i="69"/>
  <c r="O49" i="62"/>
  <c r="R48" i="62"/>
  <c r="P48" i="62"/>
  <c r="Q48" i="62" s="1"/>
  <c r="T46" i="62"/>
  <c r="V46" i="62" s="1"/>
  <c r="U46" i="62"/>
  <c r="W47" i="62"/>
  <c r="S47" i="62"/>
  <c r="O74" i="76" l="1"/>
  <c r="P73" i="76"/>
  <c r="Q73" i="76" s="1"/>
  <c r="O57" i="72"/>
  <c r="P56" i="72"/>
  <c r="Q56" i="72" s="1"/>
  <c r="R54" i="71"/>
  <c r="O55" i="71"/>
  <c r="P54" i="71"/>
  <c r="Q54" i="71" s="1"/>
  <c r="W53" i="71"/>
  <c r="S53" i="71"/>
  <c r="T52" i="71"/>
  <c r="V52" i="71" s="1"/>
  <c r="U52" i="71"/>
  <c r="W53" i="70"/>
  <c r="S53" i="70"/>
  <c r="T52" i="70"/>
  <c r="V52" i="70" s="1"/>
  <c r="U52" i="70"/>
  <c r="O55" i="70"/>
  <c r="R54" i="70"/>
  <c r="P54" i="70"/>
  <c r="Q54" i="70" s="1"/>
  <c r="O55" i="69"/>
  <c r="R54" i="69"/>
  <c r="P54" i="69"/>
  <c r="Q54" i="69" s="1"/>
  <c r="W53" i="69"/>
  <c r="S53" i="69"/>
  <c r="T52" i="69"/>
  <c r="V52" i="69" s="1"/>
  <c r="U52" i="69"/>
  <c r="T47" i="62"/>
  <c r="V47" i="62" s="1"/>
  <c r="U47" i="62"/>
  <c r="W48" i="62"/>
  <c r="S48" i="62"/>
  <c r="R49" i="62"/>
  <c r="O50" i="62"/>
  <c r="P49" i="62"/>
  <c r="Q49" i="62" s="1"/>
  <c r="O75" i="76" l="1"/>
  <c r="P74" i="76"/>
  <c r="Q74" i="76" s="1"/>
  <c r="O58" i="72"/>
  <c r="P57" i="72"/>
  <c r="Q57" i="72" s="1"/>
  <c r="W54" i="71"/>
  <c r="S54" i="71"/>
  <c r="R55" i="71"/>
  <c r="O56" i="71"/>
  <c r="P55" i="71"/>
  <c r="Q55" i="71" s="1"/>
  <c r="T53" i="71"/>
  <c r="V53" i="71" s="1"/>
  <c r="U53" i="71"/>
  <c r="W54" i="70"/>
  <c r="S54" i="70"/>
  <c r="O56" i="70"/>
  <c r="R55" i="70"/>
  <c r="P55" i="70"/>
  <c r="Q55" i="70" s="1"/>
  <c r="T53" i="70"/>
  <c r="V53" i="70" s="1"/>
  <c r="U53" i="70"/>
  <c r="S54" i="69"/>
  <c r="W54" i="69"/>
  <c r="T53" i="69"/>
  <c r="V53" i="69" s="1"/>
  <c r="U53" i="69"/>
  <c r="O56" i="69"/>
  <c r="R55" i="69"/>
  <c r="P55" i="69"/>
  <c r="Q55" i="69" s="1"/>
  <c r="W49" i="62"/>
  <c r="S49" i="62"/>
  <c r="T48" i="62"/>
  <c r="V48" i="62" s="1"/>
  <c r="U48" i="62"/>
  <c r="R50" i="62"/>
  <c r="O51" i="62"/>
  <c r="P50" i="62"/>
  <c r="Q50" i="62" s="1"/>
  <c r="O76" i="76" l="1"/>
  <c r="P75" i="76"/>
  <c r="Q75" i="76" s="1"/>
  <c r="O59" i="72"/>
  <c r="P58" i="72"/>
  <c r="Q58" i="72" s="1"/>
  <c r="W55" i="71"/>
  <c r="S55" i="71"/>
  <c r="T54" i="71"/>
  <c r="V54" i="71" s="1"/>
  <c r="U54" i="71"/>
  <c r="O57" i="71"/>
  <c r="R56" i="71"/>
  <c r="P56" i="71"/>
  <c r="Q56" i="71" s="1"/>
  <c r="T54" i="70"/>
  <c r="V54" i="70" s="1"/>
  <c r="U54" i="70"/>
  <c r="W55" i="70"/>
  <c r="S55" i="70"/>
  <c r="R56" i="70"/>
  <c r="O57" i="70"/>
  <c r="P56" i="70"/>
  <c r="Q56" i="70" s="1"/>
  <c r="W55" i="69"/>
  <c r="S55" i="69"/>
  <c r="R56" i="69"/>
  <c r="O57" i="69"/>
  <c r="P56" i="69"/>
  <c r="Q56" i="69" s="1"/>
  <c r="T54" i="69"/>
  <c r="V54" i="69" s="1"/>
  <c r="U54" i="69"/>
  <c r="S50" i="62"/>
  <c r="W50" i="62"/>
  <c r="T49" i="62"/>
  <c r="V49" i="62" s="1"/>
  <c r="U49" i="62"/>
  <c r="O52" i="62"/>
  <c r="R51" i="62"/>
  <c r="P51" i="62"/>
  <c r="Q51" i="62" s="1"/>
  <c r="O77" i="76" l="1"/>
  <c r="P76" i="76"/>
  <c r="Q76" i="76" s="1"/>
  <c r="O60" i="72"/>
  <c r="P59" i="72"/>
  <c r="Q59" i="72" s="1"/>
  <c r="W56" i="71"/>
  <c r="S56" i="71"/>
  <c r="T55" i="71"/>
  <c r="V55" i="71" s="1"/>
  <c r="U55" i="71"/>
  <c r="O58" i="71"/>
  <c r="R57" i="71"/>
  <c r="P57" i="71"/>
  <c r="Q57" i="71" s="1"/>
  <c r="S56" i="70"/>
  <c r="W56" i="70"/>
  <c r="T55" i="70"/>
  <c r="V55" i="70" s="1"/>
  <c r="U55" i="70"/>
  <c r="R57" i="70"/>
  <c r="O58" i="70"/>
  <c r="P57" i="70"/>
  <c r="Q57" i="70" s="1"/>
  <c r="W56" i="69"/>
  <c r="S56" i="69"/>
  <c r="T55" i="69"/>
  <c r="V55" i="69" s="1"/>
  <c r="U55" i="69"/>
  <c r="R57" i="69"/>
  <c r="O58" i="69"/>
  <c r="P57" i="69"/>
  <c r="Q57" i="69" s="1"/>
  <c r="S51" i="62"/>
  <c r="W51" i="62"/>
  <c r="O53" i="62"/>
  <c r="R52" i="62"/>
  <c r="P52" i="62"/>
  <c r="Q52" i="62" s="1"/>
  <c r="T50" i="62"/>
  <c r="U50" i="62"/>
  <c r="O78" i="76" l="1"/>
  <c r="P77" i="76"/>
  <c r="Q77" i="76" s="1"/>
  <c r="O61" i="72"/>
  <c r="P60" i="72"/>
  <c r="Q60" i="72" s="1"/>
  <c r="W57" i="71"/>
  <c r="S57" i="71"/>
  <c r="O59" i="71"/>
  <c r="R58" i="71"/>
  <c r="P58" i="71"/>
  <c r="Q58" i="71" s="1"/>
  <c r="T56" i="71"/>
  <c r="V56" i="71" s="1"/>
  <c r="U56" i="71"/>
  <c r="O59" i="70"/>
  <c r="R58" i="70"/>
  <c r="P58" i="70"/>
  <c r="Q58" i="70" s="1"/>
  <c r="W57" i="70"/>
  <c r="S57" i="70"/>
  <c r="T56" i="70"/>
  <c r="V56" i="70" s="1"/>
  <c r="U56" i="70"/>
  <c r="S57" i="69"/>
  <c r="W57" i="69"/>
  <c r="O59" i="69"/>
  <c r="R58" i="69"/>
  <c r="P58" i="69"/>
  <c r="Q58" i="69" s="1"/>
  <c r="T56" i="69"/>
  <c r="V56" i="69" s="1"/>
  <c r="U56" i="69"/>
  <c r="V50" i="62"/>
  <c r="W52" i="62"/>
  <c r="S52" i="62"/>
  <c r="R53" i="62"/>
  <c r="O54" i="62"/>
  <c r="P53" i="62"/>
  <c r="Q53" i="62" s="1"/>
  <c r="T51" i="62"/>
  <c r="V51" i="62" s="1"/>
  <c r="U51" i="62"/>
  <c r="O79" i="76" l="1"/>
  <c r="P78" i="76"/>
  <c r="Q78" i="76" s="1"/>
  <c r="O62" i="72"/>
  <c r="P61" i="72"/>
  <c r="Q61" i="72" s="1"/>
  <c r="O60" i="71"/>
  <c r="R59" i="71"/>
  <c r="P59" i="71"/>
  <c r="Q59" i="71" s="1"/>
  <c r="S58" i="71"/>
  <c r="W58" i="71"/>
  <c r="T57" i="71"/>
  <c r="V57" i="71" s="1"/>
  <c r="U57" i="71"/>
  <c r="W58" i="70"/>
  <c r="S58" i="70"/>
  <c r="T57" i="70"/>
  <c r="V57" i="70" s="1"/>
  <c r="U57" i="70"/>
  <c r="R59" i="70"/>
  <c r="O60" i="70"/>
  <c r="P59" i="70"/>
  <c r="Q59" i="70" s="1"/>
  <c r="O60" i="69"/>
  <c r="R59" i="69"/>
  <c r="P59" i="69"/>
  <c r="Q59" i="69" s="1"/>
  <c r="W58" i="69"/>
  <c r="S58" i="69"/>
  <c r="T57" i="69"/>
  <c r="V57" i="69" s="1"/>
  <c r="U57" i="69"/>
  <c r="T52" i="62"/>
  <c r="V52" i="62" s="1"/>
  <c r="U52" i="62"/>
  <c r="W53" i="62"/>
  <c r="S53" i="62"/>
  <c r="R54" i="62"/>
  <c r="O55" i="62"/>
  <c r="P54" i="62"/>
  <c r="Q54" i="62" s="1"/>
  <c r="O80" i="76" l="1"/>
  <c r="P79" i="76"/>
  <c r="Q79" i="76" s="1"/>
  <c r="O63" i="72"/>
  <c r="P62" i="72"/>
  <c r="Q62" i="72" s="1"/>
  <c r="W59" i="71"/>
  <c r="S59" i="71"/>
  <c r="T58" i="71"/>
  <c r="V58" i="71" s="1"/>
  <c r="U58" i="71"/>
  <c r="O61" i="71"/>
  <c r="R60" i="71"/>
  <c r="P60" i="71"/>
  <c r="Q60" i="71" s="1"/>
  <c r="R60" i="70"/>
  <c r="O61" i="70"/>
  <c r="P60" i="70"/>
  <c r="Q60" i="70" s="1"/>
  <c r="T58" i="70"/>
  <c r="V58" i="70" s="1"/>
  <c r="U58" i="70"/>
  <c r="W59" i="70"/>
  <c r="S59" i="70"/>
  <c r="W59" i="69"/>
  <c r="S59" i="69"/>
  <c r="T58" i="69"/>
  <c r="V58" i="69" s="1"/>
  <c r="U58" i="69"/>
  <c r="R60" i="69"/>
  <c r="O61" i="69"/>
  <c r="P60" i="69"/>
  <c r="Q60" i="69" s="1"/>
  <c r="S54" i="62"/>
  <c r="W54" i="62"/>
  <c r="U53" i="62"/>
  <c r="T53" i="62"/>
  <c r="V53" i="62" s="1"/>
  <c r="O56" i="62"/>
  <c r="R55" i="62"/>
  <c r="P55" i="62"/>
  <c r="Q55" i="62" s="1"/>
  <c r="O81" i="76" l="1"/>
  <c r="P80" i="76"/>
  <c r="Q80" i="76" s="1"/>
  <c r="O64" i="72"/>
  <c r="P63" i="72"/>
  <c r="Q63" i="72" s="1"/>
  <c r="R61" i="71"/>
  <c r="O62" i="71"/>
  <c r="P61" i="71"/>
  <c r="Q61" i="71" s="1"/>
  <c r="T59" i="71"/>
  <c r="V59" i="71" s="1"/>
  <c r="U59" i="71"/>
  <c r="W60" i="71"/>
  <c r="S60" i="71"/>
  <c r="T59" i="70"/>
  <c r="V59" i="70" s="1"/>
  <c r="U59" i="70"/>
  <c r="S60" i="70"/>
  <c r="W60" i="70"/>
  <c r="O62" i="70"/>
  <c r="R61" i="70"/>
  <c r="P61" i="70"/>
  <c r="Q61" i="70" s="1"/>
  <c r="W60" i="69"/>
  <c r="S60" i="69"/>
  <c r="R61" i="69"/>
  <c r="O62" i="69"/>
  <c r="P61" i="69"/>
  <c r="Q61" i="69" s="1"/>
  <c r="T59" i="69"/>
  <c r="V59" i="69" s="1"/>
  <c r="U59" i="69"/>
  <c r="O57" i="62"/>
  <c r="R56" i="62"/>
  <c r="P56" i="62"/>
  <c r="Q56" i="62" s="1"/>
  <c r="T54" i="62"/>
  <c r="V54" i="62" s="1"/>
  <c r="U54" i="62"/>
  <c r="W55" i="62"/>
  <c r="S55" i="62"/>
  <c r="O82" i="76" l="1"/>
  <c r="P81" i="76"/>
  <c r="Q81" i="76" s="1"/>
  <c r="O65" i="72"/>
  <c r="P64" i="72"/>
  <c r="Q64" i="72" s="1"/>
  <c r="W61" i="71"/>
  <c r="S61" i="71"/>
  <c r="R62" i="71"/>
  <c r="O63" i="71"/>
  <c r="P62" i="71"/>
  <c r="Q62" i="71" s="1"/>
  <c r="T60" i="71"/>
  <c r="V60" i="71" s="1"/>
  <c r="U60" i="71"/>
  <c r="W61" i="70"/>
  <c r="S61" i="70"/>
  <c r="T60" i="70"/>
  <c r="V60" i="70" s="1"/>
  <c r="U60" i="70"/>
  <c r="O63" i="70"/>
  <c r="R62" i="70"/>
  <c r="P62" i="70"/>
  <c r="Q62" i="70" s="1"/>
  <c r="T60" i="69"/>
  <c r="V60" i="69" s="1"/>
  <c r="U60" i="69"/>
  <c r="W61" i="69"/>
  <c r="S61" i="69"/>
  <c r="O63" i="69"/>
  <c r="R62" i="69"/>
  <c r="P62" i="69"/>
  <c r="Q62" i="69" s="1"/>
  <c r="T55" i="62"/>
  <c r="U55" i="62"/>
  <c r="W56" i="62"/>
  <c r="S56" i="62"/>
  <c r="O58" i="62"/>
  <c r="R57" i="62"/>
  <c r="P57" i="62"/>
  <c r="Q57" i="62" s="1"/>
  <c r="O83" i="76" l="1"/>
  <c r="P82" i="76"/>
  <c r="Q82" i="76" s="1"/>
  <c r="O66" i="72"/>
  <c r="P65" i="72"/>
  <c r="Q65" i="72" s="1"/>
  <c r="S62" i="71"/>
  <c r="W62" i="71"/>
  <c r="T61" i="71"/>
  <c r="V61" i="71" s="1"/>
  <c r="U61" i="71"/>
  <c r="O64" i="71"/>
  <c r="R63" i="71"/>
  <c r="P63" i="71"/>
  <c r="Q63" i="71" s="1"/>
  <c r="R63" i="70"/>
  <c r="O64" i="70"/>
  <c r="P63" i="70"/>
  <c r="Q63" i="70" s="1"/>
  <c r="T61" i="70"/>
  <c r="V61" i="70" s="1"/>
  <c r="U61" i="70"/>
  <c r="W62" i="70"/>
  <c r="S62" i="70"/>
  <c r="W62" i="69"/>
  <c r="S62" i="69"/>
  <c r="O64" i="69"/>
  <c r="R63" i="69"/>
  <c r="P63" i="69"/>
  <c r="Q63" i="69" s="1"/>
  <c r="T61" i="69"/>
  <c r="V61" i="69" s="1"/>
  <c r="U61" i="69"/>
  <c r="V55" i="62"/>
  <c r="R58" i="62"/>
  <c r="O59" i="62"/>
  <c r="P58" i="62"/>
  <c r="Q58" i="62" s="1"/>
  <c r="W57" i="62"/>
  <c r="S57" i="62"/>
  <c r="T56" i="62"/>
  <c r="U56" i="62"/>
  <c r="O84" i="76" l="1"/>
  <c r="P83" i="76"/>
  <c r="Q83" i="76" s="1"/>
  <c r="O67" i="72"/>
  <c r="P66" i="72"/>
  <c r="Q66" i="72" s="1"/>
  <c r="O65" i="71"/>
  <c r="R64" i="71"/>
  <c r="P64" i="71"/>
  <c r="Q64" i="71" s="1"/>
  <c r="T62" i="71"/>
  <c r="V62" i="71" s="1"/>
  <c r="U62" i="71"/>
  <c r="W63" i="71"/>
  <c r="S63" i="71"/>
  <c r="T62" i="70"/>
  <c r="V62" i="70" s="1"/>
  <c r="U62" i="70"/>
  <c r="W63" i="70"/>
  <c r="S63" i="70"/>
  <c r="R64" i="70"/>
  <c r="O65" i="70"/>
  <c r="P64" i="70"/>
  <c r="Q64" i="70" s="1"/>
  <c r="W63" i="69"/>
  <c r="S63" i="69"/>
  <c r="T62" i="69"/>
  <c r="V62" i="69" s="1"/>
  <c r="U62" i="69"/>
  <c r="R64" i="69"/>
  <c r="O65" i="69"/>
  <c r="P64" i="69"/>
  <c r="Q64" i="69" s="1"/>
  <c r="V56" i="62"/>
  <c r="W58" i="62"/>
  <c r="S58" i="62"/>
  <c r="O60" i="62"/>
  <c r="R59" i="62"/>
  <c r="P59" i="62"/>
  <c r="Q59" i="62" s="1"/>
  <c r="T57" i="62"/>
  <c r="U57" i="62"/>
  <c r="O85" i="76" l="1"/>
  <c r="P84" i="76"/>
  <c r="Q84" i="76" s="1"/>
  <c r="O68" i="72"/>
  <c r="P67" i="72"/>
  <c r="Q67" i="72" s="1"/>
  <c r="W64" i="71"/>
  <c r="S64" i="71"/>
  <c r="T63" i="71"/>
  <c r="V63" i="71" s="1"/>
  <c r="U63" i="71"/>
  <c r="R65" i="71"/>
  <c r="O66" i="71"/>
  <c r="P65" i="71"/>
  <c r="Q65" i="71" s="1"/>
  <c r="W64" i="70"/>
  <c r="S64" i="70"/>
  <c r="T63" i="70"/>
  <c r="V63" i="70" s="1"/>
  <c r="U63" i="70"/>
  <c r="O66" i="70"/>
  <c r="R65" i="70"/>
  <c r="P65" i="70"/>
  <c r="Q65" i="70" s="1"/>
  <c r="W64" i="69"/>
  <c r="S64" i="69"/>
  <c r="R65" i="69"/>
  <c r="O66" i="69"/>
  <c r="P65" i="69"/>
  <c r="Q65" i="69" s="1"/>
  <c r="T63" i="69"/>
  <c r="V63" i="69" s="1"/>
  <c r="U63" i="69"/>
  <c r="V57" i="62"/>
  <c r="O61" i="62"/>
  <c r="R60" i="62"/>
  <c r="P60" i="62"/>
  <c r="Q60" i="62" s="1"/>
  <c r="T58" i="62"/>
  <c r="U58" i="62"/>
  <c r="S59" i="62"/>
  <c r="W59" i="62"/>
  <c r="O86" i="76" l="1"/>
  <c r="P85" i="76"/>
  <c r="Q85" i="76" s="1"/>
  <c r="O69" i="72"/>
  <c r="P68" i="72"/>
  <c r="Q68" i="72" s="1"/>
  <c r="W65" i="71"/>
  <c r="S65" i="71"/>
  <c r="T64" i="71"/>
  <c r="V64" i="71" s="1"/>
  <c r="U64" i="71"/>
  <c r="R66" i="71"/>
  <c r="O67" i="71"/>
  <c r="P66" i="71"/>
  <c r="Q66" i="71" s="1"/>
  <c r="T64" i="70"/>
  <c r="V64" i="70" s="1"/>
  <c r="U64" i="70"/>
  <c r="W65" i="70"/>
  <c r="S65" i="70"/>
  <c r="O67" i="70"/>
  <c r="R66" i="70"/>
  <c r="P66" i="70"/>
  <c r="Q66" i="70" s="1"/>
  <c r="T64" i="69"/>
  <c r="V64" i="69" s="1"/>
  <c r="U64" i="69"/>
  <c r="W65" i="69"/>
  <c r="S65" i="69"/>
  <c r="O67" i="69"/>
  <c r="R66" i="69"/>
  <c r="P66" i="69"/>
  <c r="Q66" i="69" s="1"/>
  <c r="V58" i="62"/>
  <c r="S60" i="62"/>
  <c r="W60" i="62"/>
  <c r="T59" i="62"/>
  <c r="U59" i="62"/>
  <c r="O62" i="62"/>
  <c r="R61" i="62"/>
  <c r="P61" i="62"/>
  <c r="Q61" i="62" s="1"/>
  <c r="O87" i="76" l="1"/>
  <c r="P86" i="76"/>
  <c r="Q86" i="76" s="1"/>
  <c r="O70" i="72"/>
  <c r="P69" i="72"/>
  <c r="Q69" i="72" s="1"/>
  <c r="W66" i="71"/>
  <c r="S66" i="71"/>
  <c r="T65" i="71"/>
  <c r="V65" i="71" s="1"/>
  <c r="U65" i="71"/>
  <c r="O68" i="71"/>
  <c r="R67" i="71"/>
  <c r="P67" i="71"/>
  <c r="Q67" i="71" s="1"/>
  <c r="R67" i="70"/>
  <c r="O68" i="70"/>
  <c r="P67" i="70"/>
  <c r="Q67" i="70" s="1"/>
  <c r="W66" i="70"/>
  <c r="S66" i="70"/>
  <c r="T65" i="70"/>
  <c r="V65" i="70" s="1"/>
  <c r="U65" i="70"/>
  <c r="W66" i="69"/>
  <c r="S66" i="69"/>
  <c r="O68" i="69"/>
  <c r="R67" i="69"/>
  <c r="P67" i="69"/>
  <c r="Q67" i="69" s="1"/>
  <c r="T65" i="69"/>
  <c r="V65" i="69" s="1"/>
  <c r="U65" i="69"/>
  <c r="V59" i="62"/>
  <c r="R62" i="62"/>
  <c r="O63" i="62"/>
  <c r="P62" i="62"/>
  <c r="Q62" i="62" s="1"/>
  <c r="W61" i="62"/>
  <c r="S61" i="62"/>
  <c r="T60" i="62"/>
  <c r="U60" i="62"/>
  <c r="O88" i="76" l="1"/>
  <c r="P87" i="76"/>
  <c r="Q87" i="76" s="1"/>
  <c r="O71" i="72"/>
  <c r="P70" i="72"/>
  <c r="Q70" i="72" s="1"/>
  <c r="T66" i="71"/>
  <c r="V66" i="71" s="1"/>
  <c r="U66" i="71"/>
  <c r="O69" i="71"/>
  <c r="R68" i="71"/>
  <c r="P68" i="71"/>
  <c r="Q68" i="71" s="1"/>
  <c r="W67" i="71"/>
  <c r="S67" i="71"/>
  <c r="W67" i="70"/>
  <c r="S67" i="70"/>
  <c r="R68" i="70"/>
  <c r="O69" i="70"/>
  <c r="P68" i="70"/>
  <c r="Q68" i="70" s="1"/>
  <c r="T66" i="70"/>
  <c r="V66" i="70" s="1"/>
  <c r="U66" i="70"/>
  <c r="R68" i="69"/>
  <c r="O69" i="69"/>
  <c r="P68" i="69"/>
  <c r="Q68" i="69" s="1"/>
  <c r="W67" i="69"/>
  <c r="S67" i="69"/>
  <c r="T66" i="69"/>
  <c r="V66" i="69" s="1"/>
  <c r="U66" i="69"/>
  <c r="V60" i="62"/>
  <c r="W62" i="62"/>
  <c r="S62" i="62"/>
  <c r="R63" i="62"/>
  <c r="O64" i="62"/>
  <c r="P63" i="62"/>
  <c r="Q63" i="62" s="1"/>
  <c r="T61" i="62"/>
  <c r="U61" i="62"/>
  <c r="O89" i="76" l="1"/>
  <c r="P88" i="76"/>
  <c r="Q88" i="76" s="1"/>
  <c r="O72" i="72"/>
  <c r="P71" i="72"/>
  <c r="Q71" i="72" s="1"/>
  <c r="R69" i="71"/>
  <c r="O70" i="71"/>
  <c r="P69" i="71"/>
  <c r="Q69" i="71" s="1"/>
  <c r="T67" i="71"/>
  <c r="V67" i="71" s="1"/>
  <c r="U67" i="71"/>
  <c r="W68" i="71"/>
  <c r="S68" i="71"/>
  <c r="W68" i="70"/>
  <c r="S68" i="70"/>
  <c r="T67" i="70"/>
  <c r="V67" i="70" s="1"/>
  <c r="U67" i="70"/>
  <c r="O70" i="70"/>
  <c r="R69" i="70"/>
  <c r="P69" i="70"/>
  <c r="Q69" i="70" s="1"/>
  <c r="W68" i="69"/>
  <c r="S68" i="69"/>
  <c r="R69" i="69"/>
  <c r="O70" i="69"/>
  <c r="P69" i="69"/>
  <c r="Q69" i="69" s="1"/>
  <c r="T67" i="69"/>
  <c r="V67" i="69" s="1"/>
  <c r="U67" i="69"/>
  <c r="V61" i="62"/>
  <c r="W63" i="62"/>
  <c r="S63" i="62"/>
  <c r="T62" i="62"/>
  <c r="U62" i="62"/>
  <c r="O65" i="62"/>
  <c r="R64" i="62"/>
  <c r="P64" i="62"/>
  <c r="Q64" i="62" s="1"/>
  <c r="O90" i="76" l="1"/>
  <c r="P89" i="76"/>
  <c r="Q89" i="76" s="1"/>
  <c r="O73" i="72"/>
  <c r="P72" i="72"/>
  <c r="Q72" i="72" s="1"/>
  <c r="T68" i="71"/>
  <c r="V68" i="71" s="1"/>
  <c r="U68" i="71"/>
  <c r="W69" i="71"/>
  <c r="S69" i="71"/>
  <c r="R70" i="71"/>
  <c r="O71" i="71"/>
  <c r="P70" i="71"/>
  <c r="Q70" i="71" s="1"/>
  <c r="W69" i="70"/>
  <c r="S69" i="70"/>
  <c r="T68" i="70"/>
  <c r="V68" i="70" s="1"/>
  <c r="U68" i="70"/>
  <c r="O71" i="70"/>
  <c r="R70" i="70"/>
  <c r="P70" i="70"/>
  <c r="Q70" i="70" s="1"/>
  <c r="S69" i="69"/>
  <c r="W69" i="69"/>
  <c r="T68" i="69"/>
  <c r="U68" i="69"/>
  <c r="O71" i="69"/>
  <c r="R70" i="69"/>
  <c r="P70" i="69"/>
  <c r="Q70" i="69" s="1"/>
  <c r="V62" i="62"/>
  <c r="S64" i="62"/>
  <c r="W64" i="62"/>
  <c r="T63" i="62"/>
  <c r="U63" i="62"/>
  <c r="O66" i="62"/>
  <c r="R65" i="62"/>
  <c r="P65" i="62"/>
  <c r="Q65" i="62" s="1"/>
  <c r="O91" i="76" l="1"/>
  <c r="P90" i="76"/>
  <c r="Q90" i="76" s="1"/>
  <c r="O74" i="72"/>
  <c r="P73" i="72"/>
  <c r="Q73" i="72" s="1"/>
  <c r="T69" i="71"/>
  <c r="V69" i="71" s="1"/>
  <c r="U69" i="71"/>
  <c r="W70" i="71"/>
  <c r="S70" i="71"/>
  <c r="O72" i="71"/>
  <c r="R71" i="71"/>
  <c r="P71" i="71"/>
  <c r="Q71" i="71" s="1"/>
  <c r="W70" i="70"/>
  <c r="S70" i="70"/>
  <c r="R71" i="70"/>
  <c r="O72" i="70"/>
  <c r="P71" i="70"/>
  <c r="Q71" i="70" s="1"/>
  <c r="T69" i="70"/>
  <c r="V69" i="70" s="1"/>
  <c r="U69" i="70"/>
  <c r="V68" i="69"/>
  <c r="W70" i="69"/>
  <c r="S70" i="69"/>
  <c r="O72" i="69"/>
  <c r="R71" i="69"/>
  <c r="P71" i="69"/>
  <c r="Q71" i="69" s="1"/>
  <c r="T69" i="69"/>
  <c r="U69" i="69"/>
  <c r="V63" i="62"/>
  <c r="W65" i="62"/>
  <c r="S65" i="62"/>
  <c r="R66" i="62"/>
  <c r="O67" i="62"/>
  <c r="P66" i="62"/>
  <c r="Q66" i="62" s="1"/>
  <c r="T64" i="62"/>
  <c r="U64" i="62"/>
  <c r="O92" i="76" l="1"/>
  <c r="P91" i="76"/>
  <c r="Q91" i="76" s="1"/>
  <c r="O75" i="72"/>
  <c r="P74" i="72"/>
  <c r="Q74" i="72" s="1"/>
  <c r="W71" i="71"/>
  <c r="S71" i="71"/>
  <c r="O73" i="71"/>
  <c r="R72" i="71"/>
  <c r="P72" i="71"/>
  <c r="Q72" i="71" s="1"/>
  <c r="T70" i="71"/>
  <c r="V70" i="71" s="1"/>
  <c r="U70" i="71"/>
  <c r="R72" i="70"/>
  <c r="O73" i="70"/>
  <c r="P72" i="70"/>
  <c r="Q72" i="70" s="1"/>
  <c r="W71" i="70"/>
  <c r="S71" i="70"/>
  <c r="T70" i="70"/>
  <c r="V70" i="70" s="1"/>
  <c r="U70" i="70"/>
  <c r="V69" i="69"/>
  <c r="R72" i="69"/>
  <c r="O73" i="69"/>
  <c r="P72" i="69"/>
  <c r="Q72" i="69" s="1"/>
  <c r="W71" i="69"/>
  <c r="S71" i="69"/>
  <c r="T70" i="69"/>
  <c r="U70" i="69"/>
  <c r="V64" i="62"/>
  <c r="W66" i="62"/>
  <c r="S66" i="62"/>
  <c r="T65" i="62"/>
  <c r="U65" i="62"/>
  <c r="R67" i="62"/>
  <c r="O68" i="62"/>
  <c r="P67" i="62"/>
  <c r="Q67" i="62" s="1"/>
  <c r="O93" i="76" l="1"/>
  <c r="P92" i="76"/>
  <c r="Q92" i="76" s="1"/>
  <c r="O76" i="72"/>
  <c r="P75" i="72"/>
  <c r="Q75" i="72" s="1"/>
  <c r="W72" i="71"/>
  <c r="S72" i="71"/>
  <c r="T71" i="71"/>
  <c r="V71" i="71" s="1"/>
  <c r="U71" i="71"/>
  <c r="R73" i="71"/>
  <c r="O74" i="71"/>
  <c r="P73" i="71"/>
  <c r="Q73" i="71" s="1"/>
  <c r="T71" i="70"/>
  <c r="V71" i="70" s="1"/>
  <c r="U71" i="70"/>
  <c r="S72" i="70"/>
  <c r="W72" i="70"/>
  <c r="O74" i="70"/>
  <c r="R73" i="70"/>
  <c r="P73" i="70"/>
  <c r="Q73" i="70" s="1"/>
  <c r="V70" i="69"/>
  <c r="W72" i="69"/>
  <c r="S72" i="69"/>
  <c r="R73" i="69"/>
  <c r="O74" i="69"/>
  <c r="P73" i="69"/>
  <c r="Q73" i="69" s="1"/>
  <c r="T71" i="69"/>
  <c r="U71" i="69"/>
  <c r="V65" i="62"/>
  <c r="S67" i="62"/>
  <c r="W67" i="62"/>
  <c r="O69" i="62"/>
  <c r="R68" i="62"/>
  <c r="P68" i="62"/>
  <c r="Q68" i="62" s="1"/>
  <c r="T66" i="62"/>
  <c r="U66" i="62"/>
  <c r="O94" i="76" l="1"/>
  <c r="P93" i="76"/>
  <c r="Q93" i="76" s="1"/>
  <c r="O77" i="72"/>
  <c r="P76" i="72"/>
  <c r="Q76" i="72" s="1"/>
  <c r="W73" i="71"/>
  <c r="S73" i="71"/>
  <c r="O75" i="71"/>
  <c r="R74" i="71"/>
  <c r="P74" i="71"/>
  <c r="Q74" i="71" s="1"/>
  <c r="T72" i="71"/>
  <c r="V72" i="71" s="1"/>
  <c r="U72" i="71"/>
  <c r="W73" i="70"/>
  <c r="S73" i="70"/>
  <c r="T72" i="70"/>
  <c r="V72" i="70" s="1"/>
  <c r="U72" i="70"/>
  <c r="R74" i="70"/>
  <c r="O75" i="70"/>
  <c r="P74" i="70"/>
  <c r="Q74" i="70" s="1"/>
  <c r="V71" i="69"/>
  <c r="S73" i="69"/>
  <c r="W73" i="69"/>
  <c r="T72" i="69"/>
  <c r="U72" i="69"/>
  <c r="R74" i="69"/>
  <c r="O75" i="69"/>
  <c r="P74" i="69"/>
  <c r="Q74" i="69" s="1"/>
  <c r="V66" i="62"/>
  <c r="O70" i="62"/>
  <c r="R69" i="62"/>
  <c r="P69" i="62"/>
  <c r="Q69" i="62" s="1"/>
  <c r="W68" i="62"/>
  <c r="S68" i="62"/>
  <c r="T67" i="62"/>
  <c r="U67" i="62"/>
  <c r="O95" i="76" l="1"/>
  <c r="P94" i="76"/>
  <c r="Q94" i="76" s="1"/>
  <c r="O78" i="72"/>
  <c r="P77" i="72"/>
  <c r="Q77" i="72" s="1"/>
  <c r="R75" i="71"/>
  <c r="O76" i="71"/>
  <c r="P75" i="71"/>
  <c r="Q75" i="71" s="1"/>
  <c r="W74" i="71"/>
  <c r="S74" i="71"/>
  <c r="T73" i="71"/>
  <c r="V73" i="71" s="1"/>
  <c r="U73" i="71"/>
  <c r="W74" i="70"/>
  <c r="S74" i="70"/>
  <c r="O76" i="70"/>
  <c r="R75" i="70"/>
  <c r="P75" i="70"/>
  <c r="Q75" i="70" s="1"/>
  <c r="T73" i="70"/>
  <c r="V73" i="70" s="1"/>
  <c r="U73" i="70"/>
  <c r="V72" i="69"/>
  <c r="W74" i="69"/>
  <c r="S74" i="69"/>
  <c r="R75" i="69"/>
  <c r="O76" i="69"/>
  <c r="P75" i="69"/>
  <c r="Q75" i="69" s="1"/>
  <c r="T73" i="69"/>
  <c r="U73" i="69"/>
  <c r="V67" i="62"/>
  <c r="W69" i="62"/>
  <c r="S69" i="62"/>
  <c r="T68" i="62"/>
  <c r="U68" i="62"/>
  <c r="O71" i="62"/>
  <c r="R70" i="62"/>
  <c r="P70" i="62"/>
  <c r="Q70" i="62" s="1"/>
  <c r="O96" i="76" l="1"/>
  <c r="P95" i="76"/>
  <c r="Q95" i="76" s="1"/>
  <c r="O79" i="72"/>
  <c r="P78" i="72"/>
  <c r="Q78" i="72" s="1"/>
  <c r="W75" i="71"/>
  <c r="S75" i="71"/>
  <c r="O77" i="71"/>
  <c r="R76" i="71"/>
  <c r="P76" i="71"/>
  <c r="Q76" i="71" s="1"/>
  <c r="T74" i="71"/>
  <c r="V74" i="71" s="1"/>
  <c r="U74" i="71"/>
  <c r="R76" i="70"/>
  <c r="O77" i="70"/>
  <c r="P76" i="70"/>
  <c r="Q76" i="70" s="1"/>
  <c r="W75" i="70"/>
  <c r="S75" i="70"/>
  <c r="T74" i="70"/>
  <c r="V74" i="70" s="1"/>
  <c r="U74" i="70"/>
  <c r="V73" i="69"/>
  <c r="T74" i="69"/>
  <c r="U74" i="69"/>
  <c r="S75" i="69"/>
  <c r="W75" i="69"/>
  <c r="O77" i="69"/>
  <c r="R76" i="69"/>
  <c r="P76" i="69"/>
  <c r="Q76" i="69" s="1"/>
  <c r="V68" i="62"/>
  <c r="R71" i="62"/>
  <c r="O72" i="62"/>
  <c r="P71" i="62"/>
  <c r="Q71" i="62" s="1"/>
  <c r="T69" i="62"/>
  <c r="U69" i="62"/>
  <c r="W70" i="62"/>
  <c r="S70" i="62"/>
  <c r="O97" i="76" l="1"/>
  <c r="P96" i="76"/>
  <c r="Q96" i="76" s="1"/>
  <c r="O80" i="72"/>
  <c r="P79" i="72"/>
  <c r="Q79" i="72" s="1"/>
  <c r="R77" i="71"/>
  <c r="O78" i="71"/>
  <c r="P77" i="71"/>
  <c r="Q77" i="71" s="1"/>
  <c r="W76" i="71"/>
  <c r="S76" i="71"/>
  <c r="T75" i="71"/>
  <c r="V75" i="71" s="1"/>
  <c r="U75" i="71"/>
  <c r="T75" i="70"/>
  <c r="V75" i="70" s="1"/>
  <c r="U75" i="70"/>
  <c r="W76" i="70"/>
  <c r="S76" i="70"/>
  <c r="R77" i="70"/>
  <c r="O78" i="70"/>
  <c r="P77" i="70"/>
  <c r="Q77" i="70" s="1"/>
  <c r="V74" i="69"/>
  <c r="R77" i="69"/>
  <c r="O78" i="69"/>
  <c r="P77" i="69"/>
  <c r="Q77" i="69" s="1"/>
  <c r="W76" i="69"/>
  <c r="S76" i="69"/>
  <c r="T75" i="69"/>
  <c r="U75" i="69"/>
  <c r="V69" i="62"/>
  <c r="W71" i="62"/>
  <c r="S71" i="62"/>
  <c r="T70" i="62"/>
  <c r="U70" i="62"/>
  <c r="O73" i="62"/>
  <c r="R72" i="62"/>
  <c r="P72" i="62"/>
  <c r="Q72" i="62" s="1"/>
  <c r="O98" i="76" l="1"/>
  <c r="P97" i="76"/>
  <c r="Q97" i="76" s="1"/>
  <c r="O81" i="72"/>
  <c r="P80" i="72"/>
  <c r="Q80" i="72" s="1"/>
  <c r="W77" i="71"/>
  <c r="S77" i="71"/>
  <c r="R78" i="71"/>
  <c r="O79" i="71"/>
  <c r="P78" i="71"/>
  <c r="Q78" i="71" s="1"/>
  <c r="T76" i="71"/>
  <c r="V76" i="71" s="1"/>
  <c r="U76" i="71"/>
  <c r="S77" i="70"/>
  <c r="W77" i="70"/>
  <c r="T76" i="70"/>
  <c r="V76" i="70" s="1"/>
  <c r="U76" i="70"/>
  <c r="O79" i="70"/>
  <c r="R78" i="70"/>
  <c r="P78" i="70"/>
  <c r="Q78" i="70" s="1"/>
  <c r="V75" i="69"/>
  <c r="W77" i="69"/>
  <c r="S77" i="69"/>
  <c r="O79" i="69"/>
  <c r="R78" i="69"/>
  <c r="P78" i="69"/>
  <c r="Q78" i="69" s="1"/>
  <c r="T76" i="69"/>
  <c r="U76" i="69"/>
  <c r="V70" i="62"/>
  <c r="S72" i="62"/>
  <c r="W72" i="62"/>
  <c r="T71" i="62"/>
  <c r="U71" i="62"/>
  <c r="O74" i="62"/>
  <c r="R73" i="62"/>
  <c r="P73" i="62"/>
  <c r="Q73" i="62" s="1"/>
  <c r="O99" i="76" l="1"/>
  <c r="P98" i="76"/>
  <c r="Q98" i="76" s="1"/>
  <c r="O82" i="72"/>
  <c r="P81" i="72"/>
  <c r="Q81" i="72" s="1"/>
  <c r="S78" i="71"/>
  <c r="W78" i="71"/>
  <c r="T77" i="71"/>
  <c r="V77" i="71" s="1"/>
  <c r="U77" i="71"/>
  <c r="O80" i="71"/>
  <c r="R79" i="71"/>
  <c r="P79" i="71"/>
  <c r="Q79" i="71" s="1"/>
  <c r="W78" i="70"/>
  <c r="S78" i="70"/>
  <c r="R79" i="70"/>
  <c r="O80" i="70"/>
  <c r="P79" i="70"/>
  <c r="Q79" i="70" s="1"/>
  <c r="T77" i="70"/>
  <c r="V77" i="70" s="1"/>
  <c r="U77" i="70"/>
  <c r="V76" i="69"/>
  <c r="R79" i="69"/>
  <c r="O80" i="69"/>
  <c r="P79" i="69"/>
  <c r="Q79" i="69" s="1"/>
  <c r="W78" i="69"/>
  <c r="S78" i="69"/>
  <c r="T77" i="69"/>
  <c r="U77" i="69"/>
  <c r="V71" i="62"/>
  <c r="S73" i="62"/>
  <c r="W73" i="62"/>
  <c r="R74" i="62"/>
  <c r="O75" i="62"/>
  <c r="P74" i="62"/>
  <c r="Q74" i="62" s="1"/>
  <c r="T72" i="62"/>
  <c r="U72" i="62"/>
  <c r="O100" i="76" l="1"/>
  <c r="P99" i="76"/>
  <c r="Q99" i="76" s="1"/>
  <c r="O83" i="72"/>
  <c r="P82" i="72"/>
  <c r="Q82" i="72" s="1"/>
  <c r="W79" i="71"/>
  <c r="S79" i="71"/>
  <c r="O81" i="71"/>
  <c r="R80" i="71"/>
  <c r="P80" i="71"/>
  <c r="Q80" i="71" s="1"/>
  <c r="T78" i="71"/>
  <c r="V78" i="71" s="1"/>
  <c r="U78" i="71"/>
  <c r="T78" i="70"/>
  <c r="V78" i="70" s="1"/>
  <c r="U78" i="70"/>
  <c r="W79" i="70"/>
  <c r="S79" i="70"/>
  <c r="R80" i="70"/>
  <c r="O81" i="70"/>
  <c r="P80" i="70"/>
  <c r="Q80" i="70" s="1"/>
  <c r="V77" i="69"/>
  <c r="W79" i="69"/>
  <c r="S79" i="69"/>
  <c r="O81" i="69"/>
  <c r="R80" i="69"/>
  <c r="P80" i="69"/>
  <c r="Q80" i="69" s="1"/>
  <c r="T78" i="69"/>
  <c r="U78" i="69"/>
  <c r="V72" i="62"/>
  <c r="S74" i="62"/>
  <c r="W74" i="62"/>
  <c r="O76" i="62"/>
  <c r="R75" i="62"/>
  <c r="P75" i="62"/>
  <c r="Q75" i="62" s="1"/>
  <c r="T73" i="62"/>
  <c r="U73" i="62"/>
  <c r="O101" i="76" l="1"/>
  <c r="P100" i="76"/>
  <c r="Q100" i="76" s="1"/>
  <c r="O84" i="72"/>
  <c r="P83" i="72"/>
  <c r="Q83" i="72" s="1"/>
  <c r="R81" i="71"/>
  <c r="O82" i="71"/>
  <c r="P81" i="71"/>
  <c r="Q81" i="71" s="1"/>
  <c r="W80" i="71"/>
  <c r="S80" i="71"/>
  <c r="T79" i="71"/>
  <c r="V79" i="71" s="1"/>
  <c r="U79" i="71"/>
  <c r="S80" i="70"/>
  <c r="W80" i="70"/>
  <c r="T79" i="70"/>
  <c r="V79" i="70" s="1"/>
  <c r="U79" i="70"/>
  <c r="O82" i="70"/>
  <c r="R81" i="70"/>
  <c r="P81" i="70"/>
  <c r="Q81" i="70" s="1"/>
  <c r="V78" i="69"/>
  <c r="O82" i="69"/>
  <c r="R81" i="69"/>
  <c r="P81" i="69"/>
  <c r="Q81" i="69" s="1"/>
  <c r="T79" i="69"/>
  <c r="U79" i="69"/>
  <c r="S80" i="69"/>
  <c r="W80" i="69"/>
  <c r="V73" i="62"/>
  <c r="S75" i="62"/>
  <c r="W75" i="62"/>
  <c r="T74" i="62"/>
  <c r="U74" i="62"/>
  <c r="R76" i="62"/>
  <c r="O77" i="62"/>
  <c r="P76" i="62"/>
  <c r="Q76" i="62" s="1"/>
  <c r="O102" i="76" l="1"/>
  <c r="P101" i="76"/>
  <c r="Q101" i="76" s="1"/>
  <c r="O85" i="72"/>
  <c r="P84" i="72"/>
  <c r="Q84" i="72" s="1"/>
  <c r="W81" i="71"/>
  <c r="S81" i="71"/>
  <c r="R82" i="71"/>
  <c r="O83" i="71"/>
  <c r="P82" i="71"/>
  <c r="Q82" i="71" s="1"/>
  <c r="T80" i="71"/>
  <c r="V80" i="71" s="1"/>
  <c r="U80" i="71"/>
  <c r="W81" i="70"/>
  <c r="S81" i="70"/>
  <c r="O83" i="70"/>
  <c r="R82" i="70"/>
  <c r="P82" i="70"/>
  <c r="Q82" i="70" s="1"/>
  <c r="T80" i="70"/>
  <c r="V80" i="70" s="1"/>
  <c r="U80" i="70"/>
  <c r="V79" i="69"/>
  <c r="T80" i="69"/>
  <c r="U80" i="69"/>
  <c r="W81" i="69"/>
  <c r="S81" i="69"/>
  <c r="R82" i="69"/>
  <c r="O83" i="69"/>
  <c r="P82" i="69"/>
  <c r="Q82" i="69" s="1"/>
  <c r="V74" i="62"/>
  <c r="S76" i="62"/>
  <c r="W76" i="62"/>
  <c r="O78" i="62"/>
  <c r="R77" i="62"/>
  <c r="P77" i="62"/>
  <c r="Q77" i="62" s="1"/>
  <c r="T75" i="62"/>
  <c r="U75" i="62"/>
  <c r="O103" i="76" l="1"/>
  <c r="P102" i="76"/>
  <c r="Q102" i="76" s="1"/>
  <c r="O86" i="72"/>
  <c r="P85" i="72"/>
  <c r="Q85" i="72" s="1"/>
  <c r="S82" i="71"/>
  <c r="W82" i="71"/>
  <c r="T81" i="71"/>
  <c r="V81" i="71" s="1"/>
  <c r="U81" i="71"/>
  <c r="O84" i="71"/>
  <c r="R83" i="71"/>
  <c r="P83" i="71"/>
  <c r="Q83" i="71" s="1"/>
  <c r="R83" i="70"/>
  <c r="O84" i="70"/>
  <c r="P83" i="70"/>
  <c r="Q83" i="70" s="1"/>
  <c r="W82" i="70"/>
  <c r="S82" i="70"/>
  <c r="T81" i="70"/>
  <c r="V81" i="70" s="1"/>
  <c r="U81" i="70"/>
  <c r="V80" i="69"/>
  <c r="T81" i="69"/>
  <c r="U81" i="69"/>
  <c r="W82" i="69"/>
  <c r="S82" i="69"/>
  <c r="R83" i="69"/>
  <c r="O84" i="69"/>
  <c r="P83" i="69"/>
  <c r="Q83" i="69" s="1"/>
  <c r="V75" i="62"/>
  <c r="O79" i="62"/>
  <c r="R78" i="62"/>
  <c r="P78" i="62"/>
  <c r="Q78" i="62" s="1"/>
  <c r="W77" i="62"/>
  <c r="S77" i="62"/>
  <c r="T76" i="62"/>
  <c r="U76" i="62"/>
  <c r="O104" i="76" l="1"/>
  <c r="P103" i="76"/>
  <c r="Q103" i="76" s="1"/>
  <c r="O87" i="72"/>
  <c r="P86" i="72"/>
  <c r="Q86" i="72" s="1"/>
  <c r="W83" i="71"/>
  <c r="S83" i="71"/>
  <c r="O85" i="71"/>
  <c r="R84" i="71"/>
  <c r="P84" i="71"/>
  <c r="Q84" i="71" s="1"/>
  <c r="T82" i="71"/>
  <c r="V82" i="71" s="1"/>
  <c r="U82" i="71"/>
  <c r="T82" i="70"/>
  <c r="V82" i="70" s="1"/>
  <c r="U82" i="70"/>
  <c r="W83" i="70"/>
  <c r="S83" i="70"/>
  <c r="R84" i="70"/>
  <c r="O85" i="70"/>
  <c r="P84" i="70"/>
  <c r="Q84" i="70" s="1"/>
  <c r="V81" i="69"/>
  <c r="T82" i="69"/>
  <c r="U82" i="69"/>
  <c r="S83" i="69"/>
  <c r="W83" i="69"/>
  <c r="O85" i="69"/>
  <c r="R84" i="69"/>
  <c r="P84" i="69"/>
  <c r="Q84" i="69" s="1"/>
  <c r="V76" i="62"/>
  <c r="T77" i="62"/>
  <c r="U77" i="62"/>
  <c r="W78" i="62"/>
  <c r="S78" i="62"/>
  <c r="R79" i="62"/>
  <c r="O80" i="62"/>
  <c r="P79" i="62"/>
  <c r="Q79" i="62" s="1"/>
  <c r="O105" i="76" l="1"/>
  <c r="P104" i="76"/>
  <c r="Q104" i="76" s="1"/>
  <c r="O88" i="72"/>
  <c r="P87" i="72"/>
  <c r="Q87" i="72" s="1"/>
  <c r="R85" i="71"/>
  <c r="O86" i="71"/>
  <c r="P85" i="71"/>
  <c r="Q85" i="71" s="1"/>
  <c r="W84" i="71"/>
  <c r="S84" i="71"/>
  <c r="T83" i="71"/>
  <c r="V83" i="71" s="1"/>
  <c r="U83" i="71"/>
  <c r="W84" i="70"/>
  <c r="S84" i="70"/>
  <c r="T83" i="70"/>
  <c r="V83" i="70" s="1"/>
  <c r="U83" i="70"/>
  <c r="O86" i="70"/>
  <c r="R85" i="70"/>
  <c r="P85" i="70"/>
  <c r="Q85" i="70" s="1"/>
  <c r="V82" i="69"/>
  <c r="W84" i="69"/>
  <c r="S84" i="69"/>
  <c r="T83" i="69"/>
  <c r="U83" i="69"/>
  <c r="O86" i="69"/>
  <c r="R85" i="69"/>
  <c r="P85" i="69"/>
  <c r="Q85" i="69" s="1"/>
  <c r="V77" i="62"/>
  <c r="T78" i="62"/>
  <c r="U78" i="62"/>
  <c r="O81" i="62"/>
  <c r="R80" i="62"/>
  <c r="P80" i="62"/>
  <c r="Q80" i="62" s="1"/>
  <c r="S79" i="62"/>
  <c r="W79" i="62"/>
  <c r="O106" i="76" l="1"/>
  <c r="P105" i="76"/>
  <c r="Q105" i="76" s="1"/>
  <c r="O89" i="72"/>
  <c r="P88" i="72"/>
  <c r="Q88" i="72" s="1"/>
  <c r="W85" i="71"/>
  <c r="S85" i="71"/>
  <c r="O87" i="71"/>
  <c r="R86" i="71"/>
  <c r="P86" i="71"/>
  <c r="Q86" i="71" s="1"/>
  <c r="T84" i="71"/>
  <c r="V84" i="71" s="1"/>
  <c r="U84" i="71"/>
  <c r="W85" i="70"/>
  <c r="S85" i="70"/>
  <c r="T84" i="70"/>
  <c r="V84" i="70" s="1"/>
  <c r="U84" i="70"/>
  <c r="R86" i="70"/>
  <c r="O87" i="70"/>
  <c r="P86" i="70"/>
  <c r="Q86" i="70" s="1"/>
  <c r="V83" i="69"/>
  <c r="T84" i="69"/>
  <c r="U84" i="69"/>
  <c r="W85" i="69"/>
  <c r="S85" i="69"/>
  <c r="O87" i="69"/>
  <c r="R86" i="69"/>
  <c r="P86" i="69"/>
  <c r="Q86" i="69" s="1"/>
  <c r="V78" i="62"/>
  <c r="T79" i="62"/>
  <c r="U79" i="62"/>
  <c r="R81" i="62"/>
  <c r="O82" i="62"/>
  <c r="P81" i="62"/>
  <c r="Q81" i="62" s="1"/>
  <c r="W80" i="62"/>
  <c r="S80" i="62"/>
  <c r="O107" i="76" l="1"/>
  <c r="P106" i="76"/>
  <c r="Q106" i="76" s="1"/>
  <c r="O90" i="72"/>
  <c r="P89" i="72"/>
  <c r="Q89" i="72" s="1"/>
  <c r="W86" i="71"/>
  <c r="S86" i="71"/>
  <c r="T85" i="71"/>
  <c r="V85" i="71" s="1"/>
  <c r="U85" i="71"/>
  <c r="R87" i="71"/>
  <c r="O88" i="71"/>
  <c r="P87" i="71"/>
  <c r="Q87" i="71" s="1"/>
  <c r="W86" i="70"/>
  <c r="S86" i="70"/>
  <c r="O88" i="70"/>
  <c r="R87" i="70"/>
  <c r="P87" i="70"/>
  <c r="Q87" i="70" s="1"/>
  <c r="T85" i="70"/>
  <c r="V85" i="70" s="1"/>
  <c r="U85" i="70"/>
  <c r="V84" i="69"/>
  <c r="T85" i="69"/>
  <c r="U85" i="69"/>
  <c r="R87" i="69"/>
  <c r="O88" i="69"/>
  <c r="P87" i="69"/>
  <c r="Q87" i="69" s="1"/>
  <c r="W86" i="69"/>
  <c r="S86" i="69"/>
  <c r="V79" i="62"/>
  <c r="T80" i="62"/>
  <c r="U80" i="62"/>
  <c r="R82" i="62"/>
  <c r="O83" i="62"/>
  <c r="P82" i="62"/>
  <c r="Q82" i="62" s="1"/>
  <c r="W81" i="62"/>
  <c r="S81" i="62"/>
  <c r="O108" i="76" l="1"/>
  <c r="P107" i="76"/>
  <c r="Q107" i="76" s="1"/>
  <c r="O91" i="72"/>
  <c r="P90" i="72"/>
  <c r="Q90" i="72" s="1"/>
  <c r="W87" i="71"/>
  <c r="S87" i="71"/>
  <c r="R88" i="71"/>
  <c r="O89" i="71"/>
  <c r="P88" i="71"/>
  <c r="Q88" i="71" s="1"/>
  <c r="T86" i="71"/>
  <c r="V86" i="71" s="1"/>
  <c r="U86" i="71"/>
  <c r="R88" i="70"/>
  <c r="O89" i="70"/>
  <c r="P88" i="70"/>
  <c r="Q88" i="70" s="1"/>
  <c r="T86" i="70"/>
  <c r="V86" i="70" s="1"/>
  <c r="U86" i="70"/>
  <c r="S87" i="70"/>
  <c r="W87" i="70"/>
  <c r="V85" i="69"/>
  <c r="R88" i="69"/>
  <c r="O89" i="69"/>
  <c r="P88" i="69"/>
  <c r="Q88" i="69" s="1"/>
  <c r="W87" i="69"/>
  <c r="S87" i="69"/>
  <c r="T86" i="69"/>
  <c r="U86" i="69"/>
  <c r="V80" i="62"/>
  <c r="T81" i="62"/>
  <c r="U81" i="62"/>
  <c r="O84" i="62"/>
  <c r="R83" i="62"/>
  <c r="P83" i="62"/>
  <c r="Q83" i="62" s="1"/>
  <c r="W82" i="62"/>
  <c r="S82" i="62"/>
  <c r="O109" i="76" l="1"/>
  <c r="P108" i="76"/>
  <c r="Q108" i="76" s="1"/>
  <c r="O92" i="72"/>
  <c r="P91" i="72"/>
  <c r="Q91" i="72" s="1"/>
  <c r="T87" i="71"/>
  <c r="V87" i="71" s="1"/>
  <c r="U87" i="71"/>
  <c r="S88" i="71"/>
  <c r="W88" i="71"/>
  <c r="O90" i="71"/>
  <c r="R89" i="71"/>
  <c r="P89" i="71"/>
  <c r="Q89" i="71" s="1"/>
  <c r="W88" i="70"/>
  <c r="S88" i="70"/>
  <c r="T87" i="70"/>
  <c r="V87" i="70" s="1"/>
  <c r="U87" i="70"/>
  <c r="O90" i="70"/>
  <c r="R89" i="70"/>
  <c r="P89" i="70"/>
  <c r="Q89" i="70" s="1"/>
  <c r="V86" i="69"/>
  <c r="W88" i="69"/>
  <c r="S88" i="69"/>
  <c r="O90" i="69"/>
  <c r="R89" i="69"/>
  <c r="P89" i="69"/>
  <c r="Q89" i="69" s="1"/>
  <c r="T87" i="69"/>
  <c r="U87" i="69"/>
  <c r="V81" i="62"/>
  <c r="T82" i="62"/>
  <c r="U82" i="62"/>
  <c r="O85" i="62"/>
  <c r="R84" i="62"/>
  <c r="P84" i="62"/>
  <c r="Q84" i="62" s="1"/>
  <c r="S83" i="62"/>
  <c r="W83" i="62"/>
  <c r="O110" i="76" l="1"/>
  <c r="P109" i="76"/>
  <c r="Q109" i="76" s="1"/>
  <c r="O93" i="72"/>
  <c r="P92" i="72"/>
  <c r="Q92" i="72" s="1"/>
  <c r="W89" i="71"/>
  <c r="S89" i="71"/>
  <c r="T88" i="71"/>
  <c r="V88" i="71" s="1"/>
  <c r="U88" i="71"/>
  <c r="O91" i="71"/>
  <c r="R90" i="71"/>
  <c r="P90" i="71"/>
  <c r="Q90" i="71" s="1"/>
  <c r="W89" i="70"/>
  <c r="S89" i="70"/>
  <c r="T88" i="70"/>
  <c r="V88" i="70" s="1"/>
  <c r="U88" i="70"/>
  <c r="O91" i="70"/>
  <c r="R90" i="70"/>
  <c r="P90" i="70"/>
  <c r="Q90" i="70" s="1"/>
  <c r="V87" i="69"/>
  <c r="O91" i="69"/>
  <c r="R90" i="69"/>
  <c r="P90" i="69"/>
  <c r="Q90" i="69" s="1"/>
  <c r="T88" i="69"/>
  <c r="U88" i="69"/>
  <c r="W89" i="69"/>
  <c r="S89" i="69"/>
  <c r="V82" i="62"/>
  <c r="R85" i="62"/>
  <c r="O86" i="62"/>
  <c r="P85" i="62"/>
  <c r="Q85" i="62" s="1"/>
  <c r="T83" i="62"/>
  <c r="U83" i="62"/>
  <c r="S84" i="62"/>
  <c r="W84" i="62"/>
  <c r="O111" i="76" l="1"/>
  <c r="P110" i="76"/>
  <c r="Q110" i="76" s="1"/>
  <c r="O94" i="72"/>
  <c r="P93" i="72"/>
  <c r="Q93" i="72" s="1"/>
  <c r="T89" i="71"/>
  <c r="V89" i="71" s="1"/>
  <c r="U89" i="71"/>
  <c r="R91" i="71"/>
  <c r="O92" i="71"/>
  <c r="P91" i="71"/>
  <c r="Q91" i="71" s="1"/>
  <c r="W90" i="71"/>
  <c r="S90" i="71"/>
  <c r="W90" i="70"/>
  <c r="S90" i="70"/>
  <c r="R91" i="70"/>
  <c r="O92" i="70"/>
  <c r="P91" i="70"/>
  <c r="Q91" i="70" s="1"/>
  <c r="T89" i="70"/>
  <c r="V89" i="70" s="1"/>
  <c r="U89" i="70"/>
  <c r="V88" i="69"/>
  <c r="T89" i="69"/>
  <c r="U89" i="69"/>
  <c r="W90" i="69"/>
  <c r="S90" i="69"/>
  <c r="R91" i="69"/>
  <c r="O92" i="69"/>
  <c r="P91" i="69"/>
  <c r="Q91" i="69" s="1"/>
  <c r="V83" i="62"/>
  <c r="W85" i="62"/>
  <c r="S85" i="62"/>
  <c r="T84" i="62"/>
  <c r="U84" i="62"/>
  <c r="R86" i="62"/>
  <c r="O87" i="62"/>
  <c r="P86" i="62"/>
  <c r="Q86" i="62" s="1"/>
  <c r="O112" i="76" l="1"/>
  <c r="P111" i="76"/>
  <c r="Q111" i="76" s="1"/>
  <c r="O95" i="72"/>
  <c r="P94" i="72"/>
  <c r="Q94" i="72" s="1"/>
  <c r="R92" i="71"/>
  <c r="O93" i="71"/>
  <c r="P92" i="71"/>
  <c r="Q92" i="71" s="1"/>
  <c r="T90" i="71"/>
  <c r="V90" i="71" s="1"/>
  <c r="U90" i="71"/>
  <c r="W91" i="71"/>
  <c r="S91" i="71"/>
  <c r="R92" i="70"/>
  <c r="O93" i="70"/>
  <c r="P92" i="70"/>
  <c r="Q92" i="70" s="1"/>
  <c r="W91" i="70"/>
  <c r="S91" i="70"/>
  <c r="T90" i="70"/>
  <c r="V90" i="70" s="1"/>
  <c r="U90" i="70"/>
  <c r="V89" i="69"/>
  <c r="T90" i="69"/>
  <c r="U90" i="69"/>
  <c r="W91" i="69"/>
  <c r="S91" i="69"/>
  <c r="R92" i="69"/>
  <c r="O93" i="69"/>
  <c r="P92" i="69"/>
  <c r="Q92" i="69" s="1"/>
  <c r="V84" i="62"/>
  <c r="O88" i="62"/>
  <c r="R87" i="62"/>
  <c r="P87" i="62"/>
  <c r="Q87" i="62" s="1"/>
  <c r="T85" i="62"/>
  <c r="U85" i="62"/>
  <c r="S86" i="62"/>
  <c r="W86" i="62"/>
  <c r="O113" i="76" l="1"/>
  <c r="P112" i="76"/>
  <c r="Q112" i="76" s="1"/>
  <c r="O96" i="72"/>
  <c r="P95" i="72"/>
  <c r="Q95" i="72" s="1"/>
  <c r="T91" i="71"/>
  <c r="V91" i="71" s="1"/>
  <c r="U91" i="71"/>
  <c r="W92" i="71"/>
  <c r="S92" i="71"/>
  <c r="O94" i="71"/>
  <c r="R93" i="71"/>
  <c r="P93" i="71"/>
  <c r="Q93" i="71" s="1"/>
  <c r="T91" i="70"/>
  <c r="V91" i="70" s="1"/>
  <c r="U91" i="70"/>
  <c r="W92" i="70"/>
  <c r="S92" i="70"/>
  <c r="O94" i="70"/>
  <c r="R93" i="70"/>
  <c r="P93" i="70"/>
  <c r="Q93" i="70" s="1"/>
  <c r="V90" i="69"/>
  <c r="W92" i="69"/>
  <c r="S92" i="69"/>
  <c r="T91" i="69"/>
  <c r="U91" i="69"/>
  <c r="O94" i="69"/>
  <c r="R93" i="69"/>
  <c r="P93" i="69"/>
  <c r="Q93" i="69" s="1"/>
  <c r="V85" i="62"/>
  <c r="T86" i="62"/>
  <c r="U86" i="62"/>
  <c r="S87" i="62"/>
  <c r="W87" i="62"/>
  <c r="O89" i="62"/>
  <c r="R88" i="62"/>
  <c r="P88" i="62"/>
  <c r="Q88" i="62" s="1"/>
  <c r="O114" i="76" l="1"/>
  <c r="P113" i="76"/>
  <c r="Q113" i="76" s="1"/>
  <c r="O97" i="72"/>
  <c r="P96" i="72"/>
  <c r="Q96" i="72" s="1"/>
  <c r="S93" i="71"/>
  <c r="W93" i="71"/>
  <c r="O95" i="71"/>
  <c r="R94" i="71"/>
  <c r="P94" i="71"/>
  <c r="Q94" i="71" s="1"/>
  <c r="T92" i="71"/>
  <c r="V92" i="71" s="1"/>
  <c r="U92" i="71"/>
  <c r="W93" i="70"/>
  <c r="S93" i="70"/>
  <c r="T92" i="70"/>
  <c r="V92" i="70" s="1"/>
  <c r="U92" i="70"/>
  <c r="O95" i="70"/>
  <c r="R94" i="70"/>
  <c r="P94" i="70"/>
  <c r="Q94" i="70" s="1"/>
  <c r="V91" i="69"/>
  <c r="W93" i="69"/>
  <c r="S93" i="69"/>
  <c r="T92" i="69"/>
  <c r="U92" i="69"/>
  <c r="O95" i="69"/>
  <c r="R94" i="69"/>
  <c r="P94" i="69"/>
  <c r="Q94" i="69" s="1"/>
  <c r="V86" i="62"/>
  <c r="T87" i="62"/>
  <c r="U87" i="62"/>
  <c r="W88" i="62"/>
  <c r="S88" i="62"/>
  <c r="O90" i="62"/>
  <c r="R89" i="62"/>
  <c r="P89" i="62"/>
  <c r="Q89" i="62" s="1"/>
  <c r="O115" i="76" l="1"/>
  <c r="P114" i="76"/>
  <c r="Q114" i="76" s="1"/>
  <c r="O98" i="72"/>
  <c r="P97" i="72"/>
  <c r="Q97" i="72" s="1"/>
  <c r="O96" i="71"/>
  <c r="R95" i="71"/>
  <c r="P95" i="71"/>
  <c r="Q95" i="71" s="1"/>
  <c r="W94" i="71"/>
  <c r="S94" i="71"/>
  <c r="T93" i="71"/>
  <c r="V93" i="71" s="1"/>
  <c r="U93" i="71"/>
  <c r="W94" i="70"/>
  <c r="S94" i="70"/>
  <c r="O96" i="70"/>
  <c r="R95" i="70"/>
  <c r="P95" i="70"/>
  <c r="Q95" i="70" s="1"/>
  <c r="T93" i="70"/>
  <c r="V93" i="70" s="1"/>
  <c r="U93" i="70"/>
  <c r="V92" i="69"/>
  <c r="W94" i="69"/>
  <c r="S94" i="69"/>
  <c r="O96" i="69"/>
  <c r="R95" i="69"/>
  <c r="P95" i="69"/>
  <c r="Q95" i="69" s="1"/>
  <c r="T93" i="69"/>
  <c r="U93" i="69"/>
  <c r="V87" i="62"/>
  <c r="W89" i="62"/>
  <c r="S89" i="62"/>
  <c r="R90" i="62"/>
  <c r="O91" i="62"/>
  <c r="P90" i="62"/>
  <c r="Q90" i="62" s="1"/>
  <c r="T88" i="62"/>
  <c r="U88" i="62"/>
  <c r="O116" i="76" l="1"/>
  <c r="P115" i="76"/>
  <c r="Q115" i="76" s="1"/>
  <c r="O99" i="72"/>
  <c r="P98" i="72"/>
  <c r="Q98" i="72" s="1"/>
  <c r="W95" i="71"/>
  <c r="S95" i="71"/>
  <c r="T94" i="71"/>
  <c r="V94" i="71" s="1"/>
  <c r="U94" i="71"/>
  <c r="O97" i="71"/>
  <c r="R96" i="71"/>
  <c r="P96" i="71"/>
  <c r="Q96" i="71" s="1"/>
  <c r="O97" i="70"/>
  <c r="R96" i="70"/>
  <c r="P96" i="70"/>
  <c r="Q96" i="70" s="1"/>
  <c r="W95" i="70"/>
  <c r="S95" i="70"/>
  <c r="T94" i="70"/>
  <c r="V94" i="70" s="1"/>
  <c r="U94" i="70"/>
  <c r="V93" i="69"/>
  <c r="O97" i="69"/>
  <c r="R96" i="69"/>
  <c r="P96" i="69"/>
  <c r="Q96" i="69" s="1"/>
  <c r="T94" i="69"/>
  <c r="U94" i="69"/>
  <c r="W95" i="69"/>
  <c r="S95" i="69"/>
  <c r="V88" i="62"/>
  <c r="S90" i="62"/>
  <c r="W90" i="62"/>
  <c r="T89" i="62"/>
  <c r="U89" i="62"/>
  <c r="R91" i="62"/>
  <c r="O92" i="62"/>
  <c r="P91" i="62"/>
  <c r="Q91" i="62" s="1"/>
  <c r="O117" i="76" l="1"/>
  <c r="P116" i="76"/>
  <c r="Q116" i="76" s="1"/>
  <c r="O100" i="72"/>
  <c r="P99" i="72"/>
  <c r="Q99" i="72" s="1"/>
  <c r="T95" i="71"/>
  <c r="V95" i="71" s="1"/>
  <c r="U95" i="71"/>
  <c r="O98" i="71"/>
  <c r="R97" i="71"/>
  <c r="P97" i="71"/>
  <c r="Q97" i="71" s="1"/>
  <c r="W96" i="71"/>
  <c r="S96" i="71"/>
  <c r="T95" i="70"/>
  <c r="V95" i="70" s="1"/>
  <c r="U95" i="70"/>
  <c r="R97" i="70"/>
  <c r="O98" i="70"/>
  <c r="P97" i="70"/>
  <c r="Q97" i="70" s="1"/>
  <c r="W96" i="70"/>
  <c r="S96" i="70"/>
  <c r="V94" i="69"/>
  <c r="W96" i="69"/>
  <c r="S96" i="69"/>
  <c r="T95" i="69"/>
  <c r="U95" i="69"/>
  <c r="R97" i="69"/>
  <c r="O98" i="69"/>
  <c r="P97" i="69"/>
  <c r="Q97" i="69" s="1"/>
  <c r="V89" i="62"/>
  <c r="W91" i="62"/>
  <c r="S91" i="62"/>
  <c r="O93" i="62"/>
  <c r="R92" i="62"/>
  <c r="P92" i="62"/>
  <c r="Q92" i="62" s="1"/>
  <c r="T90" i="62"/>
  <c r="U90" i="62"/>
  <c r="O118" i="76" l="1"/>
  <c r="P117" i="76"/>
  <c r="Q117" i="76" s="1"/>
  <c r="O101" i="72"/>
  <c r="P100" i="72"/>
  <c r="Q100" i="72" s="1"/>
  <c r="T96" i="71"/>
  <c r="V96" i="71" s="1"/>
  <c r="U96" i="71"/>
  <c r="R98" i="71"/>
  <c r="O99" i="71"/>
  <c r="P98" i="71"/>
  <c r="Q98" i="71" s="1"/>
  <c r="W97" i="71"/>
  <c r="S97" i="71"/>
  <c r="R98" i="70"/>
  <c r="O99" i="70"/>
  <c r="P98" i="70"/>
  <c r="Q98" i="70" s="1"/>
  <c r="W97" i="70"/>
  <c r="S97" i="70"/>
  <c r="T96" i="70"/>
  <c r="V96" i="70" s="1"/>
  <c r="U96" i="70"/>
  <c r="V95" i="69"/>
  <c r="W97" i="69"/>
  <c r="S97" i="69"/>
  <c r="R98" i="69"/>
  <c r="O99" i="69"/>
  <c r="P98" i="69"/>
  <c r="Q98" i="69" s="1"/>
  <c r="T96" i="69"/>
  <c r="U96" i="69"/>
  <c r="V90" i="62"/>
  <c r="W92" i="62"/>
  <c r="S92" i="62"/>
  <c r="O94" i="62"/>
  <c r="R93" i="62"/>
  <c r="P93" i="62"/>
  <c r="Q93" i="62" s="1"/>
  <c r="T91" i="62"/>
  <c r="U91" i="62"/>
  <c r="O119" i="76" l="1"/>
  <c r="P118" i="76"/>
  <c r="Q118" i="76" s="1"/>
  <c r="O102" i="72"/>
  <c r="P101" i="72"/>
  <c r="Q101" i="72" s="1"/>
  <c r="R99" i="71"/>
  <c r="O100" i="71"/>
  <c r="P99" i="71"/>
  <c r="Q99" i="71" s="1"/>
  <c r="T97" i="71"/>
  <c r="V97" i="71" s="1"/>
  <c r="U97" i="71"/>
  <c r="W98" i="71"/>
  <c r="S98" i="71"/>
  <c r="T97" i="70"/>
  <c r="V97" i="70" s="1"/>
  <c r="U97" i="70"/>
  <c r="W98" i="70"/>
  <c r="S98" i="70"/>
  <c r="O100" i="70"/>
  <c r="R99" i="70"/>
  <c r="P99" i="70"/>
  <c r="Q99" i="70" s="1"/>
  <c r="V96" i="69"/>
  <c r="T97" i="69"/>
  <c r="U97" i="69"/>
  <c r="W98" i="69"/>
  <c r="S98" i="69"/>
  <c r="O100" i="69"/>
  <c r="R99" i="69"/>
  <c r="P99" i="69"/>
  <c r="Q99" i="69" s="1"/>
  <c r="V91" i="62"/>
  <c r="T92" i="62"/>
  <c r="U92" i="62"/>
  <c r="R94" i="62"/>
  <c r="O95" i="62"/>
  <c r="P94" i="62"/>
  <c r="Q94" i="62" s="1"/>
  <c r="W93" i="62"/>
  <c r="S93" i="62"/>
  <c r="O120" i="76" l="1"/>
  <c r="P119" i="76"/>
  <c r="Q119" i="76" s="1"/>
  <c r="O103" i="72"/>
  <c r="P102" i="72"/>
  <c r="Q102" i="72" s="1"/>
  <c r="W99" i="71"/>
  <c r="S99" i="71"/>
  <c r="O101" i="71"/>
  <c r="R100" i="71"/>
  <c r="P100" i="71"/>
  <c r="Q100" i="71" s="1"/>
  <c r="T98" i="71"/>
  <c r="V98" i="71" s="1"/>
  <c r="U98" i="71"/>
  <c r="W99" i="70"/>
  <c r="S99" i="70"/>
  <c r="T98" i="70"/>
  <c r="V98" i="70" s="1"/>
  <c r="U98" i="70"/>
  <c r="O101" i="70"/>
  <c r="R100" i="70"/>
  <c r="P100" i="70"/>
  <c r="Q100" i="70" s="1"/>
  <c r="V97" i="69"/>
  <c r="T98" i="69"/>
  <c r="U98" i="69"/>
  <c r="W99" i="69"/>
  <c r="S99" i="69"/>
  <c r="O101" i="69"/>
  <c r="R100" i="69"/>
  <c r="P100" i="69"/>
  <c r="Q100" i="69" s="1"/>
  <c r="V92" i="62"/>
  <c r="R95" i="62"/>
  <c r="O96" i="62"/>
  <c r="P95" i="62"/>
  <c r="Q95" i="62" s="1"/>
  <c r="T93" i="62"/>
  <c r="U93" i="62"/>
  <c r="W94" i="62"/>
  <c r="S94" i="62"/>
  <c r="O121" i="76" l="1"/>
  <c r="P120" i="76"/>
  <c r="Q120" i="76" s="1"/>
  <c r="O104" i="72"/>
  <c r="P103" i="72"/>
  <c r="Q103" i="72" s="1"/>
  <c r="T99" i="71"/>
  <c r="V99" i="71" s="1"/>
  <c r="U99" i="71"/>
  <c r="W100" i="71"/>
  <c r="S100" i="71"/>
  <c r="O102" i="71"/>
  <c r="R101" i="71"/>
  <c r="P101" i="71"/>
  <c r="Q101" i="71" s="1"/>
  <c r="W100" i="70"/>
  <c r="S100" i="70"/>
  <c r="R101" i="70"/>
  <c r="O102" i="70"/>
  <c r="P101" i="70"/>
  <c r="Q101" i="70" s="1"/>
  <c r="T99" i="70"/>
  <c r="V99" i="70" s="1"/>
  <c r="U99" i="70"/>
  <c r="V98" i="69"/>
  <c r="R101" i="69"/>
  <c r="O102" i="69"/>
  <c r="P101" i="69"/>
  <c r="Q101" i="69" s="1"/>
  <c r="W100" i="69"/>
  <c r="S100" i="69"/>
  <c r="T99" i="69"/>
  <c r="U99" i="69"/>
  <c r="V93" i="62"/>
  <c r="T94" i="62"/>
  <c r="U94" i="62"/>
  <c r="W95" i="62"/>
  <c r="S95" i="62"/>
  <c r="O97" i="62"/>
  <c r="R96" i="62"/>
  <c r="P96" i="62"/>
  <c r="Q96" i="62" s="1"/>
  <c r="O122" i="76" l="1"/>
  <c r="P121" i="76"/>
  <c r="Q121" i="76" s="1"/>
  <c r="O105" i="72"/>
  <c r="P104" i="72"/>
  <c r="Q104" i="72" s="1"/>
  <c r="W101" i="71"/>
  <c r="S101" i="71"/>
  <c r="T100" i="71"/>
  <c r="V100" i="71" s="1"/>
  <c r="U100" i="71"/>
  <c r="R102" i="71"/>
  <c r="O103" i="71"/>
  <c r="P102" i="71"/>
  <c r="Q102" i="71" s="1"/>
  <c r="R102" i="70"/>
  <c r="O103" i="70"/>
  <c r="P102" i="70"/>
  <c r="Q102" i="70" s="1"/>
  <c r="W101" i="70"/>
  <c r="S101" i="70"/>
  <c r="T100" i="70"/>
  <c r="V100" i="70" s="1"/>
  <c r="U100" i="70"/>
  <c r="V99" i="69"/>
  <c r="W101" i="69"/>
  <c r="S101" i="69"/>
  <c r="R102" i="69"/>
  <c r="O103" i="69"/>
  <c r="P102" i="69"/>
  <c r="Q102" i="69" s="1"/>
  <c r="T100" i="69"/>
  <c r="U100" i="69"/>
  <c r="V94" i="62"/>
  <c r="S96" i="62"/>
  <c r="W96" i="62"/>
  <c r="O98" i="62"/>
  <c r="R97" i="62"/>
  <c r="P97" i="62"/>
  <c r="Q97" i="62" s="1"/>
  <c r="T95" i="62"/>
  <c r="U95" i="62"/>
  <c r="O123" i="76" l="1"/>
  <c r="P122" i="76"/>
  <c r="Q122" i="76" s="1"/>
  <c r="O106" i="72"/>
  <c r="P105" i="72"/>
  <c r="Q105" i="72" s="1"/>
  <c r="W102" i="71"/>
  <c r="S102" i="71"/>
  <c r="R103" i="71"/>
  <c r="O104" i="71"/>
  <c r="P103" i="71"/>
  <c r="Q103" i="71" s="1"/>
  <c r="T101" i="71"/>
  <c r="V101" i="71" s="1"/>
  <c r="U101" i="71"/>
  <c r="T101" i="70"/>
  <c r="V101" i="70" s="1"/>
  <c r="U101" i="70"/>
  <c r="S102" i="70"/>
  <c r="W102" i="70"/>
  <c r="O104" i="70"/>
  <c r="R103" i="70"/>
  <c r="P103" i="70"/>
  <c r="Q103" i="70" s="1"/>
  <c r="V100" i="69"/>
  <c r="W102" i="69"/>
  <c r="S102" i="69"/>
  <c r="T101" i="69"/>
  <c r="U101" i="69"/>
  <c r="O104" i="69"/>
  <c r="R103" i="69"/>
  <c r="P103" i="69"/>
  <c r="Q103" i="69" s="1"/>
  <c r="V95" i="62"/>
  <c r="W97" i="62"/>
  <c r="S97" i="62"/>
  <c r="R98" i="62"/>
  <c r="O99" i="62"/>
  <c r="P98" i="62"/>
  <c r="Q98" i="62" s="1"/>
  <c r="T96" i="62"/>
  <c r="U96" i="62"/>
  <c r="O124" i="76" l="1"/>
  <c r="P123" i="76"/>
  <c r="Q123" i="76" s="1"/>
  <c r="O107" i="72"/>
  <c r="P106" i="72"/>
  <c r="Q106" i="72" s="1"/>
  <c r="W103" i="71"/>
  <c r="S103" i="71"/>
  <c r="T102" i="71"/>
  <c r="V102" i="71" s="1"/>
  <c r="U102" i="71"/>
  <c r="O105" i="71"/>
  <c r="R104" i="71"/>
  <c r="P104" i="71"/>
  <c r="Q104" i="71" s="1"/>
  <c r="W103" i="70"/>
  <c r="S103" i="70"/>
  <c r="T102" i="70"/>
  <c r="V102" i="70" s="1"/>
  <c r="U102" i="70"/>
  <c r="R104" i="70"/>
  <c r="O105" i="70"/>
  <c r="P104" i="70"/>
  <c r="Q104" i="70" s="1"/>
  <c r="V101" i="69"/>
  <c r="W103" i="69"/>
  <c r="S103" i="69"/>
  <c r="T102" i="69"/>
  <c r="U102" i="69"/>
  <c r="O105" i="69"/>
  <c r="R104" i="69"/>
  <c r="P104" i="69"/>
  <c r="Q104" i="69" s="1"/>
  <c r="V96" i="62"/>
  <c r="T97" i="62"/>
  <c r="U97" i="62"/>
  <c r="W98" i="62"/>
  <c r="S98" i="62"/>
  <c r="O100" i="62"/>
  <c r="R99" i="62"/>
  <c r="P99" i="62"/>
  <c r="Q99" i="62" s="1"/>
  <c r="O125" i="76" l="1"/>
  <c r="P124" i="76"/>
  <c r="Q124" i="76" s="1"/>
  <c r="O108" i="72"/>
  <c r="P107" i="72"/>
  <c r="Q107" i="72" s="1"/>
  <c r="T103" i="71"/>
  <c r="V103" i="71" s="1"/>
  <c r="U103" i="71"/>
  <c r="R105" i="71"/>
  <c r="O106" i="71"/>
  <c r="P105" i="71"/>
  <c r="Q105" i="71" s="1"/>
  <c r="W104" i="71"/>
  <c r="S104" i="71"/>
  <c r="W104" i="70"/>
  <c r="S104" i="70"/>
  <c r="R105" i="70"/>
  <c r="O106" i="70"/>
  <c r="P105" i="70"/>
  <c r="Q105" i="70" s="1"/>
  <c r="T103" i="70"/>
  <c r="V103" i="70" s="1"/>
  <c r="U103" i="70"/>
  <c r="V102" i="69"/>
  <c r="S104" i="69"/>
  <c r="W104" i="69"/>
  <c r="O106" i="69"/>
  <c r="R105" i="69"/>
  <c r="P105" i="69"/>
  <c r="Q105" i="69" s="1"/>
  <c r="T103" i="69"/>
  <c r="U103" i="69"/>
  <c r="V97" i="62"/>
  <c r="O101" i="62"/>
  <c r="R100" i="62"/>
  <c r="P100" i="62"/>
  <c r="Q100" i="62" s="1"/>
  <c r="S99" i="62"/>
  <c r="W99" i="62"/>
  <c r="T98" i="62"/>
  <c r="U98" i="62"/>
  <c r="O126" i="76" l="1"/>
  <c r="P125" i="76"/>
  <c r="Q125" i="76" s="1"/>
  <c r="O109" i="72"/>
  <c r="P108" i="72"/>
  <c r="Q108" i="72" s="1"/>
  <c r="T104" i="71"/>
  <c r="V104" i="71" s="1"/>
  <c r="U104" i="71"/>
  <c r="R106" i="71"/>
  <c r="O107" i="71"/>
  <c r="P106" i="71"/>
  <c r="Q106" i="71" s="1"/>
  <c r="W105" i="71"/>
  <c r="S105" i="71"/>
  <c r="O107" i="70"/>
  <c r="R106" i="70"/>
  <c r="P106" i="70"/>
  <c r="Q106" i="70" s="1"/>
  <c r="W105" i="70"/>
  <c r="S105" i="70"/>
  <c r="T104" i="70"/>
  <c r="V104" i="70" s="1"/>
  <c r="U104" i="70"/>
  <c r="V103" i="69"/>
  <c r="R106" i="69"/>
  <c r="O107" i="69"/>
  <c r="P106" i="69"/>
  <c r="Q106" i="69" s="1"/>
  <c r="W105" i="69"/>
  <c r="S105" i="69"/>
  <c r="T104" i="69"/>
  <c r="U104" i="69"/>
  <c r="V98" i="62"/>
  <c r="S100" i="62"/>
  <c r="W100" i="62"/>
  <c r="T99" i="62"/>
  <c r="U99" i="62"/>
  <c r="O102" i="62"/>
  <c r="R101" i="62"/>
  <c r="P101" i="62"/>
  <c r="Q101" i="62" s="1"/>
  <c r="O127" i="76" l="1"/>
  <c r="P126" i="76"/>
  <c r="Q126" i="76" s="1"/>
  <c r="O110" i="72"/>
  <c r="P109" i="72"/>
  <c r="Q109" i="72" s="1"/>
  <c r="O108" i="71"/>
  <c r="R107" i="71"/>
  <c r="P107" i="71"/>
  <c r="Q107" i="71" s="1"/>
  <c r="T105" i="71"/>
  <c r="V105" i="71" s="1"/>
  <c r="U105" i="71"/>
  <c r="W106" i="71"/>
  <c r="S106" i="71"/>
  <c r="O108" i="70"/>
  <c r="R107" i="70"/>
  <c r="P107" i="70"/>
  <c r="Q107" i="70" s="1"/>
  <c r="W106" i="70"/>
  <c r="S106" i="70"/>
  <c r="T105" i="70"/>
  <c r="V105" i="70" s="1"/>
  <c r="U105" i="70"/>
  <c r="V104" i="69"/>
  <c r="W106" i="69"/>
  <c r="S106" i="69"/>
  <c r="R107" i="69"/>
  <c r="O108" i="69"/>
  <c r="P107" i="69"/>
  <c r="Q107" i="69" s="1"/>
  <c r="T105" i="69"/>
  <c r="U105" i="69"/>
  <c r="V99" i="62"/>
  <c r="O103" i="62"/>
  <c r="R102" i="62"/>
  <c r="P102" i="62"/>
  <c r="Q102" i="62" s="1"/>
  <c r="S101" i="62"/>
  <c r="W101" i="62"/>
  <c r="T100" i="62"/>
  <c r="U100" i="62"/>
  <c r="O128" i="76" l="1"/>
  <c r="P127" i="76"/>
  <c r="Q127" i="76" s="1"/>
  <c r="O111" i="72"/>
  <c r="P110" i="72"/>
  <c r="Q110" i="72" s="1"/>
  <c r="T106" i="71"/>
  <c r="V106" i="71" s="1"/>
  <c r="U106" i="71"/>
  <c r="W107" i="71"/>
  <c r="S107" i="71"/>
  <c r="O109" i="71"/>
  <c r="R108" i="71"/>
  <c r="P108" i="71"/>
  <c r="Q108" i="71" s="1"/>
  <c r="T106" i="70"/>
  <c r="V106" i="70" s="1"/>
  <c r="U106" i="70"/>
  <c r="R108" i="70"/>
  <c r="O109" i="70"/>
  <c r="P108" i="70"/>
  <c r="Q108" i="70" s="1"/>
  <c r="W107" i="70"/>
  <c r="S107" i="70"/>
  <c r="V105" i="69"/>
  <c r="W107" i="69"/>
  <c r="S107" i="69"/>
  <c r="T106" i="69"/>
  <c r="U106" i="69"/>
  <c r="O109" i="69"/>
  <c r="R108" i="69"/>
  <c r="P108" i="69"/>
  <c r="Q108" i="69" s="1"/>
  <c r="V100" i="62"/>
  <c r="T101" i="62"/>
  <c r="U101" i="62"/>
  <c r="S102" i="62"/>
  <c r="W102" i="62"/>
  <c r="O104" i="62"/>
  <c r="R103" i="62"/>
  <c r="P103" i="62"/>
  <c r="Q103" i="62" s="1"/>
  <c r="O129" i="76" l="1"/>
  <c r="P128" i="76"/>
  <c r="Q128" i="76" s="1"/>
  <c r="O112" i="72"/>
  <c r="P111" i="72"/>
  <c r="Q111" i="72" s="1"/>
  <c r="T107" i="71"/>
  <c r="V107" i="71" s="1"/>
  <c r="U107" i="71"/>
  <c r="R109" i="71"/>
  <c r="O110" i="71"/>
  <c r="P109" i="71"/>
  <c r="Q109" i="71" s="1"/>
  <c r="W108" i="71"/>
  <c r="S108" i="71"/>
  <c r="W108" i="70"/>
  <c r="S108" i="70"/>
  <c r="R109" i="70"/>
  <c r="O110" i="70"/>
  <c r="P109" i="70"/>
  <c r="Q109" i="70" s="1"/>
  <c r="T107" i="70"/>
  <c r="V107" i="70" s="1"/>
  <c r="U107" i="70"/>
  <c r="V106" i="69"/>
  <c r="S108" i="69"/>
  <c r="W108" i="69"/>
  <c r="T107" i="69"/>
  <c r="U107" i="69"/>
  <c r="O110" i="69"/>
  <c r="R109" i="69"/>
  <c r="P109" i="69"/>
  <c r="Q109" i="69" s="1"/>
  <c r="V101" i="62"/>
  <c r="T102" i="62"/>
  <c r="U102" i="62"/>
  <c r="W103" i="62"/>
  <c r="S103" i="62"/>
  <c r="R104" i="62"/>
  <c r="O105" i="62"/>
  <c r="P104" i="62"/>
  <c r="Q104" i="62" s="1"/>
  <c r="O130" i="76" l="1"/>
  <c r="P129" i="76"/>
  <c r="Q129" i="76" s="1"/>
  <c r="O113" i="72"/>
  <c r="P112" i="72"/>
  <c r="Q112" i="72" s="1"/>
  <c r="T108" i="71"/>
  <c r="V108" i="71" s="1"/>
  <c r="U108" i="71"/>
  <c r="R110" i="71"/>
  <c r="O111" i="71"/>
  <c r="P110" i="71"/>
  <c r="Q110" i="71" s="1"/>
  <c r="W109" i="71"/>
  <c r="S109" i="71"/>
  <c r="O111" i="70"/>
  <c r="R110" i="70"/>
  <c r="P110" i="70"/>
  <c r="Q110" i="70" s="1"/>
  <c r="S109" i="70"/>
  <c r="W109" i="70"/>
  <c r="T108" i="70"/>
  <c r="V108" i="70" s="1"/>
  <c r="U108" i="70"/>
  <c r="V107" i="69"/>
  <c r="W109" i="69"/>
  <c r="S109" i="69"/>
  <c r="R110" i="69"/>
  <c r="O111" i="69"/>
  <c r="P110" i="69"/>
  <c r="Q110" i="69" s="1"/>
  <c r="T108" i="69"/>
  <c r="U108" i="69"/>
  <c r="V102" i="62"/>
  <c r="S104" i="62"/>
  <c r="W104" i="62"/>
  <c r="T103" i="62"/>
  <c r="U103" i="62"/>
  <c r="O106" i="62"/>
  <c r="O107" i="62" s="1"/>
  <c r="R105" i="62"/>
  <c r="P105" i="62"/>
  <c r="Q105" i="62" s="1"/>
  <c r="O131" i="76" l="1"/>
  <c r="P130" i="76"/>
  <c r="Q130" i="76" s="1"/>
  <c r="O114" i="72"/>
  <c r="P113" i="72"/>
  <c r="Q113" i="72" s="1"/>
  <c r="T109" i="71"/>
  <c r="V109" i="71" s="1"/>
  <c r="U109" i="71"/>
  <c r="O112" i="71"/>
  <c r="R111" i="71"/>
  <c r="P111" i="71"/>
  <c r="Q111" i="71" s="1"/>
  <c r="W110" i="71"/>
  <c r="S110" i="71"/>
  <c r="T109" i="70"/>
  <c r="V109" i="70" s="1"/>
  <c r="U109" i="70"/>
  <c r="O112" i="70"/>
  <c r="R111" i="70"/>
  <c r="P111" i="70"/>
  <c r="Q111" i="70" s="1"/>
  <c r="W110" i="70"/>
  <c r="S110" i="70"/>
  <c r="V108" i="69"/>
  <c r="W110" i="69"/>
  <c r="S110" i="69"/>
  <c r="T109" i="69"/>
  <c r="U109" i="69"/>
  <c r="R111" i="69"/>
  <c r="O112" i="69"/>
  <c r="P111" i="69"/>
  <c r="Q111" i="69" s="1"/>
  <c r="R107" i="62"/>
  <c r="O108" i="62"/>
  <c r="P107" i="62"/>
  <c r="Q107" i="62" s="1"/>
  <c r="V103" i="62"/>
  <c r="W105" i="62"/>
  <c r="S105" i="62"/>
  <c r="R106" i="62"/>
  <c r="P106" i="62"/>
  <c r="Q106" i="62" s="1"/>
  <c r="T104" i="62"/>
  <c r="U104" i="62"/>
  <c r="O132" i="76" l="1"/>
  <c r="P131" i="76"/>
  <c r="Q131" i="76" s="1"/>
  <c r="O115" i="72"/>
  <c r="P114" i="72"/>
  <c r="Q114" i="72" s="1"/>
  <c r="T110" i="71"/>
  <c r="V110" i="71" s="1"/>
  <c r="U110" i="71"/>
  <c r="O113" i="71"/>
  <c r="R112" i="71"/>
  <c r="P112" i="71"/>
  <c r="Q112" i="71" s="1"/>
  <c r="W111" i="71"/>
  <c r="S111" i="71"/>
  <c r="W111" i="70"/>
  <c r="S111" i="70"/>
  <c r="T110" i="70"/>
  <c r="V110" i="70" s="1"/>
  <c r="U110" i="70"/>
  <c r="O113" i="70"/>
  <c r="R112" i="70"/>
  <c r="P112" i="70"/>
  <c r="Q112" i="70" s="1"/>
  <c r="V109" i="69"/>
  <c r="S111" i="69"/>
  <c r="W111" i="69"/>
  <c r="O113" i="69"/>
  <c r="R112" i="69"/>
  <c r="P112" i="69"/>
  <c r="Q112" i="69" s="1"/>
  <c r="T110" i="69"/>
  <c r="U110" i="69"/>
  <c r="W107" i="62"/>
  <c r="S107" i="62"/>
  <c r="R108" i="62"/>
  <c r="O109" i="62"/>
  <c r="P108" i="62"/>
  <c r="Q108" i="62" s="1"/>
  <c r="V104" i="62"/>
  <c r="T105" i="62"/>
  <c r="U105" i="62"/>
  <c r="V105" i="62" s="1"/>
  <c r="W106" i="62"/>
  <c r="S106" i="62"/>
  <c r="O133" i="76" l="1"/>
  <c r="P132" i="76"/>
  <c r="Q132" i="76" s="1"/>
  <c r="O116" i="72"/>
  <c r="P115" i="72"/>
  <c r="Q115" i="72" s="1"/>
  <c r="T111" i="71"/>
  <c r="U111" i="71"/>
  <c r="V111" i="71" s="1"/>
  <c r="R113" i="71"/>
  <c r="O114" i="71"/>
  <c r="P113" i="71"/>
  <c r="Q113" i="71" s="1"/>
  <c r="W112" i="71"/>
  <c r="S112" i="71"/>
  <c r="W112" i="70"/>
  <c r="S112" i="70"/>
  <c r="R113" i="70"/>
  <c r="O114" i="70"/>
  <c r="P113" i="70"/>
  <c r="Q113" i="70" s="1"/>
  <c r="T111" i="70"/>
  <c r="U111" i="70"/>
  <c r="V110" i="69"/>
  <c r="O114" i="69"/>
  <c r="R113" i="69"/>
  <c r="P113" i="69"/>
  <c r="Q113" i="69" s="1"/>
  <c r="T111" i="69"/>
  <c r="U111" i="69"/>
  <c r="V111" i="69" s="1"/>
  <c r="W112" i="69"/>
  <c r="S112" i="69"/>
  <c r="W108" i="62"/>
  <c r="S108" i="62"/>
  <c r="O110" i="62"/>
  <c r="R109" i="62"/>
  <c r="P109" i="62"/>
  <c r="Q109" i="62" s="1"/>
  <c r="T107" i="62"/>
  <c r="U107" i="62"/>
  <c r="V107" i="62" s="1"/>
  <c r="T106" i="62"/>
  <c r="U106" i="62"/>
  <c r="V106" i="62" s="1"/>
  <c r="O134" i="76" l="1"/>
  <c r="P133" i="76"/>
  <c r="Q133" i="76" s="1"/>
  <c r="O117" i="72"/>
  <c r="P116" i="72"/>
  <c r="Q116" i="72" s="1"/>
  <c r="T112" i="71"/>
  <c r="U112" i="71"/>
  <c r="V112" i="71" s="1"/>
  <c r="O115" i="71"/>
  <c r="R114" i="71"/>
  <c r="P114" i="71"/>
  <c r="Q114" i="71" s="1"/>
  <c r="S113" i="71"/>
  <c r="W113" i="71"/>
  <c r="V111" i="70"/>
  <c r="O115" i="70"/>
  <c r="R114" i="70"/>
  <c r="P114" i="70"/>
  <c r="Q114" i="70" s="1"/>
  <c r="W113" i="70"/>
  <c r="S113" i="70"/>
  <c r="T112" i="70"/>
  <c r="U112" i="70"/>
  <c r="V112" i="70" s="1"/>
  <c r="S113" i="69"/>
  <c r="W113" i="69"/>
  <c r="T112" i="69"/>
  <c r="U112" i="69"/>
  <c r="V112" i="69" s="1"/>
  <c r="R114" i="69"/>
  <c r="O115" i="69"/>
  <c r="P114" i="69"/>
  <c r="Q114" i="69" s="1"/>
  <c r="W109" i="62"/>
  <c r="S109" i="62"/>
  <c r="O111" i="62"/>
  <c r="R110" i="62"/>
  <c r="P110" i="62"/>
  <c r="Q110" i="62" s="1"/>
  <c r="T108" i="62"/>
  <c r="U108" i="62"/>
  <c r="V108" i="62" s="1"/>
  <c r="O135" i="76" l="1"/>
  <c r="P134" i="76"/>
  <c r="Q134" i="76" s="1"/>
  <c r="O118" i="72"/>
  <c r="P117" i="72"/>
  <c r="Q117" i="72" s="1"/>
  <c r="T113" i="71"/>
  <c r="U113" i="71"/>
  <c r="V113" i="71" s="1"/>
  <c r="O116" i="71"/>
  <c r="R115" i="71"/>
  <c r="P115" i="71"/>
  <c r="Q115" i="71" s="1"/>
  <c r="S114" i="71"/>
  <c r="W114" i="71"/>
  <c r="T113" i="70"/>
  <c r="U113" i="70"/>
  <c r="R115" i="70"/>
  <c r="O116" i="70"/>
  <c r="P115" i="70"/>
  <c r="Q115" i="70" s="1"/>
  <c r="S114" i="70"/>
  <c r="W114" i="70"/>
  <c r="W114" i="69"/>
  <c r="S114" i="69"/>
  <c r="O116" i="69"/>
  <c r="R115" i="69"/>
  <c r="P115" i="69"/>
  <c r="Q115" i="69" s="1"/>
  <c r="T113" i="69"/>
  <c r="U113" i="69"/>
  <c r="V113" i="69" s="1"/>
  <c r="R111" i="62"/>
  <c r="O112" i="62"/>
  <c r="P111" i="62"/>
  <c r="Q111" i="62" s="1"/>
  <c r="W110" i="62"/>
  <c r="S110" i="62"/>
  <c r="T109" i="62"/>
  <c r="U109" i="62"/>
  <c r="V109" i="62" s="1"/>
  <c r="O136" i="76" l="1"/>
  <c r="P135" i="76"/>
  <c r="Q135" i="76" s="1"/>
  <c r="O119" i="72"/>
  <c r="P118" i="72"/>
  <c r="Q118" i="72" s="1"/>
  <c r="W115" i="71"/>
  <c r="S115" i="71"/>
  <c r="T114" i="71"/>
  <c r="U114" i="71"/>
  <c r="R116" i="71"/>
  <c r="O117" i="71"/>
  <c r="P116" i="71"/>
  <c r="Q116" i="71" s="1"/>
  <c r="V113" i="70"/>
  <c r="W115" i="70"/>
  <c r="S115" i="70"/>
  <c r="R116" i="70"/>
  <c r="O117" i="70"/>
  <c r="P116" i="70"/>
  <c r="Q116" i="70" s="1"/>
  <c r="T114" i="70"/>
  <c r="U114" i="70"/>
  <c r="O117" i="69"/>
  <c r="R116" i="69"/>
  <c r="P116" i="69"/>
  <c r="Q116" i="69" s="1"/>
  <c r="T114" i="69"/>
  <c r="U114" i="69"/>
  <c r="V114" i="69" s="1"/>
  <c r="W115" i="69"/>
  <c r="S115" i="69"/>
  <c r="S111" i="62"/>
  <c r="W111" i="62"/>
  <c r="T110" i="62"/>
  <c r="U110" i="62"/>
  <c r="V110" i="62" s="1"/>
  <c r="R112" i="62"/>
  <c r="O113" i="62"/>
  <c r="P112" i="62"/>
  <c r="Q112" i="62" s="1"/>
  <c r="O137" i="76" l="1"/>
  <c r="P136" i="76"/>
  <c r="Q136" i="76" s="1"/>
  <c r="O120" i="72"/>
  <c r="P119" i="72"/>
  <c r="Q119" i="72" s="1"/>
  <c r="V114" i="71"/>
  <c r="W116" i="71"/>
  <c r="S116" i="71"/>
  <c r="T115" i="71"/>
  <c r="U115" i="71"/>
  <c r="V115" i="71" s="1"/>
  <c r="R117" i="71"/>
  <c r="O118" i="71"/>
  <c r="P117" i="71"/>
  <c r="Q117" i="71" s="1"/>
  <c r="V114" i="70"/>
  <c r="O118" i="70"/>
  <c r="R117" i="70"/>
  <c r="P117" i="70"/>
  <c r="Q117" i="70" s="1"/>
  <c r="W116" i="70"/>
  <c r="S116" i="70"/>
  <c r="T115" i="70"/>
  <c r="U115" i="70"/>
  <c r="V115" i="70" s="1"/>
  <c r="W116" i="69"/>
  <c r="S116" i="69"/>
  <c r="T115" i="69"/>
  <c r="U115" i="69"/>
  <c r="V115" i="69" s="1"/>
  <c r="R117" i="69"/>
  <c r="O118" i="69"/>
  <c r="P117" i="69"/>
  <c r="Q117" i="69" s="1"/>
  <c r="T111" i="62"/>
  <c r="U111" i="62"/>
  <c r="V111" i="62" s="1"/>
  <c r="W112" i="62"/>
  <c r="S112" i="62"/>
  <c r="R113" i="62"/>
  <c r="O114" i="62"/>
  <c r="P113" i="62"/>
  <c r="Q113" i="62" s="1"/>
  <c r="O138" i="76" l="1"/>
  <c r="P137" i="76"/>
  <c r="Q137" i="76" s="1"/>
  <c r="O121" i="72"/>
  <c r="P120" i="72"/>
  <c r="Q120" i="72" s="1"/>
  <c r="W117" i="71"/>
  <c r="S117" i="71"/>
  <c r="R118" i="71"/>
  <c r="O119" i="71"/>
  <c r="P118" i="71"/>
  <c r="Q118" i="71" s="1"/>
  <c r="T116" i="71"/>
  <c r="U116" i="71"/>
  <c r="V116" i="71" s="1"/>
  <c r="O119" i="70"/>
  <c r="R118" i="70"/>
  <c r="P118" i="70"/>
  <c r="Q118" i="70" s="1"/>
  <c r="W117" i="70"/>
  <c r="S117" i="70"/>
  <c r="T116" i="70"/>
  <c r="U116" i="70"/>
  <c r="V116" i="70" s="1"/>
  <c r="S117" i="69"/>
  <c r="W117" i="69"/>
  <c r="R118" i="69"/>
  <c r="O119" i="69"/>
  <c r="P118" i="69"/>
  <c r="Q118" i="69" s="1"/>
  <c r="T116" i="69"/>
  <c r="U116" i="69"/>
  <c r="V116" i="69" s="1"/>
  <c r="W113" i="62"/>
  <c r="S113" i="62"/>
  <c r="T112" i="62"/>
  <c r="U112" i="62"/>
  <c r="V112" i="62" s="1"/>
  <c r="R114" i="62"/>
  <c r="O115" i="62"/>
  <c r="P114" i="62"/>
  <c r="Q114" i="62" s="1"/>
  <c r="O139" i="76" l="1"/>
  <c r="P138" i="76"/>
  <c r="Q138" i="76" s="1"/>
  <c r="O122" i="72"/>
  <c r="P121" i="72"/>
  <c r="Q121" i="72" s="1"/>
  <c r="T117" i="71"/>
  <c r="U117" i="71"/>
  <c r="V117" i="71" s="1"/>
  <c r="W118" i="71"/>
  <c r="S118" i="71"/>
  <c r="O120" i="71"/>
  <c r="R119" i="71"/>
  <c r="P119" i="71"/>
  <c r="Q119" i="71" s="1"/>
  <c r="T117" i="70"/>
  <c r="U117" i="70"/>
  <c r="V117" i="70" s="1"/>
  <c r="R119" i="70"/>
  <c r="O120" i="70"/>
  <c r="P119" i="70"/>
  <c r="Q119" i="70" s="1"/>
  <c r="W118" i="70"/>
  <c r="S118" i="70"/>
  <c r="W118" i="69"/>
  <c r="S118" i="69"/>
  <c r="T117" i="69"/>
  <c r="U117" i="69"/>
  <c r="V117" i="69" s="1"/>
  <c r="O120" i="69"/>
  <c r="R119" i="69"/>
  <c r="P119" i="69"/>
  <c r="Q119" i="69" s="1"/>
  <c r="W114" i="62"/>
  <c r="S114" i="62"/>
  <c r="R115" i="62"/>
  <c r="O116" i="62"/>
  <c r="P115" i="62"/>
  <c r="Q115" i="62" s="1"/>
  <c r="U113" i="62"/>
  <c r="V113" i="62" s="1"/>
  <c r="T113" i="62"/>
  <c r="O140" i="76" l="1"/>
  <c r="P139" i="76"/>
  <c r="Q139" i="76" s="1"/>
  <c r="O123" i="72"/>
  <c r="P122" i="72"/>
  <c r="Q122" i="72" s="1"/>
  <c r="W119" i="71"/>
  <c r="S119" i="71"/>
  <c r="R120" i="71"/>
  <c r="O121" i="71"/>
  <c r="P120" i="71"/>
  <c r="Q120" i="71" s="1"/>
  <c r="T118" i="71"/>
  <c r="U118" i="71"/>
  <c r="V118" i="71" s="1"/>
  <c r="W119" i="70"/>
  <c r="S119" i="70"/>
  <c r="R120" i="70"/>
  <c r="O121" i="70"/>
  <c r="P120" i="70"/>
  <c r="Q120" i="70" s="1"/>
  <c r="T118" i="70"/>
  <c r="U118" i="70"/>
  <c r="V118" i="70" s="1"/>
  <c r="S119" i="69"/>
  <c r="W119" i="69"/>
  <c r="T118" i="69"/>
  <c r="U118" i="69"/>
  <c r="V118" i="69" s="1"/>
  <c r="O121" i="69"/>
  <c r="R120" i="69"/>
  <c r="P120" i="69"/>
  <c r="Q120" i="69" s="1"/>
  <c r="S115" i="62"/>
  <c r="W115" i="62"/>
  <c r="R116" i="62"/>
  <c r="O117" i="62"/>
  <c r="P116" i="62"/>
  <c r="Q116" i="62" s="1"/>
  <c r="T114" i="62"/>
  <c r="U114" i="62"/>
  <c r="V114" i="62" s="1"/>
  <c r="O141" i="76" l="1"/>
  <c r="P140" i="76"/>
  <c r="Q140" i="76" s="1"/>
  <c r="O124" i="72"/>
  <c r="P123" i="72"/>
  <c r="Q123" i="72" s="1"/>
  <c r="W120" i="71"/>
  <c r="S120" i="71"/>
  <c r="T119" i="71"/>
  <c r="U119" i="71"/>
  <c r="V119" i="71" s="1"/>
  <c r="R121" i="71"/>
  <c r="O122" i="71"/>
  <c r="P121" i="71"/>
  <c r="Q121" i="71" s="1"/>
  <c r="R121" i="70"/>
  <c r="O122" i="70"/>
  <c r="P121" i="70"/>
  <c r="Q121" i="70" s="1"/>
  <c r="W120" i="70"/>
  <c r="S120" i="70"/>
  <c r="T119" i="70"/>
  <c r="U119" i="70"/>
  <c r="V119" i="70" s="1"/>
  <c r="W120" i="69"/>
  <c r="S120" i="69"/>
  <c r="O122" i="69"/>
  <c r="R121" i="69"/>
  <c r="P121" i="69"/>
  <c r="Q121" i="69" s="1"/>
  <c r="T119" i="69"/>
  <c r="U119" i="69"/>
  <c r="V119" i="69" s="1"/>
  <c r="W116" i="62"/>
  <c r="S116" i="62"/>
  <c r="T115" i="62"/>
  <c r="U115" i="62"/>
  <c r="V115" i="62" s="1"/>
  <c r="R117" i="62"/>
  <c r="O118" i="62"/>
  <c r="P117" i="62"/>
  <c r="Q117" i="62" s="1"/>
  <c r="O142" i="76" l="1"/>
  <c r="P141" i="76"/>
  <c r="Q141" i="76" s="1"/>
  <c r="O125" i="72"/>
  <c r="P124" i="72"/>
  <c r="Q124" i="72" s="1"/>
  <c r="W121" i="71"/>
  <c r="S121" i="71"/>
  <c r="O123" i="71"/>
  <c r="R122" i="71"/>
  <c r="P122" i="71"/>
  <c r="Q122" i="71" s="1"/>
  <c r="T120" i="71"/>
  <c r="U120" i="71"/>
  <c r="V120" i="71" s="1"/>
  <c r="W121" i="70"/>
  <c r="S121" i="70"/>
  <c r="T120" i="70"/>
  <c r="U120" i="70"/>
  <c r="V120" i="70" s="1"/>
  <c r="R122" i="70"/>
  <c r="O123" i="70"/>
  <c r="P122" i="70"/>
  <c r="Q122" i="70" s="1"/>
  <c r="O123" i="69"/>
  <c r="R122" i="69"/>
  <c r="P122" i="69"/>
  <c r="Q122" i="69" s="1"/>
  <c r="T120" i="69"/>
  <c r="U120" i="69"/>
  <c r="V120" i="69" s="1"/>
  <c r="S121" i="69"/>
  <c r="W121" i="69"/>
  <c r="W117" i="62"/>
  <c r="S117" i="62"/>
  <c r="P118" i="62"/>
  <c r="Q118" i="62" s="1"/>
  <c r="R118" i="62"/>
  <c r="O119" i="62"/>
  <c r="U116" i="62"/>
  <c r="V116" i="62" s="1"/>
  <c r="T116" i="62"/>
  <c r="O143" i="76" l="1"/>
  <c r="P142" i="76"/>
  <c r="Q142" i="76" s="1"/>
  <c r="O126" i="72"/>
  <c r="P125" i="72"/>
  <c r="Q125" i="72" s="1"/>
  <c r="R123" i="71"/>
  <c r="O124" i="71"/>
  <c r="P123" i="71"/>
  <c r="Q123" i="71" s="1"/>
  <c r="T121" i="71"/>
  <c r="U121" i="71"/>
  <c r="V121" i="71" s="1"/>
  <c r="S122" i="71"/>
  <c r="W122" i="71"/>
  <c r="W122" i="70"/>
  <c r="S122" i="70"/>
  <c r="R123" i="70"/>
  <c r="O124" i="70"/>
  <c r="P123" i="70"/>
  <c r="Q123" i="70" s="1"/>
  <c r="T121" i="70"/>
  <c r="U121" i="70"/>
  <c r="V121" i="70" s="1"/>
  <c r="T121" i="69"/>
  <c r="U121" i="69"/>
  <c r="V121" i="69" s="1"/>
  <c r="W122" i="69"/>
  <c r="S122" i="69"/>
  <c r="O124" i="69"/>
  <c r="R123" i="69"/>
  <c r="P123" i="69"/>
  <c r="Q123" i="69" s="1"/>
  <c r="W118" i="62"/>
  <c r="S118" i="62"/>
  <c r="R119" i="62"/>
  <c r="O120" i="62"/>
  <c r="P119" i="62"/>
  <c r="Q119" i="62" s="1"/>
  <c r="T117" i="62"/>
  <c r="U117" i="62"/>
  <c r="V117" i="62" s="1"/>
  <c r="O144" i="76" l="1"/>
  <c r="P143" i="76"/>
  <c r="Q143" i="76" s="1"/>
  <c r="O127" i="72"/>
  <c r="P126" i="72"/>
  <c r="Q126" i="72" s="1"/>
  <c r="S123" i="71"/>
  <c r="W123" i="71"/>
  <c r="T122" i="71"/>
  <c r="U122" i="71"/>
  <c r="V122" i="71" s="1"/>
  <c r="O125" i="71"/>
  <c r="R124" i="71"/>
  <c r="P124" i="71"/>
  <c r="Q124" i="71" s="1"/>
  <c r="O125" i="70"/>
  <c r="R124" i="70"/>
  <c r="P124" i="70"/>
  <c r="Q124" i="70" s="1"/>
  <c r="T122" i="70"/>
  <c r="U122" i="70"/>
  <c r="V122" i="70" s="1"/>
  <c r="S123" i="70"/>
  <c r="W123" i="70"/>
  <c r="W123" i="69"/>
  <c r="S123" i="69"/>
  <c r="T122" i="69"/>
  <c r="U122" i="69"/>
  <c r="V122" i="69" s="1"/>
  <c r="R124" i="69"/>
  <c r="O125" i="69"/>
  <c r="P124" i="69"/>
  <c r="Q124" i="69" s="1"/>
  <c r="W119" i="62"/>
  <c r="S119" i="62"/>
  <c r="R120" i="62"/>
  <c r="O121" i="62"/>
  <c r="P120" i="62"/>
  <c r="Q120" i="62" s="1"/>
  <c r="T118" i="62"/>
  <c r="U118" i="62"/>
  <c r="V118" i="62" s="1"/>
  <c r="O145" i="76" l="1"/>
  <c r="P144" i="76"/>
  <c r="Q144" i="76" s="1"/>
  <c r="O128" i="72"/>
  <c r="P127" i="72"/>
  <c r="Q127" i="72" s="1"/>
  <c r="S124" i="71"/>
  <c r="W124" i="71"/>
  <c r="R125" i="71"/>
  <c r="O126" i="71"/>
  <c r="P125" i="71"/>
  <c r="Q125" i="71" s="1"/>
  <c r="T123" i="71"/>
  <c r="U123" i="71"/>
  <c r="V123" i="71" s="1"/>
  <c r="R125" i="70"/>
  <c r="O126" i="70"/>
  <c r="P125" i="70"/>
  <c r="Q125" i="70" s="1"/>
  <c r="T123" i="70"/>
  <c r="U123" i="70"/>
  <c r="V123" i="70" s="1"/>
  <c r="S124" i="70"/>
  <c r="W124" i="70"/>
  <c r="W124" i="69"/>
  <c r="S124" i="69"/>
  <c r="O126" i="69"/>
  <c r="R125" i="69"/>
  <c r="P125" i="69"/>
  <c r="Q125" i="69" s="1"/>
  <c r="T123" i="69"/>
  <c r="U123" i="69"/>
  <c r="V123" i="69" s="1"/>
  <c r="W120" i="62"/>
  <c r="S120" i="62"/>
  <c r="O122" i="62"/>
  <c r="P121" i="62"/>
  <c r="Q121" i="62" s="1"/>
  <c r="R121" i="62"/>
  <c r="U119" i="62"/>
  <c r="V119" i="62" s="1"/>
  <c r="T119" i="62"/>
  <c r="O146" i="76" l="1"/>
  <c r="P145" i="76"/>
  <c r="Q145" i="76" s="1"/>
  <c r="O129" i="72"/>
  <c r="P128" i="72"/>
  <c r="Q128" i="72" s="1"/>
  <c r="W125" i="71"/>
  <c r="S125" i="71"/>
  <c r="T124" i="71"/>
  <c r="U124" i="71"/>
  <c r="V124" i="71" s="1"/>
  <c r="O127" i="71"/>
  <c r="R126" i="71"/>
  <c r="P126" i="71"/>
  <c r="Q126" i="71" s="1"/>
  <c r="S125" i="70"/>
  <c r="W125" i="70"/>
  <c r="T124" i="70"/>
  <c r="U124" i="70"/>
  <c r="V124" i="70" s="1"/>
  <c r="O127" i="70"/>
  <c r="R126" i="70"/>
  <c r="P126" i="70"/>
  <c r="Q126" i="70" s="1"/>
  <c r="O127" i="69"/>
  <c r="R126" i="69"/>
  <c r="P126" i="69"/>
  <c r="Q126" i="69" s="1"/>
  <c r="T124" i="69"/>
  <c r="U124" i="69"/>
  <c r="V124" i="69" s="1"/>
  <c r="S125" i="69"/>
  <c r="W125" i="69"/>
  <c r="P122" i="62"/>
  <c r="Q122" i="62" s="1"/>
  <c r="O123" i="62"/>
  <c r="R122" i="62"/>
  <c r="W121" i="62"/>
  <c r="S121" i="62"/>
  <c r="U120" i="62"/>
  <c r="V120" i="62" s="1"/>
  <c r="T120" i="62"/>
  <c r="O147" i="76" l="1"/>
  <c r="P146" i="76"/>
  <c r="Q146" i="76" s="1"/>
  <c r="O130" i="72"/>
  <c r="P129" i="72"/>
  <c r="Q129" i="72" s="1"/>
  <c r="S126" i="71"/>
  <c r="W126" i="71"/>
  <c r="T125" i="71"/>
  <c r="U125" i="71"/>
  <c r="V125" i="71" s="1"/>
  <c r="O128" i="71"/>
  <c r="R127" i="71"/>
  <c r="P127" i="71"/>
  <c r="Q127" i="71" s="1"/>
  <c r="S126" i="70"/>
  <c r="W126" i="70"/>
  <c r="O128" i="70"/>
  <c r="R127" i="70"/>
  <c r="P127" i="70"/>
  <c r="Q127" i="70" s="1"/>
  <c r="T125" i="70"/>
  <c r="U125" i="70"/>
  <c r="V125" i="70" s="1"/>
  <c r="S126" i="69"/>
  <c r="W126" i="69"/>
  <c r="T125" i="69"/>
  <c r="U125" i="69"/>
  <c r="V125" i="69" s="1"/>
  <c r="O128" i="69"/>
  <c r="R127" i="69"/>
  <c r="P127" i="69"/>
  <c r="Q127" i="69" s="1"/>
  <c r="U121" i="62"/>
  <c r="V121" i="62" s="1"/>
  <c r="T121" i="62"/>
  <c r="W122" i="62"/>
  <c r="S122" i="62"/>
  <c r="R123" i="62"/>
  <c r="O124" i="62"/>
  <c r="P123" i="62"/>
  <c r="Q123" i="62" s="1"/>
  <c r="O148" i="76" l="1"/>
  <c r="P147" i="76"/>
  <c r="Q147" i="76" s="1"/>
  <c r="O131" i="72"/>
  <c r="P130" i="72"/>
  <c r="Q130" i="72" s="1"/>
  <c r="S127" i="71"/>
  <c r="W127" i="71"/>
  <c r="R128" i="71"/>
  <c r="O129" i="71"/>
  <c r="P128" i="71"/>
  <c r="Q128" i="71" s="1"/>
  <c r="T126" i="71"/>
  <c r="U126" i="71"/>
  <c r="V126" i="71" s="1"/>
  <c r="O129" i="70"/>
  <c r="R128" i="70"/>
  <c r="P128" i="70"/>
  <c r="Q128" i="70" s="1"/>
  <c r="W127" i="70"/>
  <c r="S127" i="70"/>
  <c r="T126" i="70"/>
  <c r="U126" i="70"/>
  <c r="V126" i="70" s="1"/>
  <c r="W127" i="69"/>
  <c r="S127" i="69"/>
  <c r="R128" i="69"/>
  <c r="O129" i="69"/>
  <c r="P128" i="69"/>
  <c r="Q128" i="69" s="1"/>
  <c r="T126" i="69"/>
  <c r="U126" i="69"/>
  <c r="V126" i="69" s="1"/>
  <c r="U122" i="62"/>
  <c r="V122" i="62" s="1"/>
  <c r="T122" i="62"/>
  <c r="W123" i="62"/>
  <c r="S123" i="62"/>
  <c r="O125" i="62"/>
  <c r="P124" i="62"/>
  <c r="Q124" i="62" s="1"/>
  <c r="R124" i="62"/>
  <c r="O149" i="76" l="1"/>
  <c r="P148" i="76"/>
  <c r="Q148" i="76" s="1"/>
  <c r="O132" i="72"/>
  <c r="P131" i="72"/>
  <c r="Q131" i="72" s="1"/>
  <c r="W128" i="71"/>
  <c r="S128" i="71"/>
  <c r="R129" i="71"/>
  <c r="O130" i="71"/>
  <c r="P129" i="71"/>
  <c r="Q129" i="71" s="1"/>
  <c r="T127" i="71"/>
  <c r="U127" i="71"/>
  <c r="V127" i="71" s="1"/>
  <c r="R129" i="70"/>
  <c r="O130" i="70"/>
  <c r="P129" i="70"/>
  <c r="Q129" i="70" s="1"/>
  <c r="W128" i="70"/>
  <c r="S128" i="70"/>
  <c r="T127" i="70"/>
  <c r="U127" i="70"/>
  <c r="V127" i="70" s="1"/>
  <c r="S128" i="69"/>
  <c r="W128" i="69"/>
  <c r="T127" i="69"/>
  <c r="U127" i="69"/>
  <c r="V127" i="69" s="1"/>
  <c r="O130" i="69"/>
  <c r="R129" i="69"/>
  <c r="P129" i="69"/>
  <c r="Q129" i="69" s="1"/>
  <c r="U123" i="62"/>
  <c r="V123" i="62" s="1"/>
  <c r="T123" i="62"/>
  <c r="R125" i="62"/>
  <c r="O126" i="62"/>
  <c r="P125" i="62"/>
  <c r="Q125" i="62" s="1"/>
  <c r="W124" i="62"/>
  <c r="S124" i="62"/>
  <c r="O150" i="76" l="1"/>
  <c r="P149" i="76"/>
  <c r="Q149" i="76" s="1"/>
  <c r="O133" i="72"/>
  <c r="P132" i="72"/>
  <c r="Q132" i="72" s="1"/>
  <c r="S129" i="71"/>
  <c r="W129" i="71"/>
  <c r="T128" i="71"/>
  <c r="U128" i="71"/>
  <c r="V128" i="71" s="1"/>
  <c r="O131" i="71"/>
  <c r="R130" i="71"/>
  <c r="P130" i="71"/>
  <c r="Q130" i="71" s="1"/>
  <c r="T128" i="70"/>
  <c r="U128" i="70"/>
  <c r="V128" i="70" s="1"/>
  <c r="S129" i="70"/>
  <c r="W129" i="70"/>
  <c r="R130" i="70"/>
  <c r="O131" i="70"/>
  <c r="P130" i="70"/>
  <c r="Q130" i="70" s="1"/>
  <c r="S129" i="69"/>
  <c r="W129" i="69"/>
  <c r="O131" i="69"/>
  <c r="R130" i="69"/>
  <c r="P130" i="69"/>
  <c r="Q130" i="69" s="1"/>
  <c r="T128" i="69"/>
  <c r="U128" i="69"/>
  <c r="V128" i="69" s="1"/>
  <c r="P126" i="62"/>
  <c r="Q126" i="62" s="1"/>
  <c r="O127" i="62"/>
  <c r="R126" i="62"/>
  <c r="W125" i="62"/>
  <c r="S125" i="62"/>
  <c r="U124" i="62"/>
  <c r="V124" i="62" s="1"/>
  <c r="T124" i="62"/>
  <c r="O151" i="76" l="1"/>
  <c r="P150" i="76"/>
  <c r="Q150" i="76" s="1"/>
  <c r="O134" i="72"/>
  <c r="P133" i="72"/>
  <c r="Q133" i="72" s="1"/>
  <c r="S130" i="71"/>
  <c r="W130" i="71"/>
  <c r="O132" i="71"/>
  <c r="R131" i="71"/>
  <c r="P131" i="71"/>
  <c r="Q131" i="71" s="1"/>
  <c r="T129" i="71"/>
  <c r="U129" i="71"/>
  <c r="V129" i="71" s="1"/>
  <c r="W130" i="70"/>
  <c r="S130" i="70"/>
  <c r="T129" i="70"/>
  <c r="U129" i="70"/>
  <c r="V129" i="70" s="1"/>
  <c r="O132" i="70"/>
  <c r="R131" i="70"/>
  <c r="P131" i="70"/>
  <c r="Q131" i="70" s="1"/>
  <c r="O132" i="69"/>
  <c r="R131" i="69"/>
  <c r="P131" i="69"/>
  <c r="Q131" i="69" s="1"/>
  <c r="S130" i="69"/>
  <c r="W130" i="69"/>
  <c r="T129" i="69"/>
  <c r="U129" i="69"/>
  <c r="V129" i="69" s="1"/>
  <c r="U125" i="62"/>
  <c r="V125" i="62" s="1"/>
  <c r="T125" i="62"/>
  <c r="W126" i="62"/>
  <c r="S126" i="62"/>
  <c r="R127" i="62"/>
  <c r="O128" i="62"/>
  <c r="P127" i="62"/>
  <c r="Q127" i="62" s="1"/>
  <c r="O152" i="76" l="1"/>
  <c r="P151" i="76"/>
  <c r="Q151" i="76" s="1"/>
  <c r="O135" i="72"/>
  <c r="P134" i="72"/>
  <c r="Q134" i="72" s="1"/>
  <c r="O133" i="71"/>
  <c r="R132" i="71"/>
  <c r="P132" i="71"/>
  <c r="Q132" i="71" s="1"/>
  <c r="S131" i="71"/>
  <c r="W131" i="71"/>
  <c r="T130" i="71"/>
  <c r="U130" i="71"/>
  <c r="V130" i="71" s="1"/>
  <c r="S131" i="70"/>
  <c r="W131" i="70"/>
  <c r="T130" i="70"/>
  <c r="U130" i="70"/>
  <c r="V130" i="70" s="1"/>
  <c r="O133" i="70"/>
  <c r="R132" i="70"/>
  <c r="P132" i="70"/>
  <c r="Q132" i="70" s="1"/>
  <c r="W131" i="69"/>
  <c r="S131" i="69"/>
  <c r="T130" i="69"/>
  <c r="U130" i="69"/>
  <c r="V130" i="69" s="1"/>
  <c r="R132" i="69"/>
  <c r="O133" i="69"/>
  <c r="P132" i="69"/>
  <c r="Q132" i="69" s="1"/>
  <c r="U126" i="62"/>
  <c r="V126" i="62" s="1"/>
  <c r="T126" i="62"/>
  <c r="S127" i="62"/>
  <c r="W127" i="62"/>
  <c r="O129" i="62"/>
  <c r="P128" i="62"/>
  <c r="Q128" i="62" s="1"/>
  <c r="R128" i="62"/>
  <c r="O153" i="76" l="1"/>
  <c r="P152" i="76"/>
  <c r="Q152" i="76" s="1"/>
  <c r="O136" i="72"/>
  <c r="P135" i="72"/>
  <c r="Q135" i="72" s="1"/>
  <c r="W132" i="71"/>
  <c r="S132" i="71"/>
  <c r="T131" i="71"/>
  <c r="U131" i="71"/>
  <c r="V131" i="71" s="1"/>
  <c r="R133" i="71"/>
  <c r="O134" i="71"/>
  <c r="P133" i="71"/>
  <c r="Q133" i="71" s="1"/>
  <c r="T131" i="70"/>
  <c r="U131" i="70"/>
  <c r="V131" i="70" s="1"/>
  <c r="W132" i="70"/>
  <c r="S132" i="70"/>
  <c r="R133" i="70"/>
  <c r="O134" i="70"/>
  <c r="P133" i="70"/>
  <c r="Q133" i="70" s="1"/>
  <c r="S132" i="69"/>
  <c r="W132" i="69"/>
  <c r="O134" i="69"/>
  <c r="R133" i="69"/>
  <c r="P133" i="69"/>
  <c r="Q133" i="69" s="1"/>
  <c r="T131" i="69"/>
  <c r="U131" i="69"/>
  <c r="V131" i="69" s="1"/>
  <c r="O130" i="62"/>
  <c r="P129" i="62"/>
  <c r="Q129" i="62" s="1"/>
  <c r="R129" i="62"/>
  <c r="T127" i="62"/>
  <c r="U127" i="62"/>
  <c r="V127" i="62" s="1"/>
  <c r="W128" i="62"/>
  <c r="S128" i="62"/>
  <c r="O154" i="76" l="1"/>
  <c r="P153" i="76"/>
  <c r="Q153" i="76" s="1"/>
  <c r="O137" i="72"/>
  <c r="P136" i="72"/>
  <c r="Q136" i="72" s="1"/>
  <c r="O135" i="71"/>
  <c r="R134" i="71"/>
  <c r="P134" i="71"/>
  <c r="Q134" i="71" s="1"/>
  <c r="S133" i="71"/>
  <c r="W133" i="71"/>
  <c r="T132" i="71"/>
  <c r="U132" i="71"/>
  <c r="V132" i="71" s="1"/>
  <c r="W133" i="70"/>
  <c r="S133" i="70"/>
  <c r="T132" i="70"/>
  <c r="U132" i="70"/>
  <c r="V132" i="70" s="1"/>
  <c r="O135" i="70"/>
  <c r="R134" i="70"/>
  <c r="P134" i="70"/>
  <c r="Q134" i="70" s="1"/>
  <c r="O135" i="69"/>
  <c r="R134" i="69"/>
  <c r="P134" i="69"/>
  <c r="Q134" i="69" s="1"/>
  <c r="T132" i="69"/>
  <c r="U132" i="69"/>
  <c r="V132" i="69" s="1"/>
  <c r="S133" i="69"/>
  <c r="W133" i="69"/>
  <c r="R130" i="62"/>
  <c r="O131" i="62"/>
  <c r="P130" i="62"/>
  <c r="Q130" i="62" s="1"/>
  <c r="U128" i="62"/>
  <c r="V128" i="62" s="1"/>
  <c r="T128" i="62"/>
  <c r="W129" i="62"/>
  <c r="S129" i="62"/>
  <c r="O155" i="76" l="1"/>
  <c r="P154" i="76"/>
  <c r="Q154" i="76" s="1"/>
  <c r="O138" i="72"/>
  <c r="P137" i="72"/>
  <c r="Q137" i="72" s="1"/>
  <c r="S134" i="71"/>
  <c r="W134" i="71"/>
  <c r="T133" i="71"/>
  <c r="U133" i="71"/>
  <c r="V133" i="71" s="1"/>
  <c r="O136" i="71"/>
  <c r="R135" i="71"/>
  <c r="P135" i="71"/>
  <c r="Q135" i="71" s="1"/>
  <c r="S134" i="70"/>
  <c r="W134" i="70"/>
  <c r="T133" i="70"/>
  <c r="U133" i="70"/>
  <c r="V133" i="70" s="1"/>
  <c r="O136" i="70"/>
  <c r="R135" i="70"/>
  <c r="P135" i="70"/>
  <c r="Q135" i="70" s="1"/>
  <c r="W134" i="69"/>
  <c r="S134" i="69"/>
  <c r="T133" i="69"/>
  <c r="U133" i="69"/>
  <c r="V133" i="69" s="1"/>
  <c r="O136" i="69"/>
  <c r="R135" i="69"/>
  <c r="P135" i="69"/>
  <c r="Q135" i="69" s="1"/>
  <c r="T129" i="62"/>
  <c r="U129" i="62"/>
  <c r="V129" i="62" s="1"/>
  <c r="S130" i="62"/>
  <c r="W130" i="62"/>
  <c r="R131" i="62"/>
  <c r="O132" i="62"/>
  <c r="P131" i="62"/>
  <c r="Q131" i="62" s="1"/>
  <c r="O156" i="76" l="1"/>
  <c r="P155" i="76"/>
  <c r="Q155" i="76" s="1"/>
  <c r="O139" i="72"/>
  <c r="P138" i="72"/>
  <c r="Q138" i="72" s="1"/>
  <c r="W135" i="71"/>
  <c r="S135" i="71"/>
  <c r="O137" i="71"/>
  <c r="R136" i="71"/>
  <c r="P136" i="71"/>
  <c r="Q136" i="71" s="1"/>
  <c r="T134" i="71"/>
  <c r="U134" i="71"/>
  <c r="V134" i="71" s="1"/>
  <c r="T134" i="70"/>
  <c r="U134" i="70"/>
  <c r="V134" i="70" s="1"/>
  <c r="S135" i="70"/>
  <c r="W135" i="70"/>
  <c r="O137" i="70"/>
  <c r="R136" i="70"/>
  <c r="P136" i="70"/>
  <c r="Q136" i="70" s="1"/>
  <c r="W135" i="69"/>
  <c r="S135" i="69"/>
  <c r="T134" i="69"/>
  <c r="U134" i="69"/>
  <c r="V134" i="69" s="1"/>
  <c r="R136" i="69"/>
  <c r="O137" i="69"/>
  <c r="P136" i="69"/>
  <c r="Q136" i="69" s="1"/>
  <c r="U130" i="62"/>
  <c r="V130" i="62" s="1"/>
  <c r="T130" i="62"/>
  <c r="W131" i="62"/>
  <c r="S131" i="62"/>
  <c r="O133" i="62"/>
  <c r="P132" i="62"/>
  <c r="Q132" i="62" s="1"/>
  <c r="R132" i="62"/>
  <c r="O157" i="76" l="1"/>
  <c r="P156" i="76"/>
  <c r="Q156" i="76" s="1"/>
  <c r="O140" i="72"/>
  <c r="P139" i="72"/>
  <c r="Q139" i="72" s="1"/>
  <c r="R137" i="71"/>
  <c r="O138" i="71"/>
  <c r="P137" i="71"/>
  <c r="Q137" i="71" s="1"/>
  <c r="W136" i="71"/>
  <c r="S136" i="71"/>
  <c r="T135" i="71"/>
  <c r="U135" i="71"/>
  <c r="V135" i="71" s="1"/>
  <c r="W136" i="70"/>
  <c r="S136" i="70"/>
  <c r="T135" i="70"/>
  <c r="U135" i="70"/>
  <c r="V135" i="70" s="1"/>
  <c r="R137" i="70"/>
  <c r="O138" i="70"/>
  <c r="P137" i="70"/>
  <c r="Q137" i="70" s="1"/>
  <c r="S136" i="69"/>
  <c r="W136" i="69"/>
  <c r="R137" i="69"/>
  <c r="O138" i="69"/>
  <c r="P137" i="69"/>
  <c r="Q137" i="69" s="1"/>
  <c r="T135" i="69"/>
  <c r="U135" i="69"/>
  <c r="V135" i="69" s="1"/>
  <c r="U131" i="62"/>
  <c r="V131" i="62" s="1"/>
  <c r="T131" i="62"/>
  <c r="O134" i="62"/>
  <c r="P133" i="62"/>
  <c r="Q133" i="62" s="1"/>
  <c r="R133" i="62"/>
  <c r="W132" i="62"/>
  <c r="S132" i="62"/>
  <c r="O158" i="76" l="1"/>
  <c r="P157" i="76"/>
  <c r="Q157" i="76" s="1"/>
  <c r="O141" i="72"/>
  <c r="P140" i="72"/>
  <c r="Q140" i="72" s="1"/>
  <c r="S137" i="71"/>
  <c r="W137" i="71"/>
  <c r="R138" i="71"/>
  <c r="O139" i="71"/>
  <c r="P138" i="71"/>
  <c r="Q138" i="71" s="1"/>
  <c r="T136" i="71"/>
  <c r="U136" i="71"/>
  <c r="V136" i="71" s="1"/>
  <c r="S137" i="70"/>
  <c r="W137" i="70"/>
  <c r="O139" i="70"/>
  <c r="R138" i="70"/>
  <c r="P138" i="70"/>
  <c r="Q138" i="70" s="1"/>
  <c r="T136" i="70"/>
  <c r="U136" i="70"/>
  <c r="V136" i="70" s="1"/>
  <c r="T136" i="69"/>
  <c r="U136" i="69"/>
  <c r="V136" i="69" s="1"/>
  <c r="W137" i="69"/>
  <c r="S137" i="69"/>
  <c r="O139" i="69"/>
  <c r="R138" i="69"/>
  <c r="P138" i="69"/>
  <c r="Q138" i="69" s="1"/>
  <c r="W133" i="62"/>
  <c r="S133" i="62"/>
  <c r="U132" i="62"/>
  <c r="V132" i="62" s="1"/>
  <c r="T132" i="62"/>
  <c r="P134" i="62"/>
  <c r="Q134" i="62" s="1"/>
  <c r="R134" i="62"/>
  <c r="O135" i="62"/>
  <c r="O159" i="76" l="1"/>
  <c r="P159" i="76" s="1"/>
  <c r="Q159" i="76" s="1"/>
  <c r="P158" i="76"/>
  <c r="Q158" i="76" s="1"/>
  <c r="O142" i="72"/>
  <c r="P141" i="72"/>
  <c r="Q141" i="72" s="1"/>
  <c r="W138" i="71"/>
  <c r="S138" i="71"/>
  <c r="T137" i="71"/>
  <c r="U137" i="71"/>
  <c r="V137" i="71" s="1"/>
  <c r="O140" i="71"/>
  <c r="R139" i="71"/>
  <c r="P139" i="71"/>
  <c r="Q139" i="71" s="1"/>
  <c r="O140" i="70"/>
  <c r="R139" i="70"/>
  <c r="P139" i="70"/>
  <c r="Q139" i="70" s="1"/>
  <c r="S138" i="70"/>
  <c r="W138" i="70"/>
  <c r="T137" i="70"/>
  <c r="U137" i="70"/>
  <c r="V137" i="70" s="1"/>
  <c r="O140" i="69"/>
  <c r="R139" i="69"/>
  <c r="P139" i="69"/>
  <c r="Q139" i="69" s="1"/>
  <c r="S138" i="69"/>
  <c r="W138" i="69"/>
  <c r="T137" i="69"/>
  <c r="U137" i="69"/>
  <c r="V137" i="69" s="1"/>
  <c r="R135" i="62"/>
  <c r="O136" i="62"/>
  <c r="P135" i="62"/>
  <c r="Q135" i="62" s="1"/>
  <c r="W134" i="62"/>
  <c r="S134" i="62"/>
  <c r="T133" i="62"/>
  <c r="U133" i="62"/>
  <c r="V133" i="62" s="1"/>
  <c r="O143" i="72" l="1"/>
  <c r="P142" i="72"/>
  <c r="Q142" i="72" s="1"/>
  <c r="O141" i="71"/>
  <c r="R140" i="71"/>
  <c r="P140" i="71"/>
  <c r="Q140" i="71" s="1"/>
  <c r="S139" i="71"/>
  <c r="W139" i="71"/>
  <c r="T138" i="71"/>
  <c r="U138" i="71"/>
  <c r="V138" i="71" s="1"/>
  <c r="O141" i="70"/>
  <c r="R140" i="70"/>
  <c r="P140" i="70"/>
  <c r="Q140" i="70" s="1"/>
  <c r="T138" i="70"/>
  <c r="U138" i="70"/>
  <c r="V138" i="70" s="1"/>
  <c r="S139" i="70"/>
  <c r="W139" i="70"/>
  <c r="T138" i="69"/>
  <c r="U138" i="69"/>
  <c r="V138" i="69" s="1"/>
  <c r="W139" i="69"/>
  <c r="S139" i="69"/>
  <c r="R140" i="69"/>
  <c r="O141" i="69"/>
  <c r="P140" i="69"/>
  <c r="Q140" i="69" s="1"/>
  <c r="W135" i="62"/>
  <c r="S135" i="62"/>
  <c r="U134" i="62"/>
  <c r="V134" i="62" s="1"/>
  <c r="T134" i="62"/>
  <c r="O137" i="62"/>
  <c r="P136" i="62"/>
  <c r="Q136" i="62" s="1"/>
  <c r="R136" i="62"/>
  <c r="O144" i="72" l="1"/>
  <c r="P143" i="72"/>
  <c r="Q143" i="72" s="1"/>
  <c r="T139" i="71"/>
  <c r="U139" i="71"/>
  <c r="V139" i="71" s="1"/>
  <c r="W140" i="71"/>
  <c r="S140" i="71"/>
  <c r="R141" i="71"/>
  <c r="O142" i="71"/>
  <c r="P141" i="71"/>
  <c r="Q141" i="71" s="1"/>
  <c r="R141" i="70"/>
  <c r="O142" i="70"/>
  <c r="P141" i="70"/>
  <c r="Q141" i="70" s="1"/>
  <c r="T139" i="70"/>
  <c r="U139" i="70"/>
  <c r="V139" i="70" s="1"/>
  <c r="W140" i="70"/>
  <c r="S140" i="70"/>
  <c r="T139" i="69"/>
  <c r="U139" i="69"/>
  <c r="V139" i="69" s="1"/>
  <c r="W140" i="69"/>
  <c r="S140" i="69"/>
  <c r="O142" i="69"/>
  <c r="R141" i="69"/>
  <c r="P141" i="69"/>
  <c r="Q141" i="69" s="1"/>
  <c r="O138" i="62"/>
  <c r="P137" i="62"/>
  <c r="Q137" i="62" s="1"/>
  <c r="R137" i="62"/>
  <c r="W136" i="62"/>
  <c r="S136" i="62"/>
  <c r="T135" i="62"/>
  <c r="U135" i="62"/>
  <c r="V135" i="62" s="1"/>
  <c r="O145" i="72" l="1"/>
  <c r="P144" i="72"/>
  <c r="Q144" i="72" s="1"/>
  <c r="T140" i="71"/>
  <c r="U140" i="71"/>
  <c r="V140" i="71" s="1"/>
  <c r="W141" i="71"/>
  <c r="S141" i="71"/>
  <c r="O143" i="71"/>
  <c r="R142" i="71"/>
  <c r="P142" i="71"/>
  <c r="Q142" i="71" s="1"/>
  <c r="T140" i="70"/>
  <c r="U140" i="70"/>
  <c r="V140" i="70" s="1"/>
  <c r="S141" i="70"/>
  <c r="W141" i="70"/>
  <c r="O143" i="70"/>
  <c r="R142" i="70"/>
  <c r="P142" i="70"/>
  <c r="Q142" i="70" s="1"/>
  <c r="S141" i="69"/>
  <c r="W141" i="69"/>
  <c r="T140" i="69"/>
  <c r="U140" i="69"/>
  <c r="V140" i="69" s="1"/>
  <c r="O143" i="69"/>
  <c r="R142" i="69"/>
  <c r="P142" i="69"/>
  <c r="Q142" i="69" s="1"/>
  <c r="U136" i="62"/>
  <c r="V136" i="62" s="1"/>
  <c r="T136" i="62"/>
  <c r="O139" i="62"/>
  <c r="R138" i="62"/>
  <c r="P138" i="62"/>
  <c r="Q138" i="62" s="1"/>
  <c r="W137" i="62"/>
  <c r="S137" i="62"/>
  <c r="O146" i="72" l="1"/>
  <c r="P145" i="72"/>
  <c r="Q145" i="72" s="1"/>
  <c r="S142" i="71"/>
  <c r="W142" i="71"/>
  <c r="O144" i="71"/>
  <c r="R143" i="71"/>
  <c r="P143" i="71"/>
  <c r="Q143" i="71" s="1"/>
  <c r="T141" i="71"/>
  <c r="U141" i="71"/>
  <c r="V141" i="71" s="1"/>
  <c r="S142" i="70"/>
  <c r="W142" i="70"/>
  <c r="T141" i="70"/>
  <c r="U141" i="70"/>
  <c r="V141" i="70" s="1"/>
  <c r="O144" i="70"/>
  <c r="R143" i="70"/>
  <c r="P143" i="70"/>
  <c r="Q143" i="70" s="1"/>
  <c r="S142" i="69"/>
  <c r="W142" i="69"/>
  <c r="R143" i="69"/>
  <c r="O144" i="69"/>
  <c r="P143" i="69"/>
  <c r="Q143" i="69" s="1"/>
  <c r="T141" i="69"/>
  <c r="U141" i="69"/>
  <c r="V141" i="69" s="1"/>
  <c r="W138" i="62"/>
  <c r="S138" i="62"/>
  <c r="T137" i="62"/>
  <c r="U137" i="62"/>
  <c r="V137" i="62" s="1"/>
  <c r="P139" i="62"/>
  <c r="Q139" i="62" s="1"/>
  <c r="R139" i="62"/>
  <c r="O140" i="62"/>
  <c r="O147" i="72" l="1"/>
  <c r="P146" i="72"/>
  <c r="Q146" i="72" s="1"/>
  <c r="O145" i="71"/>
  <c r="R144" i="71"/>
  <c r="P144" i="71"/>
  <c r="Q144" i="71" s="1"/>
  <c r="S143" i="71"/>
  <c r="W143" i="71"/>
  <c r="T142" i="71"/>
  <c r="U142" i="71"/>
  <c r="V142" i="71" s="1"/>
  <c r="W143" i="70"/>
  <c r="S143" i="70"/>
  <c r="O145" i="70"/>
  <c r="R144" i="70"/>
  <c r="P144" i="70"/>
  <c r="Q144" i="70" s="1"/>
  <c r="T142" i="70"/>
  <c r="U142" i="70"/>
  <c r="V142" i="70" s="1"/>
  <c r="W143" i="69"/>
  <c r="S143" i="69"/>
  <c r="R144" i="69"/>
  <c r="O145" i="69"/>
  <c r="P144" i="69"/>
  <c r="Q144" i="69" s="1"/>
  <c r="T142" i="69"/>
  <c r="U142" i="69"/>
  <c r="V142" i="69" s="1"/>
  <c r="W139" i="62"/>
  <c r="S139" i="62"/>
  <c r="O141" i="62"/>
  <c r="P140" i="62"/>
  <c r="Q140" i="62" s="1"/>
  <c r="R140" i="62"/>
  <c r="T138" i="62"/>
  <c r="U138" i="62"/>
  <c r="V138" i="62" s="1"/>
  <c r="O148" i="72" l="1"/>
  <c r="P147" i="72"/>
  <c r="Q147" i="72" s="1"/>
  <c r="T143" i="71"/>
  <c r="U143" i="71"/>
  <c r="V143" i="71" s="1"/>
  <c r="W144" i="71"/>
  <c r="S144" i="71"/>
  <c r="R145" i="71"/>
  <c r="O146" i="71"/>
  <c r="P145" i="71"/>
  <c r="Q145" i="71" s="1"/>
  <c r="R145" i="70"/>
  <c r="O146" i="70"/>
  <c r="P145" i="70"/>
  <c r="Q145" i="70" s="1"/>
  <c r="T143" i="70"/>
  <c r="U143" i="70"/>
  <c r="V143" i="70" s="1"/>
  <c r="W144" i="70"/>
  <c r="S144" i="70"/>
  <c r="T143" i="69"/>
  <c r="U143" i="69"/>
  <c r="V143" i="69" s="1"/>
  <c r="S144" i="69"/>
  <c r="W144" i="69"/>
  <c r="O146" i="69"/>
  <c r="R145" i="69"/>
  <c r="P145" i="69"/>
  <c r="Q145" i="69" s="1"/>
  <c r="O142" i="62"/>
  <c r="P141" i="62"/>
  <c r="Q141" i="62" s="1"/>
  <c r="R141" i="62"/>
  <c r="W140" i="62"/>
  <c r="S140" i="62"/>
  <c r="U139" i="62"/>
  <c r="V139" i="62" s="1"/>
  <c r="T139" i="62"/>
  <c r="O149" i="72" l="1"/>
  <c r="P148" i="72"/>
  <c r="Q148" i="72" s="1"/>
  <c r="S145" i="71"/>
  <c r="W145" i="71"/>
  <c r="T144" i="71"/>
  <c r="U144" i="71"/>
  <c r="V144" i="71" s="1"/>
  <c r="O147" i="71"/>
  <c r="R146" i="71"/>
  <c r="P146" i="71"/>
  <c r="Q146" i="71" s="1"/>
  <c r="T144" i="70"/>
  <c r="U144" i="70"/>
  <c r="V144" i="70" s="1"/>
  <c r="S145" i="70"/>
  <c r="W145" i="70"/>
  <c r="R146" i="70"/>
  <c r="O147" i="70"/>
  <c r="P146" i="70"/>
  <c r="Q146" i="70" s="1"/>
  <c r="T144" i="69"/>
  <c r="U144" i="69"/>
  <c r="V144" i="69" s="1"/>
  <c r="O147" i="69"/>
  <c r="R146" i="69"/>
  <c r="P146" i="69"/>
  <c r="Q146" i="69" s="1"/>
  <c r="S145" i="69"/>
  <c r="W145" i="69"/>
  <c r="U140" i="62"/>
  <c r="V140" i="62" s="1"/>
  <c r="T140" i="62"/>
  <c r="O143" i="62"/>
  <c r="P142" i="62"/>
  <c r="Q142" i="62" s="1"/>
  <c r="R142" i="62"/>
  <c r="W141" i="62"/>
  <c r="S141" i="62"/>
  <c r="O150" i="72" l="1"/>
  <c r="P149" i="72"/>
  <c r="Q149" i="72" s="1"/>
  <c r="O148" i="71"/>
  <c r="R147" i="71"/>
  <c r="P147" i="71"/>
  <c r="Q147" i="71" s="1"/>
  <c r="T145" i="71"/>
  <c r="U145" i="71"/>
  <c r="V145" i="71" s="1"/>
  <c r="S146" i="71"/>
  <c r="W146" i="71"/>
  <c r="W146" i="70"/>
  <c r="S146" i="70"/>
  <c r="T145" i="70"/>
  <c r="U145" i="70"/>
  <c r="V145" i="70" s="1"/>
  <c r="O148" i="70"/>
  <c r="R147" i="70"/>
  <c r="P147" i="70"/>
  <c r="Q147" i="70" s="1"/>
  <c r="S146" i="69"/>
  <c r="W146" i="69"/>
  <c r="T145" i="69"/>
  <c r="U145" i="69"/>
  <c r="V145" i="69" s="1"/>
  <c r="O148" i="69"/>
  <c r="R147" i="69"/>
  <c r="P147" i="69"/>
  <c r="Q147" i="69" s="1"/>
  <c r="W142" i="62"/>
  <c r="S142" i="62"/>
  <c r="U141" i="62"/>
  <c r="V141" i="62" s="1"/>
  <c r="T141" i="62"/>
  <c r="R143" i="62"/>
  <c r="O144" i="62"/>
  <c r="P143" i="62"/>
  <c r="Q143" i="62" s="1"/>
  <c r="O151" i="72" l="1"/>
  <c r="P150" i="72"/>
  <c r="Q150" i="72" s="1"/>
  <c r="S147" i="71"/>
  <c r="W147" i="71"/>
  <c r="T146" i="71"/>
  <c r="U146" i="71"/>
  <c r="V146" i="71" s="1"/>
  <c r="O149" i="71"/>
  <c r="R148" i="71"/>
  <c r="P148" i="71"/>
  <c r="Q148" i="71" s="1"/>
  <c r="S147" i="70"/>
  <c r="W147" i="70"/>
  <c r="T146" i="70"/>
  <c r="U146" i="70"/>
  <c r="V146" i="70" s="1"/>
  <c r="O149" i="70"/>
  <c r="R148" i="70"/>
  <c r="P148" i="70"/>
  <c r="Q148" i="70" s="1"/>
  <c r="W147" i="69"/>
  <c r="S147" i="69"/>
  <c r="R148" i="69"/>
  <c r="O149" i="69"/>
  <c r="P148" i="69"/>
  <c r="Q148" i="69" s="1"/>
  <c r="T146" i="69"/>
  <c r="U146" i="69"/>
  <c r="V146" i="69" s="1"/>
  <c r="W143" i="62"/>
  <c r="S143" i="62"/>
  <c r="O145" i="62"/>
  <c r="P144" i="62"/>
  <c r="Q144" i="62" s="1"/>
  <c r="R144" i="62"/>
  <c r="U142" i="62"/>
  <c r="V142" i="62" s="1"/>
  <c r="T142" i="62"/>
  <c r="O152" i="72" l="1"/>
  <c r="P151" i="72"/>
  <c r="Q151" i="72" s="1"/>
  <c r="W148" i="71"/>
  <c r="S148" i="71"/>
  <c r="R149" i="71"/>
  <c r="O150" i="71"/>
  <c r="P149" i="71"/>
  <c r="Q149" i="71" s="1"/>
  <c r="T147" i="71"/>
  <c r="U147" i="71"/>
  <c r="V147" i="71" s="1"/>
  <c r="T147" i="70"/>
  <c r="U147" i="70"/>
  <c r="V147" i="70" s="1"/>
  <c r="W148" i="70"/>
  <c r="S148" i="70"/>
  <c r="R149" i="70"/>
  <c r="O150" i="70"/>
  <c r="P149" i="70"/>
  <c r="Q149" i="70" s="1"/>
  <c r="T147" i="69"/>
  <c r="U147" i="69"/>
  <c r="V147" i="69" s="1"/>
  <c r="S148" i="69"/>
  <c r="W148" i="69"/>
  <c r="O150" i="69"/>
  <c r="R149" i="69"/>
  <c r="P149" i="69"/>
  <c r="Q149" i="69" s="1"/>
  <c r="O146" i="62"/>
  <c r="P145" i="62"/>
  <c r="Q145" i="62" s="1"/>
  <c r="R145" i="62"/>
  <c r="W144" i="62"/>
  <c r="S144" i="62"/>
  <c r="T143" i="62"/>
  <c r="U143" i="62"/>
  <c r="V143" i="62" s="1"/>
  <c r="O153" i="72" l="1"/>
  <c r="P152" i="72"/>
  <c r="Q152" i="72" s="1"/>
  <c r="S149" i="71"/>
  <c r="W149" i="71"/>
  <c r="T148" i="71"/>
  <c r="U148" i="71"/>
  <c r="V148" i="71" s="1"/>
  <c r="O151" i="71"/>
  <c r="R150" i="71"/>
  <c r="P150" i="71"/>
  <c r="Q150" i="71" s="1"/>
  <c r="W149" i="70"/>
  <c r="S149" i="70"/>
  <c r="T148" i="70"/>
  <c r="U148" i="70"/>
  <c r="V148" i="70" s="1"/>
  <c r="O151" i="70"/>
  <c r="R150" i="70"/>
  <c r="P150" i="70"/>
  <c r="Q150" i="70" s="1"/>
  <c r="T148" i="69"/>
  <c r="U148" i="69"/>
  <c r="V148" i="69" s="1"/>
  <c r="R150" i="69"/>
  <c r="P150" i="69"/>
  <c r="Q150" i="69" s="1"/>
  <c r="S149" i="69"/>
  <c r="W149" i="69"/>
  <c r="U144" i="62"/>
  <c r="V144" i="62" s="1"/>
  <c r="T144" i="62"/>
  <c r="R146" i="62"/>
  <c r="O147" i="62"/>
  <c r="P146" i="62"/>
  <c r="Q146" i="62" s="1"/>
  <c r="S145" i="62"/>
  <c r="W145" i="62"/>
  <c r="O154" i="72" l="1"/>
  <c r="P153" i="72"/>
  <c r="Q153" i="72" s="1"/>
  <c r="O152" i="71"/>
  <c r="R151" i="71"/>
  <c r="P151" i="71"/>
  <c r="Q151" i="71" s="1"/>
  <c r="T149" i="71"/>
  <c r="U149" i="71"/>
  <c r="V149" i="71" s="1"/>
  <c r="S150" i="71"/>
  <c r="W150" i="71"/>
  <c r="S150" i="70"/>
  <c r="W150" i="70"/>
  <c r="T149" i="70"/>
  <c r="U149" i="70"/>
  <c r="V149" i="70" s="1"/>
  <c r="O152" i="70"/>
  <c r="R151" i="70"/>
  <c r="P151" i="70"/>
  <c r="Q151" i="70" s="1"/>
  <c r="T149" i="69"/>
  <c r="U149" i="69"/>
  <c r="V149" i="69" s="1"/>
  <c r="W150" i="69"/>
  <c r="S150" i="69"/>
  <c r="R147" i="62"/>
  <c r="O148" i="62"/>
  <c r="P147" i="62"/>
  <c r="Q147" i="62" s="1"/>
  <c r="W146" i="62"/>
  <c r="S146" i="62"/>
  <c r="T145" i="62"/>
  <c r="U145" i="62"/>
  <c r="V145" i="62" s="1"/>
  <c r="O155" i="72" l="1"/>
  <c r="P154" i="72"/>
  <c r="Q154" i="72" s="1"/>
  <c r="T150" i="71"/>
  <c r="U150" i="71"/>
  <c r="V150" i="71" s="1"/>
  <c r="W151" i="71"/>
  <c r="S151" i="71"/>
  <c r="O153" i="71"/>
  <c r="R152" i="71"/>
  <c r="P152" i="71"/>
  <c r="Q152" i="71" s="1"/>
  <c r="T150" i="70"/>
  <c r="U150" i="70"/>
  <c r="V150" i="70" s="1"/>
  <c r="S151" i="70"/>
  <c r="W151" i="70"/>
  <c r="R152" i="70"/>
  <c r="O153" i="70"/>
  <c r="P152" i="70"/>
  <c r="Q152" i="70" s="1"/>
  <c r="T150" i="69"/>
  <c r="U150" i="69"/>
  <c r="V150" i="69" s="1"/>
  <c r="W147" i="62"/>
  <c r="S147" i="62"/>
  <c r="U146" i="62"/>
  <c r="V146" i="62" s="1"/>
  <c r="T146" i="62"/>
  <c r="O149" i="62"/>
  <c r="P148" i="62"/>
  <c r="Q148" i="62" s="1"/>
  <c r="R148" i="62"/>
  <c r="O156" i="72" l="1"/>
  <c r="P155" i="72"/>
  <c r="Q155" i="72" s="1"/>
  <c r="W152" i="71"/>
  <c r="S152" i="71"/>
  <c r="R153" i="71"/>
  <c r="O154" i="71"/>
  <c r="P153" i="71"/>
  <c r="Q153" i="71" s="1"/>
  <c r="T151" i="71"/>
  <c r="U151" i="71"/>
  <c r="V151" i="71" s="1"/>
  <c r="W152" i="70"/>
  <c r="S152" i="70"/>
  <c r="R153" i="70"/>
  <c r="O154" i="70"/>
  <c r="P153" i="70"/>
  <c r="Q153" i="70" s="1"/>
  <c r="T151" i="70"/>
  <c r="U151" i="70"/>
  <c r="V151" i="70" s="1"/>
  <c r="O150" i="62"/>
  <c r="P149" i="62"/>
  <c r="Q149" i="62" s="1"/>
  <c r="R149" i="62"/>
  <c r="W148" i="62"/>
  <c r="S148" i="62"/>
  <c r="T147" i="62"/>
  <c r="U147" i="62"/>
  <c r="V147" i="62" s="1"/>
  <c r="O157" i="72" l="1"/>
  <c r="P156" i="72"/>
  <c r="Q156" i="72" s="1"/>
  <c r="S153" i="71"/>
  <c r="W153" i="71"/>
  <c r="T152" i="71"/>
  <c r="U152" i="71"/>
  <c r="V152" i="71" s="1"/>
  <c r="R154" i="71"/>
  <c r="O155" i="71"/>
  <c r="P154" i="71"/>
  <c r="Q154" i="71" s="1"/>
  <c r="O155" i="70"/>
  <c r="R154" i="70"/>
  <c r="P154" i="70"/>
  <c r="Q154" i="70" s="1"/>
  <c r="S153" i="70"/>
  <c r="W153" i="70"/>
  <c r="T152" i="70"/>
  <c r="U152" i="70"/>
  <c r="V152" i="70" s="1"/>
  <c r="U148" i="62"/>
  <c r="V148" i="62" s="1"/>
  <c r="T148" i="62"/>
  <c r="R150" i="62"/>
  <c r="P150" i="62"/>
  <c r="Q150" i="62" s="1"/>
  <c r="W149" i="62"/>
  <c r="S149" i="62"/>
  <c r="O158" i="72" l="1"/>
  <c r="P157" i="72"/>
  <c r="Q157" i="72" s="1"/>
  <c r="T153" i="71"/>
  <c r="U153" i="71"/>
  <c r="V153" i="71" s="1"/>
  <c r="W154" i="71"/>
  <c r="S154" i="71"/>
  <c r="O156" i="71"/>
  <c r="R155" i="71"/>
  <c r="P155" i="71"/>
  <c r="Q155" i="71" s="1"/>
  <c r="T153" i="70"/>
  <c r="U153" i="70"/>
  <c r="V153" i="70" s="1"/>
  <c r="O156" i="70"/>
  <c r="R155" i="70"/>
  <c r="P155" i="70"/>
  <c r="Q155" i="70" s="1"/>
  <c r="S154" i="70"/>
  <c r="W154" i="70"/>
  <c r="W150" i="62"/>
  <c r="S150" i="62"/>
  <c r="T149" i="62"/>
  <c r="U149" i="62"/>
  <c r="V149" i="62" s="1"/>
  <c r="O159" i="72" l="1"/>
  <c r="P158" i="72"/>
  <c r="Q158" i="72" s="1"/>
  <c r="T154" i="71"/>
  <c r="U154" i="71"/>
  <c r="V154" i="71" s="1"/>
  <c r="S155" i="71"/>
  <c r="W155" i="71"/>
  <c r="O157" i="71"/>
  <c r="R156" i="71"/>
  <c r="P156" i="71"/>
  <c r="Q156" i="71" s="1"/>
  <c r="S155" i="70"/>
  <c r="W155" i="70"/>
  <c r="O157" i="70"/>
  <c r="R156" i="70"/>
  <c r="P156" i="70"/>
  <c r="Q156" i="70" s="1"/>
  <c r="T154" i="70"/>
  <c r="U154" i="70"/>
  <c r="V154" i="70" s="1"/>
  <c r="U150" i="62"/>
  <c r="V150" i="62" s="1"/>
  <c r="T150" i="62"/>
  <c r="P159" i="72" l="1"/>
  <c r="Q159" i="72" s="1"/>
  <c r="T155" i="71"/>
  <c r="U155" i="71"/>
  <c r="V155" i="71" s="1"/>
  <c r="W156" i="71"/>
  <c r="S156" i="71"/>
  <c r="R157" i="71"/>
  <c r="O158" i="71"/>
  <c r="P157" i="71"/>
  <c r="Q157" i="71" s="1"/>
  <c r="R157" i="70"/>
  <c r="O158" i="70"/>
  <c r="P157" i="70"/>
  <c r="Q157" i="70" s="1"/>
  <c r="W156" i="70"/>
  <c r="S156" i="70"/>
  <c r="T155" i="70"/>
  <c r="U155" i="70"/>
  <c r="V155" i="70" s="1"/>
  <c r="T156" i="71" l="1"/>
  <c r="U156" i="71"/>
  <c r="V156" i="71" s="1"/>
  <c r="O159" i="71"/>
  <c r="R158" i="71"/>
  <c r="P158" i="71"/>
  <c r="Q158" i="71" s="1"/>
  <c r="W157" i="71"/>
  <c r="S157" i="71"/>
  <c r="T156" i="70"/>
  <c r="U156" i="70"/>
  <c r="V156" i="70" s="1"/>
  <c r="S157" i="70"/>
  <c r="W157" i="70"/>
  <c r="O159" i="70"/>
  <c r="R158" i="70"/>
  <c r="P158" i="70"/>
  <c r="Q158" i="70" s="1"/>
  <c r="T157" i="71" l="1"/>
  <c r="U157" i="71"/>
  <c r="V157" i="71" s="1"/>
  <c r="R159" i="71"/>
  <c r="P159" i="71"/>
  <c r="Q159" i="71" s="1"/>
  <c r="S158" i="71"/>
  <c r="W158" i="71"/>
  <c r="S158" i="70"/>
  <c r="W158" i="70"/>
  <c r="T157" i="70"/>
  <c r="U157" i="70"/>
  <c r="V157" i="70" s="1"/>
  <c r="R159" i="70"/>
  <c r="P159" i="70"/>
  <c r="Q159" i="70" s="1"/>
  <c r="W159" i="71" l="1"/>
  <c r="S159" i="71"/>
  <c r="T158" i="71"/>
  <c r="U158" i="71"/>
  <c r="V158" i="71" s="1"/>
  <c r="W159" i="70"/>
  <c r="S159" i="70"/>
  <c r="T158" i="70"/>
  <c r="U158" i="70"/>
  <c r="V158" i="70" s="1"/>
  <c r="T159" i="71" l="1"/>
  <c r="U159" i="71"/>
  <c r="V159" i="71" s="1"/>
  <c r="T159" i="70"/>
  <c r="U159" i="70"/>
  <c r="V159" i="70" s="1"/>
</calcChain>
</file>

<file path=xl/sharedStrings.xml><?xml version="1.0" encoding="utf-8"?>
<sst xmlns="http://schemas.openxmlformats.org/spreadsheetml/2006/main" count="4439" uniqueCount="343">
  <si>
    <t>$PAR</t>
  </si>
  <si>
    <t>IDIMZ</t>
  </si>
  <si>
    <t>IDIMR</t>
  </si>
  <si>
    <t>IR1</t>
  </si>
  <si>
    <t>IR2</t>
  </si>
  <si>
    <t>NP1</t>
  </si>
  <si>
    <t>NP2</t>
  </si>
  <si>
    <t>NP3</t>
  </si>
  <si>
    <t>ZL</t>
  </si>
  <si>
    <t>ZTRAIL</t>
  </si>
  <si>
    <t>ZWAKE</t>
  </si>
  <si>
    <t>RLASER</t>
  </si>
  <si>
    <t>AMAX</t>
  </si>
  <si>
    <t>TON</t>
  </si>
  <si>
    <t>ITMAX</t>
  </si>
  <si>
    <t>TRMAX</t>
  </si>
  <si>
    <t>DTSORT</t>
  </si>
  <si>
    <t>NSPEC</t>
  </si>
  <si>
    <t>EMIN</t>
  </si>
  <si>
    <t>EMAX</t>
  </si>
  <si>
    <t>DEN</t>
  </si>
  <si>
    <t>NTRAJ</t>
  </si>
  <si>
    <t>EPS</t>
  </si>
  <si>
    <t>RBF</t>
  </si>
  <si>
    <t>DTF</t>
  </si>
  <si>
    <t>APF</t>
  </si>
  <si>
    <t>IRB</t>
  </si>
  <si>
    <t>ITERP</t>
  </si>
  <si>
    <t>INTRPL</t>
  </si>
  <si>
    <t>TOL</t>
  </si>
  <si>
    <t>FACBY</t>
  </si>
  <si>
    <t>WM0</t>
  </si>
  <si>
    <t>IEPS</t>
  </si>
  <si>
    <t>RC1</t>
  </si>
  <si>
    <t>RC2</t>
  </si>
  <si>
    <t>DN0</t>
  </si>
  <si>
    <t>DN1</t>
  </si>
  <si>
    <t>TRJET</t>
  </si>
  <si>
    <t>TRJLAR</t>
  </si>
  <si>
    <t>TEMP0</t>
  </si>
  <si>
    <t>MEMORY</t>
  </si>
  <si>
    <t>VZERO</t>
  </si>
  <si>
    <t>EPSW</t>
  </si>
  <si>
    <t>$END</t>
  </si>
  <si>
    <t>$PAR_SWITCH</t>
  </si>
  <si>
    <t>phys_p</t>
  </si>
  <si>
    <t>F</t>
  </si>
  <si>
    <t>T</t>
  </si>
  <si>
    <t>WEAK</t>
  </si>
  <si>
    <t>GAS</t>
  </si>
  <si>
    <t>THOMSON</t>
  </si>
  <si>
    <t>ESPECTR</t>
  </si>
  <si>
    <t>CHIFLTR</t>
  </si>
  <si>
    <t>FINOUT</t>
  </si>
  <si>
    <t>REIMOUT</t>
  </si>
  <si>
    <t>CHANGVAR</t>
  </si>
  <si>
    <t>CAPILLARY</t>
  </si>
  <si>
    <t>fluid</t>
  </si>
  <si>
    <t>fluid_g</t>
  </si>
  <si>
    <t>rite_gas</t>
  </si>
  <si>
    <t>$PHYS_PAR</t>
  </si>
  <si>
    <t>$Ext_Beam</t>
  </si>
  <si>
    <t>HIGHFRFIELD</t>
  </si>
  <si>
    <t>LIENARD</t>
  </si>
  <si>
    <t>RADLOSS</t>
  </si>
  <si>
    <t>Beam_loading</t>
  </si>
  <si>
    <t>Beamline_beam</t>
  </si>
  <si>
    <t>Beam_duration</t>
  </si>
  <si>
    <t>Beam_position</t>
  </si>
  <si>
    <t>Beam_charge</t>
  </si>
  <si>
    <t>SIGMAX</t>
  </si>
  <si>
    <t>SIGMAY</t>
  </si>
  <si>
    <t>GAMMAE</t>
  </si>
  <si>
    <t>TONPART</t>
  </si>
  <si>
    <t>TOFFPART</t>
  </si>
  <si>
    <t>NTPARTSTEP</t>
  </si>
  <si>
    <t>RINJECT</t>
  </si>
  <si>
    <t>ALPHA0</t>
  </si>
  <si>
    <t>DEBORD</t>
  </si>
  <si>
    <t>ALPHA1</t>
  </si>
  <si>
    <t>TFOC</t>
  </si>
  <si>
    <t>Z_window</t>
  </si>
  <si>
    <t>position_bin</t>
  </si>
  <si>
    <t>momentum_bin</t>
  </si>
  <si>
    <t>NSP</t>
  </si>
  <si>
    <t>GMIN</t>
  </si>
  <si>
    <t>GMAX</t>
  </si>
  <si>
    <t>NA</t>
  </si>
  <si>
    <t>date</t>
  </si>
  <si>
    <t>info</t>
  </si>
  <si>
    <t>nom</t>
  </si>
  <si>
    <t>valeur</t>
  </si>
  <si>
    <t>désignation</t>
  </si>
  <si>
    <t>commentaires</t>
  </si>
  <si>
    <t>Module</t>
  </si>
  <si>
    <t>donnees namelist</t>
  </si>
  <si>
    <t>donnees GenDat.dat</t>
  </si>
  <si>
    <t>IZMX</t>
  </si>
  <si>
    <t>IRMX</t>
  </si>
  <si>
    <t>ISORT</t>
  </si>
  <si>
    <t>NPMx</t>
  </si>
  <si>
    <t>ntrajx</t>
  </si>
  <si>
    <t>IZMX1</t>
  </si>
  <si>
    <t>ndetect</t>
  </si>
  <si>
    <t>IDIM</t>
  </si>
  <si>
    <t>IDIM1</t>
  </si>
  <si>
    <t>IDIM2</t>
  </si>
  <si>
    <t>nzedmx</t>
  </si>
  <si>
    <t>imcmx</t>
  </si>
  <si>
    <t>max_part</t>
  </si>
  <si>
    <t>RIAR</t>
  </si>
  <si>
    <t>donnees AtomicData</t>
  </si>
  <si>
    <t>dans WakeEP90_AtomicData.dat</t>
  </si>
  <si>
    <t>AtomicNumber</t>
  </si>
  <si>
    <t>MdAtomic</t>
  </si>
  <si>
    <t>Numero atomique du gaz</t>
  </si>
  <si>
    <t>T1pot(1)</t>
  </si>
  <si>
    <t>T1nquant(1)</t>
  </si>
  <si>
    <t>T1lQuant(1)</t>
  </si>
  <si>
    <t>T1August(1)</t>
  </si>
  <si>
    <t>AtomicMass_me</t>
  </si>
  <si>
    <t>rapport masse atome / masse electron</t>
  </si>
  <si>
    <t>energie d'ionisiation</t>
  </si>
  <si>
    <t>nombre quantique principal</t>
  </si>
  <si>
    <t>nombre quantique azymuthal</t>
  </si>
  <si>
    <t>coefficient Auguste pour ADK</t>
  </si>
  <si>
    <t>taille de la grille en z</t>
  </si>
  <si>
    <t>taille de la grille en r</t>
  </si>
  <si>
    <t>Nombre max de pas de temps</t>
  </si>
  <si>
    <t>Nombre d'iteration pour le calcul du champ</t>
  </si>
  <si>
    <t>T0_plasma</t>
  </si>
  <si>
    <t>T1_plasma</t>
  </si>
  <si>
    <t>T2_plasma</t>
  </si>
  <si>
    <t>T3_plasma</t>
  </si>
  <si>
    <t>fin de la premiere rampe (profil oldjet)</t>
  </si>
  <si>
    <t>fin du plateau (profil oldjet)</t>
  </si>
  <si>
    <t>WLENGTH_mi</t>
  </si>
  <si>
    <t>variable logique pour determiner si on utilise en entrée des grandeurs physiques (T) ou réduites (F)</t>
  </si>
  <si>
    <t>permet de positionner le max du laser par rapport à la grille</t>
  </si>
  <si>
    <t>largeur du pulse laser</t>
  </si>
  <si>
    <t>waist du laser</t>
  </si>
  <si>
    <t>largeur de la cellule de numérisation</t>
  </si>
  <si>
    <t xml:space="preserve"> a0 / 2</t>
  </si>
  <si>
    <t>forme gaussienne</t>
  </si>
  <si>
    <t>position de démarrage du calcul (en longeur de Rayleigh)</t>
  </si>
  <si>
    <t>position de la fin du calcul</t>
  </si>
  <si>
    <t>pas en unité de Rayleigh pour la sortie</t>
  </si>
  <si>
    <t>rapport omega_P / omega_L</t>
  </si>
  <si>
    <t>debut du plasma (en longueur de Rayleigh)</t>
  </si>
  <si>
    <t>fin du plasma (oldjet) (en longueur de Rayleigh)</t>
  </si>
  <si>
    <t>si F, le plasma est completement ionisé. Si T calcul de l'ionisation</t>
  </si>
  <si>
    <t>conditions aux bords capillaire. Pour l'instant T, car problème si F</t>
  </si>
  <si>
    <t>grandeurs physiques</t>
  </si>
  <si>
    <t>densité électronique max</t>
  </si>
  <si>
    <t>unité</t>
  </si>
  <si>
    <t>cm-3</t>
  </si>
  <si>
    <t>Omega_P</t>
  </si>
  <si>
    <t>densité critique</t>
  </si>
  <si>
    <t>longueur d'onde laser</t>
  </si>
  <si>
    <t>micron</t>
  </si>
  <si>
    <t>eps (O_P/O_L)</t>
  </si>
  <si>
    <t>lambda_p</t>
  </si>
  <si>
    <t>cm</t>
  </si>
  <si>
    <t>kp</t>
  </si>
  <si>
    <t>cm-1</t>
  </si>
  <si>
    <t>waist_laser</t>
  </si>
  <si>
    <t>µm</t>
  </si>
  <si>
    <t>kp^-1</t>
  </si>
  <si>
    <t>durée_laser_FWHM</t>
  </si>
  <si>
    <t>fs</t>
  </si>
  <si>
    <t>durée_laser_1/e^2</t>
  </si>
  <si>
    <t>célérité</t>
  </si>
  <si>
    <t>m/s</t>
  </si>
  <si>
    <t>Longueur_pulse_laser_FWHM</t>
  </si>
  <si>
    <t>Omega_L</t>
  </si>
  <si>
    <t>ZMAX</t>
  </si>
  <si>
    <t>ZMAX_µm</t>
  </si>
  <si>
    <t>DZ</t>
  </si>
  <si>
    <t>RMAX</t>
  </si>
  <si>
    <t>Rmax_µm</t>
  </si>
  <si>
    <t>DZ_µm</t>
  </si>
  <si>
    <t>lambda_p_µm</t>
  </si>
  <si>
    <t>DR</t>
  </si>
  <si>
    <t>DR_µm</t>
  </si>
  <si>
    <t>a0</t>
  </si>
  <si>
    <t>Intensité</t>
  </si>
  <si>
    <t>W/cm^2</t>
  </si>
  <si>
    <t>Energie</t>
  </si>
  <si>
    <t>Joule</t>
  </si>
  <si>
    <t>rad/s</t>
  </si>
  <si>
    <t>periode_p</t>
  </si>
  <si>
    <t>GAMMA_Spread</t>
  </si>
  <si>
    <t>beam_duration</t>
  </si>
  <si>
    <t>rayon_x du faisceau</t>
  </si>
  <si>
    <t>sigmax</t>
  </si>
  <si>
    <t>Rayleigh</t>
  </si>
  <si>
    <t>Rayleigh_kp</t>
  </si>
  <si>
    <t>Electron_beam_energy</t>
  </si>
  <si>
    <t>MeV</t>
  </si>
  <si>
    <t>Emc2</t>
  </si>
  <si>
    <t>GammaE</t>
  </si>
  <si>
    <t>delta_longueur_a_rattraper</t>
  </si>
  <si>
    <t>duree du faisceau_elect</t>
  </si>
  <si>
    <t>0.5*gammae*gammae*lambda_p</t>
  </si>
  <si>
    <t>alpha_n*kp</t>
  </si>
  <si>
    <t>alpha_n / Rayleigh</t>
  </si>
  <si>
    <t>profil de densité</t>
  </si>
  <si>
    <t>niter</t>
  </si>
  <si>
    <t>iter</t>
  </si>
  <si>
    <t>Gamma_g</t>
  </si>
  <si>
    <t>PrintErEz</t>
  </si>
  <si>
    <t xml:space="preserve">NcaseInjectionBeam </t>
  </si>
  <si>
    <t>fichier electrons</t>
  </si>
  <si>
    <t>densfond</t>
  </si>
  <si>
    <t>NformeJet</t>
  </si>
  <si>
    <t>NTPARTBEAM</t>
  </si>
  <si>
    <t>MultiplyPartBeam</t>
  </si>
  <si>
    <t>WakeEP90_GenDat.dat</t>
  </si>
  <si>
    <t>NC</t>
  </si>
  <si>
    <t>tr</t>
  </si>
  <si>
    <t>z(cm)</t>
  </si>
  <si>
    <t>donnees_Dens_profile</t>
  </si>
  <si>
    <t>dans WAKEEP90_DensProfile.dat</t>
  </si>
  <si>
    <t>valeur1</t>
  </si>
  <si>
    <t>valeur2</t>
  </si>
  <si>
    <t>valeur3</t>
  </si>
  <si>
    <t>locNPar</t>
  </si>
  <si>
    <t>commentaire</t>
  </si>
  <si>
    <t>Nombre de fonction de Fermi</t>
  </si>
  <si>
    <t>T2LocParamDensProfile(-3,1-3)</t>
  </si>
  <si>
    <t>A,b,c F1, négatif</t>
  </si>
  <si>
    <t>T2LocParamDensProfile(-2,1-3)</t>
  </si>
  <si>
    <t>A,b,c F2, négatif</t>
  </si>
  <si>
    <t>T2LocParamDensProfile(-1,1-3)</t>
  </si>
  <si>
    <t>A,b,c F4, négatif</t>
  </si>
  <si>
    <t>A,b,c F3, négatif</t>
  </si>
  <si>
    <t>T2LocParamDensProfile(0,1-3)</t>
  </si>
  <si>
    <t>locTargetCenter</t>
  </si>
  <si>
    <t>A,b,c F1, positif</t>
  </si>
  <si>
    <t>A,b,c F2, positif</t>
  </si>
  <si>
    <t>A,b,c F3, positif</t>
  </si>
  <si>
    <t>A,b,c F4, positif</t>
  </si>
  <si>
    <t>T2LocParamDensProfile(1,1-3)</t>
  </si>
  <si>
    <t>T2LocParamDensProfile(2,1-3)</t>
  </si>
  <si>
    <t>T2LocParamDensProfile(3,1-3)</t>
  </si>
  <si>
    <t>T2LocParamDensProfile(4,1-3)</t>
  </si>
  <si>
    <t>abs(tr-targetcenter)</t>
  </si>
  <si>
    <t>profil negatif</t>
  </si>
  <si>
    <t>profil positif</t>
  </si>
  <si>
    <t>profil</t>
  </si>
  <si>
    <t>seconde (movie)</t>
  </si>
  <si>
    <t>delta_z</t>
  </si>
  <si>
    <t>delta_t_movie</t>
  </si>
  <si>
    <t>delta_z/delta_t_movie</t>
  </si>
  <si>
    <t>FORMELASER</t>
  </si>
  <si>
    <t>Longueur de la cellule derrière le laser</t>
  </si>
  <si>
    <t>External_PartCase2_10MeV_IPAC01.dat</t>
  </si>
  <si>
    <t>Test cible patrick Lee courte Mai 2016</t>
  </si>
  <si>
    <t>longueur d'onde</t>
  </si>
  <si>
    <t>energie_laser</t>
  </si>
  <si>
    <t>a0/2</t>
  </si>
  <si>
    <t>calcul w0 à partir de wz</t>
  </si>
  <si>
    <t>wz</t>
  </si>
  <si>
    <t>charge du paquet</t>
  </si>
  <si>
    <t>pc</t>
  </si>
  <si>
    <t>P_0</t>
  </si>
  <si>
    <t>TW</t>
  </si>
  <si>
    <t>Intensité (W/cm2)</t>
  </si>
  <si>
    <t>z (mm)</t>
  </si>
  <si>
    <t>mm</t>
  </si>
  <si>
    <t>zplan</t>
  </si>
  <si>
    <t>charge d'un électron</t>
  </si>
  <si>
    <t>durée FWHM laser</t>
  </si>
  <si>
    <t>w_laser_avant_foc</t>
  </si>
  <si>
    <t>z/zr</t>
  </si>
  <si>
    <t>w0</t>
  </si>
  <si>
    <t>Nbre Electrons</t>
  </si>
  <si>
    <t>tau_l</t>
  </si>
  <si>
    <t>Mec^2</t>
  </si>
  <si>
    <t>a0^2</t>
  </si>
  <si>
    <t>wz (µm)</t>
  </si>
  <si>
    <t>zr (mm)</t>
  </si>
  <si>
    <t>longueur</t>
  </si>
  <si>
    <t>Energie init</t>
  </si>
  <si>
    <t>w0(µm)</t>
  </si>
  <si>
    <t>I (W/cm2)</t>
  </si>
  <si>
    <t>Rayon</t>
  </si>
  <si>
    <t>Longueur_pulse_laser</t>
  </si>
  <si>
    <t>Gamma_init</t>
  </si>
  <si>
    <t>Zr(mm)</t>
  </si>
  <si>
    <t>volume_µm3</t>
  </si>
  <si>
    <t>µm^3</t>
  </si>
  <si>
    <t>focal(m)</t>
  </si>
  <si>
    <t>volume_cm3</t>
  </si>
  <si>
    <t>densité (cm-3)</t>
  </si>
  <si>
    <t>pression (mbar)</t>
  </si>
  <si>
    <t>gamma_g</t>
  </si>
  <si>
    <t>lambda_p (µm)</t>
  </si>
  <si>
    <t>k_p (µm^-1)</t>
  </si>
  <si>
    <t>t_p (fs)</t>
  </si>
  <si>
    <t>Omega_p (fs)</t>
  </si>
  <si>
    <t>longueur déphasage G (mm)</t>
  </si>
  <si>
    <t>longueur de déphasage Elec (mm)</t>
  </si>
  <si>
    <t>Puissance critique</t>
  </si>
  <si>
    <t>X</t>
  </si>
  <si>
    <t>eta(X)</t>
  </si>
  <si>
    <t>E0 [Mev/cm)</t>
  </si>
  <si>
    <t>Phi0</t>
  </si>
  <si>
    <t>Emax (MeV/cm)</t>
  </si>
  <si>
    <t>e0=GammaGxPhimax</t>
  </si>
  <si>
    <t>1+e0</t>
  </si>
  <si>
    <t>(1+e0)^2</t>
  </si>
  <si>
    <t>racine(delta)</t>
  </si>
  <si>
    <t>GammaMin</t>
  </si>
  <si>
    <t>GammaMax</t>
  </si>
  <si>
    <t>densité</t>
  </si>
  <si>
    <t>cm3</t>
  </si>
  <si>
    <t>T2LocParamDensProfile(-4,1-3)</t>
  </si>
  <si>
    <t>z-zf (µm)</t>
  </si>
  <si>
    <t>zf</t>
  </si>
  <si>
    <t>période_laser</t>
  </si>
  <si>
    <t>pas d'injections</t>
  </si>
  <si>
    <t>z(µm)</t>
  </si>
  <si>
    <t>Test même calcul que warp UbuGM002 pour b le profil de densité est multiplié par 1.15 (5 premiers électrons de 3% d'azote), pour c le profil de  densité est multiplié par 1.12</t>
  </si>
  <si>
    <t>idem GM002d mais focalisation 0.5mm plus tot</t>
  </si>
  <si>
    <t>idem GM002f mais focalisation 2,750mm plus tot</t>
  </si>
  <si>
    <t>Test même calcul que warp UbuGM002c , suaf waist = 20 µm</t>
  </si>
  <si>
    <t>idem GM002a mais, a0 = 1.25 et zfoc = 2300 µm</t>
  </si>
  <si>
    <t>idem test13 mais avec profile en densité test15hd250</t>
  </si>
  <si>
    <t>idem warp001atest15 mais avec une durée laser de 16.99</t>
  </si>
  <si>
    <t>densité uniforme, faisceau gaussien 10 MeV,</t>
  </si>
  <si>
    <t>Gam0000</t>
  </si>
  <si>
    <t>pr</t>
  </si>
  <si>
    <t>lz</t>
  </si>
  <si>
    <t>pz</t>
  </si>
  <si>
    <t>rad</t>
  </si>
  <si>
    <t>teta</t>
  </si>
  <si>
    <t>z</t>
  </si>
  <si>
    <t>p_pert</t>
  </si>
  <si>
    <t>t=</t>
  </si>
  <si>
    <t>deltaTSort</t>
  </si>
  <si>
    <t>uz/gamma -1</t>
  </si>
  <si>
    <t>z+delta_z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</si>
</sst>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E+00"/>
    <numFmt numFmtId="165" formatCode="0.000000E+00"/>
    <numFmt numFmtId="166" formatCode="0.000"/>
    <numFmt numFmtId="167" formatCode="0.000000"/>
    <numFmt numFmtId="168" formatCode="0.0000"/>
    <numFmt numFmtId="169" formatCode="0.0000000E+00"/>
    <numFmt numFmtId="170" formatCode="0.0000000"/>
    <numFmt numFmtId="171" formatCode="0.00000E+00"/>
    <numFmt numFmtId="172" formatCode="0.00000000E+00"/>
    <numFmt numFmtId="173" formatCode="0.00000"/>
    <numFmt numFmtId="174" formatCode="0.000E+00"/>
    <numFmt numFmtId="17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11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3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164" fontId="0" fillId="0" borderId="0" xfId="0" quotePrefix="1" applyNumberFormat="1"/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3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69" fontId="0" fillId="0" borderId="0" xfId="0" applyNumberFormat="1" applyFill="1"/>
    <xf numFmtId="170" fontId="0" fillId="34" borderId="0" xfId="0" applyNumberFormat="1" applyFill="1" applyAlignment="1">
      <alignment horizontal="center"/>
    </xf>
    <xf numFmtId="171" fontId="0" fillId="0" borderId="0" xfId="0" applyNumberFormat="1" applyFill="1" applyAlignment="1">
      <alignment horizontal="center"/>
    </xf>
    <xf numFmtId="11" fontId="0" fillId="0" borderId="0" xfId="0" applyNumberFormat="1" applyFill="1"/>
    <xf numFmtId="167" fontId="0" fillId="34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8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1" fontId="0" fillId="34" borderId="0" xfId="0" applyNumberFormat="1" applyFill="1"/>
    <xf numFmtId="0" fontId="0" fillId="0" borderId="0" xfId="0" quotePrefix="1" applyFill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 applyFill="1" applyAlignment="1">
      <alignment horizontal="center"/>
    </xf>
    <xf numFmtId="11" fontId="0" fillId="37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164" fontId="0" fillId="37" borderId="0" xfId="0" applyNumberFormat="1" applyFill="1" applyAlignment="1">
      <alignment horizontal="center"/>
    </xf>
    <xf numFmtId="172" fontId="0" fillId="37" borderId="0" xfId="0" applyNumberFormat="1" applyFill="1" applyAlignment="1">
      <alignment horizontal="center"/>
    </xf>
    <xf numFmtId="0" fontId="0" fillId="37" borderId="0" xfId="0" applyFill="1"/>
    <xf numFmtId="11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172" fontId="0" fillId="38" borderId="0" xfId="0" applyNumberFormat="1" applyFill="1" applyAlignment="1">
      <alignment horizontal="center"/>
    </xf>
    <xf numFmtId="164" fontId="0" fillId="38" borderId="0" xfId="0" applyNumberFormat="1" applyFill="1" applyAlignment="1">
      <alignment horizontal="center"/>
    </xf>
    <xf numFmtId="0" fontId="0" fillId="38" borderId="0" xfId="0" applyFill="1"/>
    <xf numFmtId="1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72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1" fontId="0" fillId="39" borderId="0" xfId="0" applyNumberFormat="1" applyFill="1" applyAlignment="1">
      <alignment horizontal="center"/>
    </xf>
    <xf numFmtId="0" fontId="0" fillId="39" borderId="0" xfId="0" applyFill="1" applyAlignment="1">
      <alignment horizontal="center"/>
    </xf>
    <xf numFmtId="172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0" fontId="0" fillId="39" borderId="0" xfId="0" applyFill="1"/>
    <xf numFmtId="0" fontId="0" fillId="40" borderId="0" xfId="0" applyFill="1"/>
    <xf numFmtId="11" fontId="0" fillId="41" borderId="0" xfId="0" applyNumberFormat="1" applyFill="1" applyAlignment="1">
      <alignment horizontal="center"/>
    </xf>
    <xf numFmtId="0" fontId="0" fillId="41" borderId="0" xfId="0" applyFill="1" applyAlignment="1">
      <alignment horizontal="center"/>
    </xf>
    <xf numFmtId="172" fontId="0" fillId="41" borderId="0" xfId="0" applyNumberFormat="1" applyFill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1" borderId="0" xfId="0" applyFill="1"/>
    <xf numFmtId="168" fontId="0" fillId="0" borderId="0" xfId="0" applyNumberFormat="1"/>
    <xf numFmtId="0" fontId="0" fillId="0" borderId="0" xfId="0" applyAlignment="1">
      <alignment horizontal="center" vertical="center"/>
    </xf>
    <xf numFmtId="17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topLeftCell="K1" workbookViewId="0">
      <selection activeCell="K1"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3.570312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  <col min="18" max="18" width="15.85546875" style="3" customWidth="1"/>
    <col min="19" max="19" width="31" style="3" customWidth="1"/>
    <col min="20" max="20" width="25" customWidth="1"/>
    <col min="21" max="21" width="26.7109375" customWidth="1"/>
    <col min="22" max="22" width="17.140625" customWidth="1"/>
  </cols>
  <sheetData>
    <row r="1" spans="1:28" x14ac:dyDescent="0.25">
      <c r="A1" t="s">
        <v>88</v>
      </c>
      <c r="B1" s="2">
        <v>42537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8.86295360197702E-17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  <c r="R1" s="3" t="s">
        <v>253</v>
      </c>
      <c r="S1" s="3">
        <f>R3/S3</f>
        <v>1.8181818181818181E-2</v>
      </c>
      <c r="U1">
        <f>1453-976.74</f>
        <v>476.26</v>
      </c>
    </row>
    <row r="2" spans="1:28" x14ac:dyDescent="0.25">
      <c r="D2" t="s">
        <v>212</v>
      </c>
      <c r="E2" t="s">
        <v>256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2.658886080593106E-2</v>
      </c>
      <c r="M2" s="4">
        <v>1.71255477258472E-14</v>
      </c>
      <c r="Q2" t="s">
        <v>206</v>
      </c>
      <c r="R2" s="3" t="s">
        <v>251</v>
      </c>
      <c r="S2" s="3" t="s">
        <v>252</v>
      </c>
      <c r="U2">
        <f>500-U1</f>
        <v>23.740000000000009</v>
      </c>
      <c r="W2" t="s">
        <v>319</v>
      </c>
    </row>
    <row r="3" spans="1:28" ht="34.5" customHeight="1" x14ac:dyDescent="0.25">
      <c r="A3" t="s">
        <v>89</v>
      </c>
      <c r="B3" s="87" t="s">
        <v>257</v>
      </c>
      <c r="C3" s="87"/>
      <c r="D3" s="87"/>
      <c r="E3">
        <f>1.5*26/30</f>
        <v>1.3</v>
      </c>
      <c r="G3">
        <f>15*SQRT(650/675)</f>
        <v>14.719601443879744</v>
      </c>
      <c r="Q3" t="s">
        <v>207</v>
      </c>
      <c r="R3" s="3">
        <f>$C$24*$G$18</f>
        <v>4.0000000000000001E-3</v>
      </c>
      <c r="S3" s="3">
        <v>0.22</v>
      </c>
      <c r="T3" s="1"/>
      <c r="W3">
        <v>0.1</v>
      </c>
      <c r="Y3">
        <v>-0.35</v>
      </c>
    </row>
    <row r="4" spans="1:28" x14ac:dyDescent="0.25">
      <c r="B4" t="s">
        <v>95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220</v>
      </c>
      <c r="R4" s="3" t="s">
        <v>250</v>
      </c>
      <c r="S4" s="3" t="s">
        <v>246</v>
      </c>
      <c r="T4" s="3" t="s">
        <v>247</v>
      </c>
      <c r="U4" s="3" t="s">
        <v>248</v>
      </c>
      <c r="V4" s="3" t="s">
        <v>249</v>
      </c>
      <c r="W4" s="3" t="s">
        <v>318</v>
      </c>
      <c r="Y4" s="3">
        <v>0.27599000000000001</v>
      </c>
      <c r="AA4">
        <v>0</v>
      </c>
      <c r="AB4">
        <v>1.002</v>
      </c>
    </row>
    <row r="5" spans="1:28" x14ac:dyDescent="0.25">
      <c r="B5" t="s">
        <v>90</v>
      </c>
      <c r="C5" s="72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-2.9472000572551118</v>
      </c>
      <c r="Q5" s="13">
        <f t="shared" ref="Q5:Q68" si="0">P5*$G$18</f>
        <v>-0.3</v>
      </c>
      <c r="R5" s="13">
        <f>$S$3*O5</f>
        <v>0</v>
      </c>
      <c r="S5">
        <f t="shared" ref="S5:S68" si="1">ABS(Q5-$K$38)</f>
        <v>0.25</v>
      </c>
      <c r="T5" s="8">
        <f>$K$34/(1+EXP(($S5-$L$34)/$M$34))+$K$35/(1+EXP(($S5-$L$35)/$M$35))+$K$36/(1+EXP(($S5-$L$36)/$M$36))+$K$37/(1+EXP(($S5-$L$37)/$M$37))</f>
        <v>3.7144821957662394E-3</v>
      </c>
      <c r="U5" s="8">
        <f t="shared" ref="U5:U68" si="2">$K$39/(1+EXP(($S5-$L$39)/$M$39))+$K$40/(1+EXP(($S5-$L$40)/$M$40))+$K$41/(1+EXP(($S5-$L$41)/$M$41))+$K$42/(1+EXP(($S5-$L$42)/$M$42))</f>
        <v>3.9268094477834522E-7</v>
      </c>
      <c r="V5">
        <f t="shared" ref="V5:V68" si="3">IF(Q5-$K$38&gt;0,U5,T5)</f>
        <v>3.7144821957662394E-3</v>
      </c>
      <c r="W5" s="71">
        <f>(Q5+W$3)*10000</f>
        <v>-1999.9999999999998</v>
      </c>
      <c r="Y5">
        <v>-9.4E-2</v>
      </c>
      <c r="AA5">
        <v>1</v>
      </c>
      <c r="AB5">
        <v>1.002</v>
      </c>
    </row>
    <row r="6" spans="1:28" x14ac:dyDescent="0.25">
      <c r="A6" t="s">
        <v>0</v>
      </c>
      <c r="C6" s="72"/>
      <c r="E6">
        <f>25*0.05</f>
        <v>1.25</v>
      </c>
      <c r="G6" s="5" t="s">
        <v>153</v>
      </c>
      <c r="H6" s="4">
        <v>4E+18</v>
      </c>
      <c r="I6" s="3" t="s">
        <v>155</v>
      </c>
      <c r="J6" s="17" t="s">
        <v>97</v>
      </c>
      <c r="K6" s="3">
        <f>C7+5</f>
        <v>605</v>
      </c>
      <c r="M6"/>
      <c r="O6" s="3">
        <f>O5+1</f>
        <v>1</v>
      </c>
      <c r="P6" s="13">
        <f t="shared" ref="P6:P69" si="4">$C$24*O6+$C$21</f>
        <v>-2.9079040564917102</v>
      </c>
      <c r="Q6" s="13">
        <f t="shared" si="0"/>
        <v>-0.29599999999999999</v>
      </c>
      <c r="R6" s="13">
        <f t="shared" ref="R6:R69" si="5">$S$3*O6</f>
        <v>0.22</v>
      </c>
      <c r="S6">
        <f t="shared" si="1"/>
        <v>0.246</v>
      </c>
      <c r="T6" s="8">
        <f t="shared" ref="T6:T69" si="6">$K$34/(1+EXP(($S6-$L$34)/$M$34))+$K$35/(1+EXP(($S6-$L$35)/$M$35))+$K$36/(1+EXP(($S6-$L$36)/$M$36))+$K$37/(1+EXP(($S6-$L$37)/$M$37))</f>
        <v>4.3428530219509964E-3</v>
      </c>
      <c r="U6" s="8">
        <f t="shared" si="2"/>
        <v>5.3415682044097188E-7</v>
      </c>
      <c r="V6">
        <f t="shared" si="3"/>
        <v>4.3428530219509964E-3</v>
      </c>
      <c r="W6" s="71">
        <f t="shared" ref="W6:W69" si="7">(Q6+W$3)*10000</f>
        <v>-1959.9999999999998</v>
      </c>
      <c r="Y6">
        <f>Y4-Y3</f>
        <v>0.62599000000000005</v>
      </c>
      <c r="AA6">
        <v>2</v>
      </c>
      <c r="AB6">
        <v>1.002</v>
      </c>
    </row>
    <row r="7" spans="1:28" x14ac:dyDescent="0.25">
      <c r="B7" t="s">
        <v>1</v>
      </c>
      <c r="C7" s="72">
        <v>600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4"/>
        <v>-2.8686080557283087</v>
      </c>
      <c r="Q7" s="13">
        <f t="shared" si="0"/>
        <v>-0.29199999999999993</v>
      </c>
      <c r="R7" s="13">
        <f t="shared" si="5"/>
        <v>0.44</v>
      </c>
      <c r="S7">
        <f t="shared" si="1"/>
        <v>0.24199999999999994</v>
      </c>
      <c r="T7" s="8">
        <f t="shared" si="6"/>
        <v>5.0750229792129852E-3</v>
      </c>
      <c r="U7" s="8">
        <f t="shared" si="2"/>
        <v>7.2660383474528417E-7</v>
      </c>
      <c r="V7">
        <f t="shared" si="3"/>
        <v>5.0750229792129852E-3</v>
      </c>
      <c r="W7" s="71">
        <f t="shared" si="7"/>
        <v>-1919.9999999999993</v>
      </c>
      <c r="Y7">
        <f>Y5-Y3</f>
        <v>0.25600000000000001</v>
      </c>
      <c r="AA7">
        <v>3</v>
      </c>
      <c r="AB7">
        <v>1.002</v>
      </c>
    </row>
    <row r="8" spans="1:28" x14ac:dyDescent="0.25">
      <c r="B8" t="s">
        <v>2</v>
      </c>
      <c r="C8" s="72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8">O7+1</f>
        <v>3</v>
      </c>
      <c r="P8" s="13">
        <f t="shared" si="4"/>
        <v>-2.8293120549649071</v>
      </c>
      <c r="Q8" s="13">
        <f t="shared" si="0"/>
        <v>-0.28799999999999992</v>
      </c>
      <c r="R8" s="13">
        <f t="shared" si="5"/>
        <v>0.66</v>
      </c>
      <c r="S8">
        <f t="shared" si="1"/>
        <v>0.23799999999999993</v>
      </c>
      <c r="T8" s="8">
        <f t="shared" si="6"/>
        <v>5.9276242142086493E-3</v>
      </c>
      <c r="U8" s="8">
        <f t="shared" si="2"/>
        <v>9.8838588348401482E-7</v>
      </c>
      <c r="V8">
        <f t="shared" si="3"/>
        <v>5.9276242142086493E-3</v>
      </c>
      <c r="W8" s="71">
        <f t="shared" si="7"/>
        <v>-1879.9999999999991</v>
      </c>
      <c r="Y8">
        <f>3*Y7/Y6</f>
        <v>1.2268566590520615</v>
      </c>
      <c r="AA8">
        <v>4</v>
      </c>
      <c r="AB8">
        <v>1.002</v>
      </c>
    </row>
    <row r="9" spans="1:28" x14ac:dyDescent="0.25">
      <c r="B9" t="s">
        <v>3</v>
      </c>
      <c r="C9" s="72">
        <v>150</v>
      </c>
      <c r="E9" s="14">
        <f>E10*1000000000/I1</f>
        <v>1.3205775822989467</v>
      </c>
      <c r="F9" s="5" t="s">
        <v>209</v>
      </c>
      <c r="G9" s="6">
        <f>SQRT(G8/H6)</f>
        <v>20.868355978610293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8"/>
        <v>4</v>
      </c>
      <c r="P9" s="13">
        <f t="shared" si="4"/>
        <v>-2.790016054201506</v>
      </c>
      <c r="Q9" s="13">
        <f t="shared" si="0"/>
        <v>-0.28399999999999997</v>
      </c>
      <c r="R9" s="13">
        <f t="shared" si="5"/>
        <v>0.88</v>
      </c>
      <c r="S9">
        <f t="shared" si="1"/>
        <v>0.23399999999999999</v>
      </c>
      <c r="T9" s="8">
        <f t="shared" si="6"/>
        <v>6.9199965051723504E-3</v>
      </c>
      <c r="U9" s="8">
        <f t="shared" si="2"/>
        <v>1.3444829593439942E-6</v>
      </c>
      <c r="V9">
        <f t="shared" si="3"/>
        <v>6.9199965051723504E-3</v>
      </c>
      <c r="W9" s="71">
        <f t="shared" si="7"/>
        <v>-1839.9999999999998</v>
      </c>
      <c r="Y9">
        <f>1.9-Y8</f>
        <v>0.67314334094793837</v>
      </c>
      <c r="AA9">
        <v>5</v>
      </c>
      <c r="AB9">
        <v>1.002</v>
      </c>
    </row>
    <row r="10" spans="1:28" x14ac:dyDescent="0.25">
      <c r="B10" t="s">
        <v>4</v>
      </c>
      <c r="C10" s="72">
        <v>250</v>
      </c>
      <c r="E10" s="14">
        <f>0.149/E16</f>
        <v>0.39589919937709855</v>
      </c>
      <c r="F10" s="5" t="s">
        <v>156</v>
      </c>
      <c r="G10" s="6">
        <f xml:space="preserve"> 56414.602*SQRT(H6)</f>
        <v>112829204000000</v>
      </c>
      <c r="H10" s="3" t="s">
        <v>189</v>
      </c>
      <c r="I10"/>
      <c r="J10" s="17" t="s">
        <v>101</v>
      </c>
      <c r="K10" s="3">
        <v>100</v>
      </c>
      <c r="M10"/>
      <c r="O10" s="3">
        <f t="shared" si="8"/>
        <v>5</v>
      </c>
      <c r="P10" s="13">
        <f t="shared" si="4"/>
        <v>-2.7507200534381044</v>
      </c>
      <c r="Q10" s="13">
        <f t="shared" si="0"/>
        <v>-0.27999999999999997</v>
      </c>
      <c r="R10" s="13">
        <f t="shared" si="5"/>
        <v>1.1000000000000001</v>
      </c>
      <c r="S10">
        <f t="shared" si="1"/>
        <v>0.22999999999999998</v>
      </c>
      <c r="T10" s="8">
        <f t="shared" si="6"/>
        <v>8.0747714472677104E-3</v>
      </c>
      <c r="U10" s="8">
        <f t="shared" si="2"/>
        <v>1.8288747375335146E-6</v>
      </c>
      <c r="V10">
        <f t="shared" si="3"/>
        <v>8.0747714472677104E-3</v>
      </c>
      <c r="W10" s="71">
        <f t="shared" si="7"/>
        <v>-1799.9999999999995</v>
      </c>
      <c r="AA10">
        <v>6</v>
      </c>
      <c r="AB10">
        <v>1.002</v>
      </c>
    </row>
    <row r="11" spans="1:28" x14ac:dyDescent="0.25">
      <c r="B11" t="s">
        <v>5</v>
      </c>
      <c r="C11" s="72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8"/>
        <v>6</v>
      </c>
      <c r="P11" s="13">
        <f t="shared" si="4"/>
        <v>-2.7114240526747029</v>
      </c>
      <c r="Q11" s="13">
        <f t="shared" si="0"/>
        <v>-0.27599999999999997</v>
      </c>
      <c r="R11" s="13">
        <f t="shared" si="5"/>
        <v>1.32</v>
      </c>
      <c r="S11">
        <f t="shared" si="1"/>
        <v>0.22599999999999998</v>
      </c>
      <c r="T11" s="8">
        <f t="shared" si="6"/>
        <v>9.4186921663669387E-3</v>
      </c>
      <c r="U11" s="8">
        <f t="shared" si="2"/>
        <v>2.4877828594157016E-6</v>
      </c>
      <c r="V11">
        <f t="shared" si="3"/>
        <v>9.4186921663669387E-3</v>
      </c>
      <c r="W11" s="71">
        <f t="shared" si="7"/>
        <v>-1759.9999999999995</v>
      </c>
      <c r="AA11">
        <v>7</v>
      </c>
      <c r="AB11">
        <v>1.002</v>
      </c>
    </row>
    <row r="12" spans="1:28" x14ac:dyDescent="0.25">
      <c r="B12" t="s">
        <v>6</v>
      </c>
      <c r="C12" s="72">
        <v>5</v>
      </c>
      <c r="F12" s="5" t="s">
        <v>160</v>
      </c>
      <c r="G12" s="7">
        <f>SQRT(H6/G8)</f>
        <v>4.7919443248187969E-2</v>
      </c>
      <c r="H12" s="3" t="s">
        <v>87</v>
      </c>
      <c r="I12"/>
      <c r="J12" s="17" t="s">
        <v>218</v>
      </c>
      <c r="K12" s="3">
        <v>4</v>
      </c>
      <c r="M12"/>
      <c r="O12" s="3">
        <f t="shared" si="8"/>
        <v>7</v>
      </c>
      <c r="P12" s="13">
        <f t="shared" si="4"/>
        <v>-2.6721280519113013</v>
      </c>
      <c r="Q12" s="13">
        <f t="shared" si="0"/>
        <v>-0.27199999999999996</v>
      </c>
      <c r="R12" s="13">
        <f t="shared" si="5"/>
        <v>1.54</v>
      </c>
      <c r="S12">
        <f t="shared" si="1"/>
        <v>0.22199999999999998</v>
      </c>
      <c r="T12" s="8">
        <f t="shared" si="6"/>
        <v>1.0983802116028498E-2</v>
      </c>
      <c r="U12" s="8">
        <f t="shared" si="2"/>
        <v>3.3840812318787693E-6</v>
      </c>
      <c r="V12">
        <f t="shared" si="3"/>
        <v>1.0983802116028498E-2</v>
      </c>
      <c r="W12" s="71">
        <f t="shared" si="7"/>
        <v>-1719.9999999999995</v>
      </c>
      <c r="AA12">
        <v>8</v>
      </c>
      <c r="AB12">
        <v>1.002</v>
      </c>
    </row>
    <row r="13" spans="1:28" x14ac:dyDescent="0.25">
      <c r="B13" t="s">
        <v>7</v>
      </c>
      <c r="C13" s="72">
        <v>2</v>
      </c>
      <c r="F13" s="5" t="s">
        <v>161</v>
      </c>
      <c r="G13" s="6">
        <f>0.0001*G7*SQRT(G8/H6)</f>
        <v>1.6694684782888236E-3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8"/>
        <v>8</v>
      </c>
      <c r="P13" s="13">
        <f t="shared" si="4"/>
        <v>-2.6328320511478998</v>
      </c>
      <c r="Q13" s="13">
        <f t="shared" si="0"/>
        <v>-0.26799999999999996</v>
      </c>
      <c r="R13" s="13">
        <f t="shared" si="5"/>
        <v>1.76</v>
      </c>
      <c r="S13">
        <f t="shared" si="1"/>
        <v>0.21799999999999997</v>
      </c>
      <c r="T13" s="8">
        <f t="shared" si="6"/>
        <v>1.2809211206665876E-2</v>
      </c>
      <c r="U13" s="8">
        <f t="shared" si="2"/>
        <v>4.6032950542593425E-6</v>
      </c>
      <c r="V13">
        <f t="shared" si="3"/>
        <v>1.2809211206665876E-2</v>
      </c>
      <c r="W13" s="71">
        <f t="shared" si="7"/>
        <v>-1679.9999999999995</v>
      </c>
      <c r="AA13">
        <v>9</v>
      </c>
      <c r="AB13">
        <v>1.002</v>
      </c>
    </row>
    <row r="14" spans="1:28" x14ac:dyDescent="0.25">
      <c r="B14" t="s">
        <v>8</v>
      </c>
      <c r="C14" s="21">
        <f>G24</f>
        <v>2.6831924746576368</v>
      </c>
      <c r="D14" t="s">
        <v>139</v>
      </c>
      <c r="E14" s="14">
        <f>0.5*G14</f>
        <v>8.3473423914441174</v>
      </c>
      <c r="F14" s="5" t="s">
        <v>181</v>
      </c>
      <c r="G14" s="6">
        <f>10000*G13</f>
        <v>16.694684782888235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8"/>
        <v>9</v>
      </c>
      <c r="P14" s="13">
        <f t="shared" si="4"/>
        <v>-2.5935360503844982</v>
      </c>
      <c r="Q14" s="13">
        <f t="shared" si="0"/>
        <v>-0.26399999999999996</v>
      </c>
      <c r="R14" s="13">
        <f t="shared" si="5"/>
        <v>1.98</v>
      </c>
      <c r="S14">
        <f t="shared" si="1"/>
        <v>0.21399999999999997</v>
      </c>
      <c r="T14" s="8">
        <f t="shared" si="6"/>
        <v>1.4943758428268344E-2</v>
      </c>
      <c r="U14" s="8">
        <f t="shared" si="2"/>
        <v>6.2617607715370469E-6</v>
      </c>
      <c r="V14">
        <f t="shared" si="3"/>
        <v>1.4943758428268344E-2</v>
      </c>
      <c r="W14" s="71">
        <f t="shared" si="7"/>
        <v>-1639.9999999999995</v>
      </c>
      <c r="AA14">
        <v>10</v>
      </c>
      <c r="AB14">
        <v>1.002</v>
      </c>
    </row>
    <row r="15" spans="1:28" x14ac:dyDescent="0.25">
      <c r="B15" t="s">
        <v>9</v>
      </c>
      <c r="C15" s="72">
        <v>10</v>
      </c>
      <c r="D15" t="s">
        <v>138</v>
      </c>
      <c r="E15" s="14">
        <f>E14/16.7</f>
        <v>0.49984086176312081</v>
      </c>
      <c r="F15" s="5" t="s">
        <v>190</v>
      </c>
      <c r="G15" s="6">
        <f>2*PI()*1000000000000000/G10</f>
        <v>55.687579850156403</v>
      </c>
      <c r="H15" s="3" t="s">
        <v>169</v>
      </c>
      <c r="I15"/>
      <c r="J15" s="17" t="s">
        <v>105</v>
      </c>
      <c r="K15" s="3">
        <v>150</v>
      </c>
      <c r="M15"/>
      <c r="O15" s="3">
        <f t="shared" si="8"/>
        <v>10</v>
      </c>
      <c r="P15" s="13">
        <f t="shared" si="4"/>
        <v>-2.5542400496210966</v>
      </c>
      <c r="Q15" s="13">
        <f t="shared" si="0"/>
        <v>-0.25999999999999995</v>
      </c>
      <c r="R15" s="13">
        <f t="shared" si="5"/>
        <v>2.2000000000000002</v>
      </c>
      <c r="S15">
        <f t="shared" si="1"/>
        <v>0.20999999999999996</v>
      </c>
      <c r="T15" s="8">
        <f t="shared" si="6"/>
        <v>1.7450050160727232E-2</v>
      </c>
      <c r="U15" s="8">
        <f t="shared" si="2"/>
        <v>8.5177251425285584E-6</v>
      </c>
      <c r="V15">
        <f t="shared" si="3"/>
        <v>1.7450050160727232E-2</v>
      </c>
      <c r="W15" s="71">
        <f t="shared" si="7"/>
        <v>-1599.9999999999995</v>
      </c>
      <c r="AA15">
        <v>11</v>
      </c>
      <c r="AB15">
        <v>1.002</v>
      </c>
    </row>
    <row r="16" spans="1:28" x14ac:dyDescent="0.25">
      <c r="B16" t="s">
        <v>10</v>
      </c>
      <c r="C16" s="72">
        <f>15</f>
        <v>15</v>
      </c>
      <c r="D16" t="s">
        <v>255</v>
      </c>
      <c r="E16" s="14">
        <f>0.0001*G16</f>
        <v>0.37635842718155077</v>
      </c>
      <c r="F16" s="5" t="s">
        <v>163</v>
      </c>
      <c r="G16" s="6">
        <f>2*PI()/G13</f>
        <v>3763.5842718155077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8"/>
        <v>11</v>
      </c>
      <c r="P16" s="13">
        <f t="shared" si="4"/>
        <v>-2.5149440488576955</v>
      </c>
      <c r="Q16" s="13">
        <f t="shared" si="0"/>
        <v>-0.25600000000000001</v>
      </c>
      <c r="R16" s="13">
        <f t="shared" si="5"/>
        <v>2.42</v>
      </c>
      <c r="S16">
        <f t="shared" si="1"/>
        <v>0.20600000000000002</v>
      </c>
      <c r="T16" s="8">
        <f t="shared" si="6"/>
        <v>2.0410575369572453E-2</v>
      </c>
      <c r="U16" s="8">
        <f t="shared" si="2"/>
        <v>1.1586441677713025E-5</v>
      </c>
      <c r="V16">
        <f t="shared" si="3"/>
        <v>2.0410575369572453E-2</v>
      </c>
      <c r="W16" s="71">
        <f t="shared" si="7"/>
        <v>-1560</v>
      </c>
      <c r="AA16">
        <v>12</v>
      </c>
      <c r="AB16">
        <v>1.002</v>
      </c>
    </row>
    <row r="17" spans="2:28" x14ac:dyDescent="0.25">
      <c r="B17" t="s">
        <v>11</v>
      </c>
      <c r="C17" s="22">
        <f>G20</f>
        <v>6.0593706776229688</v>
      </c>
      <c r="D17" t="s">
        <v>140</v>
      </c>
      <c r="E17">
        <f>1/G17</f>
        <v>6.2111801242236017E-2</v>
      </c>
      <c r="F17" s="5" t="s">
        <v>165</v>
      </c>
      <c r="G17" s="3">
        <v>16.100000000000001</v>
      </c>
      <c r="H17" s="3" t="s">
        <v>166</v>
      </c>
      <c r="I17" s="1">
        <f>100*I16*G16</f>
        <v>-93.096020547628399</v>
      </c>
      <c r="J17" s="17" t="s">
        <v>107</v>
      </c>
      <c r="K17" s="3">
        <v>18</v>
      </c>
      <c r="M17">
        <f>1.8*1.8</f>
        <v>3.24</v>
      </c>
      <c r="O17" s="3">
        <f t="shared" si="8"/>
        <v>12</v>
      </c>
      <c r="P17" s="13">
        <f t="shared" si="4"/>
        <v>-2.475648048094294</v>
      </c>
      <c r="Q17" s="13">
        <f t="shared" si="0"/>
        <v>-0.252</v>
      </c>
      <c r="R17" s="13">
        <f t="shared" si="5"/>
        <v>2.64</v>
      </c>
      <c r="S17">
        <f t="shared" si="1"/>
        <v>0.20200000000000001</v>
      </c>
      <c r="T17" s="8">
        <f t="shared" si="6"/>
        <v>2.3936888854701074E-2</v>
      </c>
      <c r="U17" s="8">
        <f t="shared" si="2"/>
        <v>1.5760703413461662E-5</v>
      </c>
      <c r="V17">
        <f t="shared" si="3"/>
        <v>2.3936888854701074E-2</v>
      </c>
      <c r="W17" s="71">
        <f t="shared" si="7"/>
        <v>-1520</v>
      </c>
      <c r="AA17">
        <v>13</v>
      </c>
      <c r="AB17">
        <v>1.002</v>
      </c>
    </row>
    <row r="18" spans="2:28" x14ac:dyDescent="0.25">
      <c r="B18" t="s">
        <v>110</v>
      </c>
      <c r="C18" s="72">
        <v>8</v>
      </c>
      <c r="D18" t="s">
        <v>141</v>
      </c>
      <c r="E18" s="14">
        <f>10000*G18</f>
        <v>1017.9152896712628</v>
      </c>
      <c r="F18" s="5" t="s">
        <v>195</v>
      </c>
      <c r="G18" s="3">
        <f>0.0001*PI()*G17*G17/G7</f>
        <v>0.10179152896712629</v>
      </c>
      <c r="H18" s="3" t="s">
        <v>162</v>
      </c>
      <c r="I18">
        <f>0.5*100/G18</f>
        <v>491.20000954251867</v>
      </c>
      <c r="J18" s="17" t="s">
        <v>108</v>
      </c>
      <c r="K18" s="3">
        <v>4</v>
      </c>
      <c r="M18"/>
      <c r="O18" s="3">
        <f t="shared" si="8"/>
        <v>13</v>
      </c>
      <c r="P18" s="13">
        <f t="shared" si="4"/>
        <v>-2.4363520473308924</v>
      </c>
      <c r="Q18" s="13">
        <f t="shared" si="0"/>
        <v>-0.24799999999999997</v>
      </c>
      <c r="R18" s="13">
        <f t="shared" si="5"/>
        <v>2.86</v>
      </c>
      <c r="S18">
        <f t="shared" si="1"/>
        <v>0.19799999999999995</v>
      </c>
      <c r="T18" s="8">
        <f t="shared" si="6"/>
        <v>2.8183193861507611E-2</v>
      </c>
      <c r="U18" s="8">
        <f t="shared" si="2"/>
        <v>2.1438768390788196E-5</v>
      </c>
      <c r="V18">
        <f t="shared" si="3"/>
        <v>2.8183193861507611E-2</v>
      </c>
      <c r="W18" s="71">
        <f t="shared" si="7"/>
        <v>-1479.9999999999995</v>
      </c>
      <c r="AA18">
        <v>14</v>
      </c>
      <c r="AB18">
        <v>1.002</v>
      </c>
    </row>
    <row r="19" spans="2:28" x14ac:dyDescent="0.25">
      <c r="B19" t="s">
        <v>12</v>
      </c>
      <c r="C19" s="23">
        <f>G34/2</f>
        <v>0.75000217919683421</v>
      </c>
      <c r="D19" t="s">
        <v>142</v>
      </c>
      <c r="F19" s="5" t="s">
        <v>196</v>
      </c>
      <c r="G19" s="6">
        <f>G18*G16</f>
        <v>383.10099742472914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8"/>
        <v>14</v>
      </c>
      <c r="P19" s="13">
        <f t="shared" si="4"/>
        <v>-2.3970560465674908</v>
      </c>
      <c r="Q19" s="13">
        <f t="shared" si="0"/>
        <v>-0.24399999999999997</v>
      </c>
      <c r="R19" s="13">
        <f t="shared" si="5"/>
        <v>3.08</v>
      </c>
      <c r="S19">
        <f t="shared" si="1"/>
        <v>0.19399999999999995</v>
      </c>
      <c r="T19" s="8">
        <f t="shared" si="6"/>
        <v>3.3365965931129352E-2</v>
      </c>
      <c r="U19" s="8">
        <f t="shared" si="2"/>
        <v>2.916233714055117E-5</v>
      </c>
      <c r="V19">
        <f t="shared" si="3"/>
        <v>3.3365965931129352E-2</v>
      </c>
      <c r="W19" s="71">
        <f t="shared" si="7"/>
        <v>-1439.9999999999995</v>
      </c>
      <c r="AA19">
        <v>15</v>
      </c>
      <c r="AB19">
        <v>1.002</v>
      </c>
    </row>
    <row r="20" spans="2:28" x14ac:dyDescent="0.25">
      <c r="B20" t="s">
        <v>254</v>
      </c>
      <c r="C20" s="72">
        <v>2</v>
      </c>
      <c r="D20" t="s">
        <v>143</v>
      </c>
      <c r="E20">
        <v>7.1294579999999996</v>
      </c>
      <c r="F20" s="5" t="s">
        <v>11</v>
      </c>
      <c r="G20" s="7">
        <f>0.0001*G17*G16</f>
        <v>6.0593706776229688</v>
      </c>
      <c r="H20" s="3" t="s">
        <v>167</v>
      </c>
      <c r="I20"/>
      <c r="J20"/>
      <c r="K20" s="3"/>
      <c r="M20"/>
      <c r="O20" s="3">
        <f t="shared" si="8"/>
        <v>15</v>
      </c>
      <c r="P20" s="13">
        <f t="shared" si="4"/>
        <v>-2.3577600458040893</v>
      </c>
      <c r="Q20" s="13">
        <f t="shared" si="0"/>
        <v>-0.23999999999999996</v>
      </c>
      <c r="R20" s="13">
        <f t="shared" si="5"/>
        <v>3.3</v>
      </c>
      <c r="S20">
        <f t="shared" si="1"/>
        <v>0.18999999999999995</v>
      </c>
      <c r="T20" s="8">
        <f t="shared" si="6"/>
        <v>3.9791319821201244E-2</v>
      </c>
      <c r="U20" s="8">
        <f t="shared" si="2"/>
        <v>3.9668196041190023E-5</v>
      </c>
      <c r="V20">
        <f t="shared" si="3"/>
        <v>3.9791319821201244E-2</v>
      </c>
      <c r="W20" s="71">
        <f t="shared" si="7"/>
        <v>-1399.9999999999995</v>
      </c>
      <c r="AA20">
        <v>16</v>
      </c>
      <c r="AB20">
        <v>1.002</v>
      </c>
    </row>
    <row r="21" spans="2:28" x14ac:dyDescent="0.25">
      <c r="B21" t="s">
        <v>13</v>
      </c>
      <c r="C21" s="22">
        <f>-0.3/G$18</f>
        <v>-2.9472000572551118</v>
      </c>
      <c r="D21" t="s">
        <v>144</v>
      </c>
      <c r="E21" s="20">
        <f>10000*E20/G16</f>
        <v>18.943266538205709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8"/>
        <v>16</v>
      </c>
      <c r="P21" s="13">
        <f t="shared" si="4"/>
        <v>-2.3184640450406881</v>
      </c>
      <c r="Q21" s="13">
        <f t="shared" si="0"/>
        <v>-0.23599999999999999</v>
      </c>
      <c r="R21" s="13">
        <f t="shared" si="5"/>
        <v>3.52</v>
      </c>
      <c r="S21">
        <f t="shared" si="1"/>
        <v>0.186</v>
      </c>
      <c r="T21" s="8">
        <f t="shared" si="6"/>
        <v>4.7891118726625034E-2</v>
      </c>
      <c r="U21" s="8">
        <f t="shared" si="2"/>
        <v>5.3958435887539415E-5</v>
      </c>
      <c r="V21">
        <f t="shared" si="3"/>
        <v>4.7891118726625034E-2</v>
      </c>
      <c r="W21" s="71">
        <f t="shared" si="7"/>
        <v>-1359.9999999999998</v>
      </c>
      <c r="AA21">
        <v>17</v>
      </c>
      <c r="AB21">
        <v>1.002</v>
      </c>
    </row>
    <row r="22" spans="2:28" x14ac:dyDescent="0.25">
      <c r="B22" t="s">
        <v>14</v>
      </c>
      <c r="C22" s="72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8"/>
        <v>17</v>
      </c>
      <c r="P22" s="13">
        <f t="shared" si="4"/>
        <v>-2.2791680442772866</v>
      </c>
      <c r="Q22" s="13">
        <f t="shared" si="0"/>
        <v>-0.23199999999999998</v>
      </c>
      <c r="R22" s="13">
        <f t="shared" si="5"/>
        <v>3.74</v>
      </c>
      <c r="S22">
        <f t="shared" si="1"/>
        <v>0.182</v>
      </c>
      <c r="T22" s="8">
        <f t="shared" si="6"/>
        <v>5.826631724171541E-2</v>
      </c>
      <c r="U22" s="8">
        <f t="shared" si="2"/>
        <v>7.3395911661739208E-5</v>
      </c>
      <c r="V22">
        <f t="shared" si="3"/>
        <v>5.826631724171541E-2</v>
      </c>
      <c r="W22" s="71">
        <f t="shared" si="7"/>
        <v>-1319.9999999999998</v>
      </c>
      <c r="AA22">
        <v>18</v>
      </c>
      <c r="AB22">
        <v>1.002</v>
      </c>
    </row>
    <row r="23" spans="2:28" x14ac:dyDescent="0.25">
      <c r="B23" t="s">
        <v>15</v>
      </c>
      <c r="C23" s="22">
        <f>0.1/G$18</f>
        <v>0.98240001908503738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8"/>
        <v>18</v>
      </c>
      <c r="P23" s="13">
        <f t="shared" si="4"/>
        <v>-2.239872043513885</v>
      </c>
      <c r="Q23" s="13">
        <f t="shared" si="0"/>
        <v>-0.22799999999999998</v>
      </c>
      <c r="R23" s="13">
        <f t="shared" si="5"/>
        <v>3.96</v>
      </c>
      <c r="S23">
        <f t="shared" si="1"/>
        <v>0.17799999999999999</v>
      </c>
      <c r="T23" s="8">
        <f t="shared" si="6"/>
        <v>7.1729886278895691E-2</v>
      </c>
      <c r="U23" s="8">
        <f t="shared" si="2"/>
        <v>9.9833988768308689E-5</v>
      </c>
      <c r="V23">
        <f t="shared" si="3"/>
        <v>7.1729886278895691E-2</v>
      </c>
      <c r="W23" s="71">
        <f t="shared" si="7"/>
        <v>-1279.9999999999998</v>
      </c>
      <c r="AA23">
        <v>19</v>
      </c>
      <c r="AB23">
        <v>1.002</v>
      </c>
    </row>
    <row r="24" spans="2:28" x14ac:dyDescent="0.25">
      <c r="B24" t="s">
        <v>16</v>
      </c>
      <c r="C24" s="72">
        <f>(C23-C21)/100</f>
        <v>3.9296000763401492E-2</v>
      </c>
      <c r="D24" t="s">
        <v>146</v>
      </c>
      <c r="F24" s="5" t="s">
        <v>8</v>
      </c>
      <c r="G24" s="11">
        <f>0.000000000000001*G22*G10</f>
        <v>2.6831924746576368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8"/>
        <v>19</v>
      </c>
      <c r="P24" s="13">
        <f t="shared" si="4"/>
        <v>-2.2005760427504835</v>
      </c>
      <c r="Q24" s="13">
        <f t="shared" si="0"/>
        <v>-0.22399999999999998</v>
      </c>
      <c r="R24" s="13">
        <f t="shared" si="5"/>
        <v>4.18</v>
      </c>
      <c r="S24">
        <f t="shared" si="1"/>
        <v>0.17399999999999999</v>
      </c>
      <c r="T24" s="8">
        <f t="shared" si="6"/>
        <v>8.9329411409451137E-2</v>
      </c>
      <c r="U24" s="8">
        <f t="shared" si="2"/>
        <v>1.3579283848869414E-4</v>
      </c>
      <c r="V24">
        <f t="shared" si="3"/>
        <v>8.9329411409451137E-2</v>
      </c>
      <c r="W24" s="71">
        <f t="shared" si="7"/>
        <v>-1239.9999999999998</v>
      </c>
      <c r="AA24">
        <v>20</v>
      </c>
      <c r="AB24">
        <v>1.002</v>
      </c>
    </row>
    <row r="25" spans="2:28" x14ac:dyDescent="0.25">
      <c r="B25" t="s">
        <v>17</v>
      </c>
      <c r="C25" s="72">
        <v>300</v>
      </c>
      <c r="E25">
        <f>G25*375/600</f>
        <v>17.301995296661023</v>
      </c>
      <c r="F25" s="5" t="s">
        <v>175</v>
      </c>
      <c r="G25" s="11">
        <f>C14+C15+C16</f>
        <v>27.683192474657638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8"/>
        <v>20</v>
      </c>
      <c r="P25" s="13">
        <f t="shared" si="4"/>
        <v>-2.1612800419870819</v>
      </c>
      <c r="Q25" s="13">
        <f t="shared" si="0"/>
        <v>-0.21999999999999997</v>
      </c>
      <c r="R25" s="13">
        <f t="shared" si="5"/>
        <v>4.4000000000000004</v>
      </c>
      <c r="S25">
        <f t="shared" si="1"/>
        <v>0.16999999999999998</v>
      </c>
      <c r="T25" s="8">
        <f t="shared" si="6"/>
        <v>0.11230974269033252</v>
      </c>
      <c r="U25" s="8">
        <f t="shared" si="2"/>
        <v>1.846988870277981E-4</v>
      </c>
      <c r="V25">
        <f t="shared" si="3"/>
        <v>0.11230974269033252</v>
      </c>
      <c r="W25" s="71">
        <f t="shared" si="7"/>
        <v>-1199.9999999999998</v>
      </c>
      <c r="AA25">
        <v>21</v>
      </c>
      <c r="AB25">
        <v>1.002</v>
      </c>
    </row>
    <row r="26" spans="2:28" x14ac:dyDescent="0.25">
      <c r="B26" t="s">
        <v>18</v>
      </c>
      <c r="C26" s="72">
        <v>6</v>
      </c>
      <c r="E26" s="12"/>
      <c r="F26" s="5" t="s">
        <v>178</v>
      </c>
      <c r="G26" s="11">
        <f>G20*C18</f>
        <v>48.47496542098375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8"/>
        <v>21</v>
      </c>
      <c r="P26" s="13">
        <f t="shared" si="4"/>
        <v>-2.1219840412236803</v>
      </c>
      <c r="Q26" s="13">
        <f t="shared" si="0"/>
        <v>-0.21599999999999997</v>
      </c>
      <c r="R26" s="13">
        <f t="shared" si="5"/>
        <v>4.62</v>
      </c>
      <c r="S26">
        <f t="shared" si="1"/>
        <v>0.16599999999999998</v>
      </c>
      <c r="T26" s="8">
        <f t="shared" si="6"/>
        <v>0.14195446522318816</v>
      </c>
      <c r="U26" s="8">
        <f t="shared" si="2"/>
        <v>2.5120986356431241E-4</v>
      </c>
      <c r="V26">
        <f t="shared" si="3"/>
        <v>0.14195446522318816</v>
      </c>
      <c r="W26" s="71">
        <f t="shared" si="7"/>
        <v>-1159.9999999999995</v>
      </c>
      <c r="AA26">
        <v>22</v>
      </c>
      <c r="AB26">
        <v>1.002</v>
      </c>
    </row>
    <row r="27" spans="2:28" x14ac:dyDescent="0.25">
      <c r="B27" t="s">
        <v>19</v>
      </c>
      <c r="C27" s="72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73.555394207510602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8"/>
        <v>22</v>
      </c>
      <c r="P27" s="13">
        <f t="shared" si="4"/>
        <v>-2.0826880404602788</v>
      </c>
      <c r="Q27" s="13">
        <f t="shared" si="0"/>
        <v>-0.21199999999999997</v>
      </c>
      <c r="R27" s="13">
        <f t="shared" si="5"/>
        <v>4.84</v>
      </c>
      <c r="S27">
        <f t="shared" si="1"/>
        <v>0.16199999999999998</v>
      </c>
      <c r="T27" s="8">
        <f t="shared" si="6"/>
        <v>0.17924462329500976</v>
      </c>
      <c r="U27" s="8">
        <f t="shared" si="2"/>
        <v>3.4165571862530391E-4</v>
      </c>
      <c r="V27">
        <f t="shared" si="3"/>
        <v>0.17924462329500976</v>
      </c>
      <c r="W27" s="71">
        <f t="shared" si="7"/>
        <v>-1119.9999999999995</v>
      </c>
      <c r="AA27">
        <v>23</v>
      </c>
      <c r="AB27">
        <v>1.002</v>
      </c>
    </row>
    <row r="28" spans="2:28" x14ac:dyDescent="0.25">
      <c r="B28" t="s">
        <v>20</v>
      </c>
      <c r="C28" s="72">
        <v>20</v>
      </c>
      <c r="D28">
        <f>2.142311</f>
        <v>2.1423109999999999</v>
      </c>
      <c r="F28" s="5" t="s">
        <v>179</v>
      </c>
      <c r="G28" s="6">
        <f>G26*10000/G16</f>
        <v>128.80000000000004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8"/>
        <v>23</v>
      </c>
      <c r="P28" s="13">
        <f t="shared" si="4"/>
        <v>-2.0433920396968777</v>
      </c>
      <c r="Q28" s="13">
        <f t="shared" si="0"/>
        <v>-0.20799999999999999</v>
      </c>
      <c r="R28" s="13">
        <f t="shared" si="5"/>
        <v>5.0599999999999996</v>
      </c>
      <c r="S28">
        <f t="shared" si="1"/>
        <v>0.15799999999999997</v>
      </c>
      <c r="T28" s="8">
        <f t="shared" si="6"/>
        <v>0.22433975539102513</v>
      </c>
      <c r="U28" s="8">
        <f t="shared" si="2"/>
        <v>4.6463610914523196E-4</v>
      </c>
      <c r="V28">
        <f t="shared" si="3"/>
        <v>0.22433975539102513</v>
      </c>
      <c r="W28" s="71">
        <f t="shared" si="7"/>
        <v>-1079.9999999999998</v>
      </c>
      <c r="AA28">
        <v>24</v>
      </c>
      <c r="AB28">
        <v>1.002</v>
      </c>
    </row>
    <row r="29" spans="2:28" x14ac:dyDescent="0.25">
      <c r="B29" t="s">
        <v>21</v>
      </c>
      <c r="C29" s="72">
        <v>100</v>
      </c>
      <c r="D29">
        <f>D27/D28</f>
        <v>1.0559008472626059</v>
      </c>
      <c r="E29">
        <f>C14/G29</f>
        <v>58.15497928096142</v>
      </c>
      <c r="F29" s="5" t="s">
        <v>177</v>
      </c>
      <c r="G29" s="3">
        <f>G25/C7</f>
        <v>4.6138654124429399E-2</v>
      </c>
      <c r="H29" s="3" t="s">
        <v>167</v>
      </c>
      <c r="I29"/>
      <c r="J29"/>
      <c r="K29" s="3"/>
      <c r="M29"/>
      <c r="O29" s="3">
        <f t="shared" si="8"/>
        <v>24</v>
      </c>
      <c r="P29" s="13">
        <f t="shared" si="4"/>
        <v>-2.0040960389334761</v>
      </c>
      <c r="Q29" s="13">
        <f t="shared" si="0"/>
        <v>-0.20399999999999999</v>
      </c>
      <c r="R29" s="13">
        <f t="shared" si="5"/>
        <v>5.28</v>
      </c>
      <c r="S29">
        <f t="shared" si="1"/>
        <v>0.15399999999999997</v>
      </c>
      <c r="T29" s="8">
        <f t="shared" si="6"/>
        <v>0.2760522666070967</v>
      </c>
      <c r="U29" s="8">
        <f t="shared" si="2"/>
        <v>6.3182892177749035E-4</v>
      </c>
      <c r="V29">
        <f t="shared" si="3"/>
        <v>0.2760522666070967</v>
      </c>
      <c r="W29" s="71">
        <f t="shared" si="7"/>
        <v>-1039.9999999999998</v>
      </c>
      <c r="AA29">
        <v>25</v>
      </c>
      <c r="AB29">
        <v>1.002</v>
      </c>
    </row>
    <row r="30" spans="2:28" x14ac:dyDescent="0.25">
      <c r="B30" t="s">
        <v>22</v>
      </c>
      <c r="C30" s="22">
        <f>G12</f>
        <v>4.7919443248187969E-2</v>
      </c>
      <c r="D30" t="s">
        <v>147</v>
      </c>
      <c r="F30" s="5" t="s">
        <v>180</v>
      </c>
      <c r="G30" s="6">
        <f>10000*G29/G16</f>
        <v>0.12259232367918434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8"/>
        <v>25</v>
      </c>
      <c r="P30" s="13">
        <f t="shared" si="4"/>
        <v>-1.9648000381700745</v>
      </c>
      <c r="Q30" s="13">
        <f t="shared" si="0"/>
        <v>-0.19999999999999998</v>
      </c>
      <c r="R30" s="13">
        <f t="shared" si="5"/>
        <v>5.5</v>
      </c>
      <c r="S30">
        <f t="shared" si="1"/>
        <v>0.14999999999999997</v>
      </c>
      <c r="T30" s="8">
        <f t="shared" si="6"/>
        <v>0.33167024005966744</v>
      </c>
      <c r="U30" s="8">
        <f t="shared" si="2"/>
        <v>8.5908229845959878E-4</v>
      </c>
      <c r="V30">
        <f t="shared" si="3"/>
        <v>0.33167024005966744</v>
      </c>
      <c r="W30" s="71">
        <f t="shared" si="7"/>
        <v>-999.99999999999977</v>
      </c>
      <c r="AA30">
        <v>26</v>
      </c>
      <c r="AB30">
        <v>1.002</v>
      </c>
    </row>
    <row r="31" spans="2:28" x14ac:dyDescent="0.25">
      <c r="B31" t="s">
        <v>23</v>
      </c>
      <c r="C31" s="72">
        <v>2</v>
      </c>
      <c r="D31">
        <f>D29^2</f>
        <v>1.1149265992498891</v>
      </c>
      <c r="E31" s="8">
        <f>C17/G31</f>
        <v>50</v>
      </c>
      <c r="F31" s="5" t="s">
        <v>182</v>
      </c>
      <c r="G31" s="3">
        <f>G26/C8</f>
        <v>0.12118741355245938</v>
      </c>
      <c r="H31" s="3" t="s">
        <v>167</v>
      </c>
      <c r="I31"/>
      <c r="J31"/>
      <c r="K31" s="3"/>
      <c r="M31"/>
      <c r="O31" s="3">
        <f t="shared" si="8"/>
        <v>26</v>
      </c>
      <c r="P31" s="13">
        <f t="shared" si="4"/>
        <v>-1.925504037406673</v>
      </c>
      <c r="Q31" s="13">
        <f t="shared" si="0"/>
        <v>-0.19599999999999998</v>
      </c>
      <c r="R31" s="13">
        <f t="shared" si="5"/>
        <v>5.72</v>
      </c>
      <c r="S31">
        <f t="shared" si="1"/>
        <v>0.14599999999999996</v>
      </c>
      <c r="T31" s="8">
        <f t="shared" si="6"/>
        <v>0.38744469875973669</v>
      </c>
      <c r="U31" s="8">
        <f t="shared" si="2"/>
        <v>1.1678857359576093E-3</v>
      </c>
      <c r="V31">
        <f t="shared" si="3"/>
        <v>0.38744469875973669</v>
      </c>
      <c r="W31" s="71">
        <f t="shared" si="7"/>
        <v>-959.99999999999977</v>
      </c>
      <c r="AA31">
        <v>27</v>
      </c>
      <c r="AB31">
        <v>1.002</v>
      </c>
    </row>
    <row r="32" spans="2:28" x14ac:dyDescent="0.25">
      <c r="B32" t="s">
        <v>24</v>
      </c>
      <c r="C32" s="72">
        <v>0.5</v>
      </c>
      <c r="D32">
        <f>D31*0.6</f>
        <v>0.66895595954993348</v>
      </c>
      <c r="F32" s="5" t="s">
        <v>183</v>
      </c>
      <c r="G32" s="6">
        <f>G31*10000/G16</f>
        <v>0.32200000000000012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8"/>
        <v>27</v>
      </c>
      <c r="P32" s="13">
        <f t="shared" si="4"/>
        <v>-1.8862080366432714</v>
      </c>
      <c r="Q32" s="13">
        <f t="shared" si="0"/>
        <v>-0.19199999999999998</v>
      </c>
      <c r="R32" s="13">
        <f t="shared" si="5"/>
        <v>5.94</v>
      </c>
      <c r="S32">
        <f t="shared" si="1"/>
        <v>0.14199999999999996</v>
      </c>
      <c r="T32" s="8">
        <f t="shared" si="6"/>
        <v>0.43964474979983581</v>
      </c>
      <c r="U32" s="8">
        <f t="shared" si="2"/>
        <v>1.5873447666470758E-3</v>
      </c>
      <c r="V32">
        <f t="shared" si="3"/>
        <v>0.43964474979983581</v>
      </c>
      <c r="W32" s="71">
        <f t="shared" si="7"/>
        <v>-919.99999999999966</v>
      </c>
      <c r="AA32">
        <v>28</v>
      </c>
      <c r="AB32">
        <v>1.002</v>
      </c>
    </row>
    <row r="33" spans="2:28" x14ac:dyDescent="0.25">
      <c r="B33" t="s">
        <v>25</v>
      </c>
      <c r="C33" s="72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8"/>
        <v>28</v>
      </c>
      <c r="P33" s="13">
        <f t="shared" si="4"/>
        <v>-1.8469120358798701</v>
      </c>
      <c r="Q33" s="13">
        <f t="shared" si="0"/>
        <v>-0.18799999999999997</v>
      </c>
      <c r="R33" s="13">
        <f t="shared" si="5"/>
        <v>6.16</v>
      </c>
      <c r="S33">
        <f t="shared" si="1"/>
        <v>0.13799999999999996</v>
      </c>
      <c r="T33" s="8">
        <f t="shared" si="6"/>
        <v>0.48561194736142477</v>
      </c>
      <c r="U33" s="8">
        <f t="shared" si="2"/>
        <v>2.1568185470184063E-3</v>
      </c>
      <c r="V33">
        <f t="shared" si="3"/>
        <v>0.48561194736142477</v>
      </c>
      <c r="W33" s="71">
        <f t="shared" si="7"/>
        <v>-879.99999999999966</v>
      </c>
      <c r="AA33">
        <v>29</v>
      </c>
      <c r="AB33">
        <v>1.002</v>
      </c>
    </row>
    <row r="34" spans="2:28" x14ac:dyDescent="0.25">
      <c r="B34" t="s">
        <v>26</v>
      </c>
      <c r="C34" s="72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0.16800000000000001</v>
      </c>
      <c r="M34" s="73">
        <v>2.5000000000000001E-2</v>
      </c>
      <c r="N34" t="s">
        <v>234</v>
      </c>
      <c r="O34" s="3">
        <f t="shared" si="8"/>
        <v>29</v>
      </c>
      <c r="P34" s="13">
        <f t="shared" si="4"/>
        <v>-1.8076160351164685</v>
      </c>
      <c r="Q34" s="13">
        <f t="shared" si="0"/>
        <v>-0.18399999999999997</v>
      </c>
      <c r="R34" s="13">
        <f t="shared" si="5"/>
        <v>6.38</v>
      </c>
      <c r="S34">
        <f t="shared" si="1"/>
        <v>0.13399999999999995</v>
      </c>
      <c r="T34" s="8">
        <f t="shared" si="6"/>
        <v>0.52424523579047555</v>
      </c>
      <c r="U34" s="8">
        <f t="shared" si="2"/>
        <v>2.929418840472695E-3</v>
      </c>
      <c r="V34">
        <f t="shared" si="3"/>
        <v>0.52424523579047555</v>
      </c>
      <c r="W34" s="71">
        <f t="shared" si="7"/>
        <v>-839.99999999999966</v>
      </c>
      <c r="AA34">
        <v>30</v>
      </c>
      <c r="AB34">
        <v>1.002</v>
      </c>
    </row>
    <row r="35" spans="2:28" x14ac:dyDescent="0.25">
      <c r="B35" t="s">
        <v>27</v>
      </c>
      <c r="C35" s="72">
        <v>3</v>
      </c>
      <c r="D35" t="s">
        <v>129</v>
      </c>
      <c r="F35" s="5" t="s">
        <v>187</v>
      </c>
      <c r="G35" s="13">
        <f>G22*G17*G17*0.000000000000000001*G33/(225.38*225.38)</f>
        <v>0.58361190764528992</v>
      </c>
      <c r="H35" s="3" t="s">
        <v>188</v>
      </c>
      <c r="I35"/>
      <c r="J35" t="s">
        <v>229</v>
      </c>
      <c r="K35" s="3">
        <v>0.39</v>
      </c>
      <c r="L35">
        <v>7.5999999999999998E-2</v>
      </c>
      <c r="M35" s="73">
        <v>0.02</v>
      </c>
      <c r="N35" t="s">
        <v>235</v>
      </c>
      <c r="O35" s="3">
        <f t="shared" si="8"/>
        <v>30</v>
      </c>
      <c r="P35" s="13">
        <f t="shared" si="4"/>
        <v>-1.7683200343530669</v>
      </c>
      <c r="Q35" s="13">
        <f t="shared" si="0"/>
        <v>-0.17999999999999997</v>
      </c>
      <c r="R35" s="13">
        <f t="shared" si="5"/>
        <v>6.6</v>
      </c>
      <c r="S35">
        <f t="shared" si="1"/>
        <v>0.12999999999999995</v>
      </c>
      <c r="T35" s="8">
        <f t="shared" si="6"/>
        <v>0.55581996669021638</v>
      </c>
      <c r="U35" s="8">
        <f t="shared" si="2"/>
        <v>3.9766074630823442E-3</v>
      </c>
      <c r="V35">
        <f t="shared" si="3"/>
        <v>0.55581996669021638</v>
      </c>
      <c r="W35" s="71">
        <f t="shared" si="7"/>
        <v>-799.99999999999955</v>
      </c>
      <c r="AA35">
        <v>31</v>
      </c>
      <c r="AB35">
        <v>1.002</v>
      </c>
    </row>
    <row r="36" spans="2:28" x14ac:dyDescent="0.25">
      <c r="B36" t="s">
        <v>28</v>
      </c>
      <c r="C36" s="72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0.15</v>
      </c>
      <c r="M36" s="73">
        <v>0.01</v>
      </c>
      <c r="N36" t="s">
        <v>232</v>
      </c>
      <c r="O36" s="3">
        <f t="shared" si="8"/>
        <v>31</v>
      </c>
      <c r="P36" s="13">
        <f t="shared" si="4"/>
        <v>-1.7290240335896656</v>
      </c>
      <c r="Q36" s="13">
        <f t="shared" si="0"/>
        <v>-0.17599999999999999</v>
      </c>
      <c r="R36" s="13">
        <f t="shared" si="5"/>
        <v>6.82</v>
      </c>
      <c r="S36">
        <f t="shared" si="1"/>
        <v>0.126</v>
      </c>
      <c r="T36" s="8">
        <f t="shared" si="6"/>
        <v>0.58145706810783937</v>
      </c>
      <c r="U36" s="8">
        <f t="shared" si="2"/>
        <v>5.3941557864325401E-3</v>
      </c>
      <c r="V36">
        <f t="shared" si="3"/>
        <v>0.58145706810783937</v>
      </c>
      <c r="W36" s="71">
        <f t="shared" si="7"/>
        <v>-759.99999999999989</v>
      </c>
      <c r="AA36">
        <v>32</v>
      </c>
      <c r="AB36">
        <v>1.002</v>
      </c>
    </row>
    <row r="37" spans="2:28" x14ac:dyDescent="0.25">
      <c r="B37" t="s">
        <v>29</v>
      </c>
      <c r="C37" s="72">
        <v>10</v>
      </c>
      <c r="F37" s="5" t="s">
        <v>192</v>
      </c>
      <c r="G37" s="6">
        <f>0.000000000000001*G36*G10</f>
        <v>11.2829204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8"/>
        <v>32</v>
      </c>
      <c r="P37" s="13">
        <f t="shared" si="4"/>
        <v>-1.689728032826264</v>
      </c>
      <c r="Q37" s="13">
        <f t="shared" si="0"/>
        <v>-0.17199999999999999</v>
      </c>
      <c r="R37" s="13">
        <f t="shared" si="5"/>
        <v>7.04</v>
      </c>
      <c r="S37">
        <f t="shared" si="1"/>
        <v>0.12199999999999998</v>
      </c>
      <c r="T37" s="8">
        <f t="shared" si="6"/>
        <v>0.60259749582982491</v>
      </c>
      <c r="U37" s="8">
        <f t="shared" si="2"/>
        <v>7.3097209394219305E-3</v>
      </c>
      <c r="V37">
        <f t="shared" si="3"/>
        <v>0.60259749582982491</v>
      </c>
      <c r="W37" s="71">
        <f t="shared" si="7"/>
        <v>-719.99999999999977</v>
      </c>
      <c r="AA37">
        <v>33</v>
      </c>
      <c r="AB37">
        <v>1.002</v>
      </c>
    </row>
    <row r="38" spans="2:28" x14ac:dyDescent="0.25">
      <c r="B38" t="s">
        <v>30</v>
      </c>
      <c r="C38" s="72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-0.05</v>
      </c>
      <c r="L38">
        <v>0</v>
      </c>
      <c r="M38" s="73">
        <v>0</v>
      </c>
      <c r="N38" t="s">
        <v>237</v>
      </c>
      <c r="O38" s="3">
        <f t="shared" si="8"/>
        <v>33</v>
      </c>
      <c r="P38" s="13">
        <f t="shared" si="4"/>
        <v>-1.6504320320628625</v>
      </c>
      <c r="Q38" s="13">
        <f t="shared" si="0"/>
        <v>-0.16799999999999998</v>
      </c>
      <c r="R38" s="13">
        <f t="shared" si="5"/>
        <v>7.26</v>
      </c>
      <c r="S38">
        <f t="shared" si="1"/>
        <v>0.11799999999999998</v>
      </c>
      <c r="T38" s="8">
        <f t="shared" si="6"/>
        <v>0.62065294943772753</v>
      </c>
      <c r="U38" s="8">
        <f t="shared" si="2"/>
        <v>9.8922051886714268E-3</v>
      </c>
      <c r="V38">
        <f t="shared" si="3"/>
        <v>0.62065294943772753</v>
      </c>
      <c r="W38" s="71">
        <f t="shared" si="7"/>
        <v>-679.99999999999977</v>
      </c>
      <c r="AA38">
        <v>34</v>
      </c>
      <c r="AB38">
        <v>1.002</v>
      </c>
    </row>
    <row r="39" spans="2:28" x14ac:dyDescent="0.25">
      <c r="B39" t="s">
        <v>31</v>
      </c>
      <c r="C39" s="72">
        <v>0.125</v>
      </c>
      <c r="F39" s="5" t="s">
        <v>194</v>
      </c>
      <c r="G39" s="6">
        <f>0.0001*G38*G16</f>
        <v>3.7635842718155077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8"/>
        <v>34</v>
      </c>
      <c r="P39" s="13">
        <f t="shared" si="4"/>
        <v>-1.6111360312994611</v>
      </c>
      <c r="Q39" s="13">
        <f t="shared" si="0"/>
        <v>-0.16399999999999998</v>
      </c>
      <c r="R39" s="13">
        <f t="shared" si="5"/>
        <v>7.48</v>
      </c>
      <c r="S39">
        <f t="shared" si="1"/>
        <v>0.11399999999999998</v>
      </c>
      <c r="T39" s="8">
        <f t="shared" si="6"/>
        <v>0.63683779313154276</v>
      </c>
      <c r="U39" s="8">
        <f t="shared" si="2"/>
        <v>1.3362822509622528E-2</v>
      </c>
      <c r="V39">
        <f t="shared" si="3"/>
        <v>0.63683779313154276</v>
      </c>
      <c r="W39" s="71">
        <f t="shared" si="7"/>
        <v>-639.99999999999977</v>
      </c>
      <c r="AA39">
        <v>35</v>
      </c>
      <c r="AB39">
        <v>1.002</v>
      </c>
    </row>
    <row r="40" spans="2:28" x14ac:dyDescent="0.25">
      <c r="B40" t="s">
        <v>32</v>
      </c>
      <c r="C40" s="72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8"/>
        <v>35</v>
      </c>
      <c r="P40" s="13">
        <f t="shared" si="4"/>
        <v>-1.5718400305360596</v>
      </c>
      <c r="Q40" s="13">
        <f t="shared" si="0"/>
        <v>-0.15999999999999998</v>
      </c>
      <c r="R40" s="13">
        <f t="shared" si="5"/>
        <v>7.7</v>
      </c>
      <c r="S40">
        <f t="shared" si="1"/>
        <v>0.10999999999999997</v>
      </c>
      <c r="T40" s="8">
        <f t="shared" si="6"/>
        <v>0.65212048036855574</v>
      </c>
      <c r="U40" s="8">
        <f t="shared" si="2"/>
        <v>1.8007284916110328E-2</v>
      </c>
      <c r="V40">
        <f t="shared" si="3"/>
        <v>0.65212048036855574</v>
      </c>
      <c r="W40" s="71">
        <f t="shared" si="7"/>
        <v>-599.99999999999966</v>
      </c>
      <c r="AA40">
        <v>36</v>
      </c>
      <c r="AB40">
        <v>1.002</v>
      </c>
    </row>
    <row r="41" spans="2:28" x14ac:dyDescent="0.25">
      <c r="B41" t="s">
        <v>33</v>
      </c>
      <c r="C41" s="72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8"/>
        <v>36</v>
      </c>
      <c r="P41" s="13">
        <f t="shared" si="4"/>
        <v>-1.532544029772658</v>
      </c>
      <c r="Q41" s="13">
        <f t="shared" si="0"/>
        <v>-0.15599999999999997</v>
      </c>
      <c r="R41" s="13">
        <f t="shared" si="5"/>
        <v>7.92</v>
      </c>
      <c r="S41">
        <f t="shared" si="1"/>
        <v>0.10599999999999997</v>
      </c>
      <c r="T41" s="8">
        <f t="shared" si="6"/>
        <v>0.66723323222883324</v>
      </c>
      <c r="U41" s="8">
        <f t="shared" si="2"/>
        <v>2.4187607408040459E-2</v>
      </c>
      <c r="V41">
        <f t="shared" si="3"/>
        <v>0.66723323222883324</v>
      </c>
      <c r="W41" s="71">
        <f t="shared" si="7"/>
        <v>-559.99999999999966</v>
      </c>
      <c r="AA41">
        <v>37</v>
      </c>
      <c r="AB41">
        <v>1.002</v>
      </c>
    </row>
    <row r="42" spans="2:28" x14ac:dyDescent="0.25">
      <c r="B42" t="s">
        <v>34</v>
      </c>
      <c r="C42" s="72">
        <v>1000</v>
      </c>
      <c r="F42" s="5" t="s">
        <v>201</v>
      </c>
      <c r="G42" s="6">
        <f>2*G41*G41*(0.5*PI()+C15-C89)/G19</f>
        <v>-6.6358476579840806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8"/>
        <v>37</v>
      </c>
      <c r="P42" s="13">
        <f t="shared" si="4"/>
        <v>-1.4932480290092567</v>
      </c>
      <c r="Q42" s="13">
        <f t="shared" si="0"/>
        <v>-0.152</v>
      </c>
      <c r="R42" s="13">
        <f t="shared" si="5"/>
        <v>8.14</v>
      </c>
      <c r="S42">
        <f t="shared" si="1"/>
        <v>0.10199999999999999</v>
      </c>
      <c r="T42" s="8">
        <f t="shared" si="6"/>
        <v>0.68270064176778156</v>
      </c>
      <c r="U42" s="8">
        <f t="shared" si="2"/>
        <v>3.2350723610784317E-2</v>
      </c>
      <c r="V42">
        <f t="shared" si="3"/>
        <v>0.68270064176778156</v>
      </c>
      <c r="W42" s="71">
        <f t="shared" si="7"/>
        <v>-519.99999999999989</v>
      </c>
      <c r="AA42">
        <v>38</v>
      </c>
      <c r="AB42">
        <v>1.002</v>
      </c>
    </row>
    <row r="43" spans="2:28" x14ac:dyDescent="0.25">
      <c r="B43" t="s">
        <v>35</v>
      </c>
      <c r="C43" s="72">
        <v>1</v>
      </c>
      <c r="F43" s="5" t="s">
        <v>203</v>
      </c>
      <c r="G43" s="6">
        <f>0.5*G41*G41*G13</f>
        <v>0.1258755479916287</v>
      </c>
      <c r="H43" s="3" t="s">
        <v>162</v>
      </c>
      <c r="I43"/>
      <c r="J43"/>
      <c r="K43" s="3"/>
      <c r="L43">
        <v>0.06</v>
      </c>
      <c r="M43"/>
      <c r="O43" s="3">
        <f t="shared" si="8"/>
        <v>38</v>
      </c>
      <c r="P43" s="13">
        <f t="shared" si="4"/>
        <v>-1.4539520282458551</v>
      </c>
      <c r="Q43" s="13">
        <f t="shared" si="0"/>
        <v>-0.14799999999999999</v>
      </c>
      <c r="R43" s="13">
        <f t="shared" si="5"/>
        <v>8.36</v>
      </c>
      <c r="S43">
        <f t="shared" si="1"/>
        <v>9.799999999999999E-2</v>
      </c>
      <c r="T43" s="8">
        <f t="shared" si="6"/>
        <v>0.69886812878929749</v>
      </c>
      <c r="U43" s="8">
        <f t="shared" si="2"/>
        <v>4.3030337885956373E-2</v>
      </c>
      <c r="V43">
        <f t="shared" si="3"/>
        <v>0.69886812878929749</v>
      </c>
      <c r="W43" s="71">
        <f t="shared" si="7"/>
        <v>-479.99999999999989</v>
      </c>
      <c r="AA43">
        <v>39</v>
      </c>
      <c r="AB43">
        <v>1.002</v>
      </c>
    </row>
    <row r="44" spans="2:28" x14ac:dyDescent="0.25">
      <c r="B44" t="s">
        <v>36</v>
      </c>
      <c r="C44" s="72">
        <v>1</v>
      </c>
      <c r="F44" s="5" t="s">
        <v>203</v>
      </c>
      <c r="G44" s="6">
        <f>G43/G18</f>
        <v>1.2366014074931557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8"/>
        <v>39</v>
      </c>
      <c r="P44" s="13">
        <f t="shared" si="4"/>
        <v>-1.4146560274824536</v>
      </c>
      <c r="Q44" s="13">
        <f t="shared" si="0"/>
        <v>-0.14399999999999996</v>
      </c>
      <c r="R44" s="13">
        <f t="shared" si="5"/>
        <v>8.58</v>
      </c>
      <c r="S44">
        <f t="shared" si="1"/>
        <v>9.3999999999999959E-2</v>
      </c>
      <c r="T44" s="8">
        <f t="shared" si="6"/>
        <v>0.71592413101913366</v>
      </c>
      <c r="U44" s="8">
        <f t="shared" si="2"/>
        <v>5.684367170354028E-2</v>
      </c>
      <c r="V44">
        <f t="shared" si="3"/>
        <v>0.71592413101913366</v>
      </c>
      <c r="W44" s="71">
        <f t="shared" si="7"/>
        <v>-439.99999999999955</v>
      </c>
      <c r="AA44">
        <v>40</v>
      </c>
      <c r="AB44">
        <v>1.002</v>
      </c>
    </row>
    <row r="45" spans="2:28" x14ac:dyDescent="0.25">
      <c r="B45" t="s">
        <v>213</v>
      </c>
      <c r="C45" s="72">
        <v>1</v>
      </c>
      <c r="F45" s="5" t="s">
        <v>204</v>
      </c>
      <c r="G45" s="3">
        <f>PI()*G41*G41</f>
        <v>473.74323262745196</v>
      </c>
      <c r="H45" s="3"/>
      <c r="I45"/>
      <c r="J45"/>
      <c r="K45" s="3"/>
      <c r="L45">
        <f>0.02+0.00125</f>
        <v>2.1250000000000002E-2</v>
      </c>
      <c r="M45"/>
      <c r="O45" s="3">
        <f t="shared" si="8"/>
        <v>40</v>
      </c>
      <c r="P45" s="13">
        <f t="shared" si="4"/>
        <v>-1.375360026719052</v>
      </c>
      <c r="Q45" s="13">
        <f t="shared" si="0"/>
        <v>-0.13999999999999996</v>
      </c>
      <c r="R45" s="13">
        <f t="shared" si="5"/>
        <v>8.8000000000000007</v>
      </c>
      <c r="S45">
        <f t="shared" si="1"/>
        <v>8.9999999999999955E-2</v>
      </c>
      <c r="T45" s="8">
        <f t="shared" si="6"/>
        <v>0.73391675386032829</v>
      </c>
      <c r="U45" s="8">
        <f t="shared" si="2"/>
        <v>7.4522663241630871E-2</v>
      </c>
      <c r="V45">
        <f t="shared" si="3"/>
        <v>0.73391675386032829</v>
      </c>
      <c r="W45" s="71">
        <f t="shared" si="7"/>
        <v>-399.99999999999955</v>
      </c>
      <c r="AA45">
        <v>41</v>
      </c>
      <c r="AB45">
        <v>1.002</v>
      </c>
    </row>
    <row r="46" spans="2:28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1.2366014074931559</v>
      </c>
      <c r="H46" s="3"/>
      <c r="I46"/>
      <c r="J46"/>
      <c r="K46" s="3"/>
      <c r="M46"/>
      <c r="O46" s="3">
        <f t="shared" si="8"/>
        <v>41</v>
      </c>
      <c r="P46" s="13">
        <f t="shared" si="4"/>
        <v>-1.3360640259556507</v>
      </c>
      <c r="Q46" s="13">
        <f t="shared" si="0"/>
        <v>-0.13599999999999998</v>
      </c>
      <c r="R46" s="13">
        <f t="shared" si="5"/>
        <v>9.02</v>
      </c>
      <c r="S46">
        <f t="shared" si="1"/>
        <v>8.5999999999999979E-2</v>
      </c>
      <c r="T46" s="8">
        <f t="shared" si="6"/>
        <v>0.752768500642923</v>
      </c>
      <c r="U46" s="8">
        <f t="shared" si="2"/>
        <v>9.7211266172972335E-2</v>
      </c>
      <c r="V46">
        <f t="shared" si="3"/>
        <v>0.752768500642923</v>
      </c>
      <c r="W46" s="71">
        <f t="shared" si="7"/>
        <v>-359.99999999999977</v>
      </c>
      <c r="AA46">
        <v>42</v>
      </c>
      <c r="AB46">
        <v>1.002</v>
      </c>
    </row>
    <row r="47" spans="2:28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8"/>
        <v>42</v>
      </c>
      <c r="P47" s="13">
        <f t="shared" si="4"/>
        <v>-1.2967680251922491</v>
      </c>
      <c r="Q47" s="13">
        <f t="shared" si="0"/>
        <v>-0.13199999999999998</v>
      </c>
      <c r="R47" s="13">
        <f t="shared" si="5"/>
        <v>9.24</v>
      </c>
      <c r="S47">
        <f t="shared" si="1"/>
        <v>8.1999999999999976E-2</v>
      </c>
      <c r="T47" s="8">
        <f t="shared" si="6"/>
        <v>0.77229317665072772</v>
      </c>
      <c r="U47" s="8">
        <f t="shared" si="2"/>
        <v>0.12802401754060094</v>
      </c>
      <c r="V47">
        <f t="shared" si="3"/>
        <v>0.77229317665072772</v>
      </c>
      <c r="W47" s="71">
        <f t="shared" si="7"/>
        <v>-319.99999999999972</v>
      </c>
      <c r="AA47">
        <v>43</v>
      </c>
      <c r="AB47">
        <v>1.002</v>
      </c>
    </row>
    <row r="48" spans="2:28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8"/>
        <v>43</v>
      </c>
      <c r="P48" s="13">
        <f t="shared" si="4"/>
        <v>-1.2574720244288475</v>
      </c>
      <c r="Q48" s="13">
        <f t="shared" si="0"/>
        <v>-0.12799999999999997</v>
      </c>
      <c r="R48" s="13">
        <f t="shared" si="5"/>
        <v>9.4600000000000009</v>
      </c>
      <c r="S48">
        <f t="shared" si="1"/>
        <v>7.7999999999999972E-2</v>
      </c>
      <c r="T48" s="8">
        <f t="shared" si="6"/>
        <v>0.79221794282027025</v>
      </c>
      <c r="U48" s="8">
        <f t="shared" si="2"/>
        <v>0.17627032616333188</v>
      </c>
      <c r="V48">
        <f t="shared" si="3"/>
        <v>0.79221794282027025</v>
      </c>
      <c r="W48" s="71">
        <f t="shared" si="7"/>
        <v>-279.99999999999972</v>
      </c>
      <c r="AA48">
        <v>44</v>
      </c>
      <c r="AB48">
        <v>1.002</v>
      </c>
    </row>
    <row r="49" spans="1:28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8"/>
        <v>44</v>
      </c>
      <c r="P49" s="13">
        <f t="shared" si="4"/>
        <v>-1.2181760236654462</v>
      </c>
      <c r="Q49" s="13">
        <f t="shared" si="0"/>
        <v>-0.12399999999999999</v>
      </c>
      <c r="R49" s="13">
        <f t="shared" si="5"/>
        <v>9.68</v>
      </c>
      <c r="S49">
        <f t="shared" si="1"/>
        <v>7.3999999999999982E-2</v>
      </c>
      <c r="T49" s="8">
        <f t="shared" si="6"/>
        <v>0.81221138620589572</v>
      </c>
      <c r="U49" s="8">
        <f t="shared" si="2"/>
        <v>0.24782767802000322</v>
      </c>
      <c r="V49">
        <f t="shared" si="3"/>
        <v>0.81221138620589572</v>
      </c>
      <c r="W49" s="71">
        <f t="shared" si="7"/>
        <v>-239.9999999999998</v>
      </c>
      <c r="AA49">
        <v>45</v>
      </c>
      <c r="AB49">
        <v>1.002</v>
      </c>
    </row>
    <row r="50" spans="1:28" x14ac:dyDescent="0.25">
      <c r="B50" t="s">
        <v>37</v>
      </c>
      <c r="C50" s="72">
        <v>0</v>
      </c>
      <c r="F50" s="5"/>
      <c r="G50" s="3"/>
      <c r="H50" s="3"/>
      <c r="I50"/>
      <c r="J50"/>
      <c r="K50" s="3"/>
      <c r="M50"/>
      <c r="O50" s="3">
        <f t="shared" si="8"/>
        <v>45</v>
      </c>
      <c r="P50" s="13">
        <f t="shared" si="4"/>
        <v>-1.1788800229020446</v>
      </c>
      <c r="Q50" s="13">
        <f t="shared" si="0"/>
        <v>-0.11999999999999998</v>
      </c>
      <c r="R50" s="13">
        <f t="shared" si="5"/>
        <v>9.9</v>
      </c>
      <c r="S50">
        <f t="shared" si="1"/>
        <v>6.9999999999999979E-2</v>
      </c>
      <c r="T50" s="8">
        <f t="shared" si="6"/>
        <v>0.8319160445331899</v>
      </c>
      <c r="U50" s="8">
        <f t="shared" si="2"/>
        <v>0.31378838119987479</v>
      </c>
      <c r="V50">
        <f t="shared" si="3"/>
        <v>0.8319160445331899</v>
      </c>
      <c r="W50" s="71">
        <f t="shared" si="7"/>
        <v>-199.99999999999977</v>
      </c>
      <c r="AA50">
        <v>46</v>
      </c>
      <c r="AB50">
        <v>1.002</v>
      </c>
    </row>
    <row r="51" spans="1:28" x14ac:dyDescent="0.25">
      <c r="B51" t="s">
        <v>38</v>
      </c>
      <c r="C51" s="72">
        <v>1000000000</v>
      </c>
      <c r="F51" s="5"/>
      <c r="G51" s="3"/>
      <c r="H51" s="3"/>
      <c r="I51"/>
      <c r="J51"/>
      <c r="K51" s="3"/>
      <c r="M51"/>
      <c r="O51" s="3">
        <f t="shared" si="8"/>
        <v>46</v>
      </c>
      <c r="P51" s="13">
        <f t="shared" si="4"/>
        <v>-1.1395840221386431</v>
      </c>
      <c r="Q51" s="13">
        <f t="shared" si="0"/>
        <v>-0.11599999999999998</v>
      </c>
      <c r="R51" s="13">
        <f t="shared" si="5"/>
        <v>10.119999999999999</v>
      </c>
      <c r="S51">
        <f t="shared" si="1"/>
        <v>6.5999999999999975E-2</v>
      </c>
      <c r="T51" s="8">
        <f t="shared" si="6"/>
        <v>0.85098184700511614</v>
      </c>
      <c r="U51" s="8">
        <f t="shared" si="2"/>
        <v>0.36214823244982575</v>
      </c>
      <c r="V51">
        <f t="shared" si="3"/>
        <v>0.85098184700511614</v>
      </c>
      <c r="W51" s="71">
        <f t="shared" si="7"/>
        <v>-159.99999999999972</v>
      </c>
      <c r="AA51">
        <v>47</v>
      </c>
      <c r="AB51">
        <v>1.002</v>
      </c>
    </row>
    <row r="52" spans="1:28" x14ac:dyDescent="0.25">
      <c r="B52" t="s">
        <v>39</v>
      </c>
      <c r="C52" s="72">
        <v>0</v>
      </c>
      <c r="F52" s="5"/>
      <c r="G52" s="3"/>
      <c r="H52" s="3"/>
      <c r="I52"/>
      <c r="J52"/>
      <c r="K52" s="3"/>
      <c r="M52"/>
      <c r="O52" s="3">
        <f t="shared" si="8"/>
        <v>47</v>
      </c>
      <c r="P52" s="13">
        <f t="shared" si="4"/>
        <v>-1.1002880213752417</v>
      </c>
      <c r="Q52" s="13">
        <f t="shared" si="0"/>
        <v>-0.11199999999999999</v>
      </c>
      <c r="R52" s="13">
        <f t="shared" si="5"/>
        <v>10.34</v>
      </c>
      <c r="S52">
        <f t="shared" si="1"/>
        <v>6.1999999999999986E-2</v>
      </c>
      <c r="T52" s="8">
        <f t="shared" si="6"/>
        <v>0.86909607272570533</v>
      </c>
      <c r="U52" s="8">
        <f t="shared" si="2"/>
        <v>0.402907913744458</v>
      </c>
      <c r="V52">
        <f t="shared" si="3"/>
        <v>0.86909607272570533</v>
      </c>
      <c r="W52" s="71">
        <f t="shared" si="7"/>
        <v>-119.99999999999983</v>
      </c>
      <c r="AA52">
        <v>48</v>
      </c>
      <c r="AB52">
        <v>1.002</v>
      </c>
    </row>
    <row r="53" spans="1:28" x14ac:dyDescent="0.25">
      <c r="B53" t="s">
        <v>40</v>
      </c>
      <c r="C53" s="72">
        <v>0.75</v>
      </c>
      <c r="F53" s="5"/>
      <c r="G53" s="7"/>
      <c r="H53" s="3"/>
      <c r="I53"/>
      <c r="J53"/>
      <c r="K53" s="3"/>
      <c r="M53"/>
      <c r="O53" s="3">
        <f t="shared" si="8"/>
        <v>48</v>
      </c>
      <c r="P53" s="13">
        <f t="shared" si="4"/>
        <v>-1.0609920206118402</v>
      </c>
      <c r="Q53" s="13">
        <f t="shared" si="0"/>
        <v>-0.10799999999999998</v>
      </c>
      <c r="R53" s="13">
        <f t="shared" si="5"/>
        <v>10.56</v>
      </c>
      <c r="S53">
        <f t="shared" si="1"/>
        <v>5.7999999999999982E-2</v>
      </c>
      <c r="T53" s="8">
        <f t="shared" si="6"/>
        <v>0.88600593763643132</v>
      </c>
      <c r="U53" s="8">
        <f t="shared" si="2"/>
        <v>0.43983107102879782</v>
      </c>
      <c r="V53">
        <f t="shared" si="3"/>
        <v>0.88600593763643132</v>
      </c>
      <c r="W53" s="71">
        <f t="shared" si="7"/>
        <v>-79.999999999999787</v>
      </c>
      <c r="AA53">
        <v>49</v>
      </c>
      <c r="AB53">
        <v>1.002</v>
      </c>
    </row>
    <row r="54" spans="1:28" x14ac:dyDescent="0.25">
      <c r="B54" t="s">
        <v>41</v>
      </c>
      <c r="C54" s="72">
        <v>0</v>
      </c>
      <c r="F54" s="5"/>
      <c r="G54" s="7"/>
      <c r="H54" s="3"/>
      <c r="I54"/>
      <c r="J54"/>
      <c r="K54" s="3"/>
      <c r="M54"/>
      <c r="O54" s="3">
        <f t="shared" si="8"/>
        <v>49</v>
      </c>
      <c r="P54" s="13">
        <f t="shared" si="4"/>
        <v>-1.0216960198484386</v>
      </c>
      <c r="Q54" s="13">
        <f t="shared" si="0"/>
        <v>-0.10399999999999997</v>
      </c>
      <c r="R54" s="13">
        <f t="shared" si="5"/>
        <v>10.78</v>
      </c>
      <c r="S54">
        <f t="shared" si="1"/>
        <v>5.3999999999999965E-2</v>
      </c>
      <c r="T54" s="8">
        <f t="shared" si="6"/>
        <v>0.90153152811268078</v>
      </c>
      <c r="U54" s="8">
        <f t="shared" si="2"/>
        <v>0.47291925764872683</v>
      </c>
      <c r="V54">
        <f t="shared" si="3"/>
        <v>0.90153152811268078</v>
      </c>
      <c r="W54" s="71">
        <f t="shared" si="7"/>
        <v>-39.999999999999616</v>
      </c>
      <c r="AA54">
        <v>50</v>
      </c>
      <c r="AB54">
        <v>1.002</v>
      </c>
    </row>
    <row r="55" spans="1:28" x14ac:dyDescent="0.25">
      <c r="B55" t="s">
        <v>42</v>
      </c>
      <c r="C55" s="72">
        <v>2.25</v>
      </c>
      <c r="F55" s="5"/>
      <c r="G55" s="7"/>
      <c r="H55" s="3"/>
      <c r="I55"/>
      <c r="J55"/>
      <c r="K55" s="3"/>
      <c r="M55"/>
      <c r="O55" s="3">
        <f t="shared" si="8"/>
        <v>50</v>
      </c>
      <c r="P55" s="13">
        <f t="shared" si="4"/>
        <v>-0.98240001908503727</v>
      </c>
      <c r="Q55" s="13">
        <f t="shared" si="0"/>
        <v>-9.9999999999999992E-2</v>
      </c>
      <c r="R55" s="13">
        <f t="shared" si="5"/>
        <v>11</v>
      </c>
      <c r="S55">
        <f t="shared" si="1"/>
        <v>4.9999999999999989E-2</v>
      </c>
      <c r="T55" s="8">
        <f t="shared" si="6"/>
        <v>0.91556885042749891</v>
      </c>
      <c r="U55" s="8">
        <f t="shared" si="2"/>
        <v>0.50170686867978109</v>
      </c>
      <c r="V55">
        <f t="shared" si="3"/>
        <v>0.91556885042749891</v>
      </c>
      <c r="W55" s="71">
        <f t="shared" si="7"/>
        <v>1.3877787807814457E-13</v>
      </c>
      <c r="AA55">
        <v>51</v>
      </c>
      <c r="AB55">
        <v>1.002</v>
      </c>
    </row>
    <row r="56" spans="1:28" x14ac:dyDescent="0.25">
      <c r="A56" t="s">
        <v>43</v>
      </c>
      <c r="C56" s="72"/>
      <c r="F56" s="5"/>
      <c r="G56" s="3"/>
      <c r="H56" s="3"/>
      <c r="I56"/>
      <c r="J56"/>
      <c r="K56" s="3"/>
      <c r="M56"/>
      <c r="O56" s="3">
        <f t="shared" si="8"/>
        <v>51</v>
      </c>
      <c r="P56" s="13">
        <f t="shared" si="4"/>
        <v>-0.94310401832163571</v>
      </c>
      <c r="Q56" s="13">
        <f t="shared" si="0"/>
        <v>-9.5999999999999988E-2</v>
      </c>
      <c r="R56" s="13">
        <f t="shared" si="5"/>
        <v>11.22</v>
      </c>
      <c r="S56">
        <f t="shared" si="1"/>
        <v>4.5999999999999985E-2</v>
      </c>
      <c r="T56" s="8">
        <f t="shared" si="6"/>
        <v>0.92808455216566443</v>
      </c>
      <c r="U56" s="8">
        <f t="shared" si="2"/>
        <v>0.52617090015982682</v>
      </c>
      <c r="V56">
        <f t="shared" si="3"/>
        <v>0.92808455216566443</v>
      </c>
      <c r="W56" s="71">
        <f t="shared" si="7"/>
        <v>40.000000000000178</v>
      </c>
      <c r="AA56">
        <v>52</v>
      </c>
      <c r="AB56">
        <v>1.002</v>
      </c>
    </row>
    <row r="57" spans="1:28" x14ac:dyDescent="0.25">
      <c r="C57" s="72"/>
      <c r="F57" s="5"/>
      <c r="G57" s="3"/>
      <c r="H57" s="3"/>
      <c r="I57"/>
      <c r="J57"/>
      <c r="K57" s="3"/>
      <c r="M57"/>
      <c r="O57" s="3">
        <f t="shared" si="8"/>
        <v>52</v>
      </c>
      <c r="P57" s="13">
        <f t="shared" si="4"/>
        <v>-0.90380801755823414</v>
      </c>
      <c r="Q57" s="13">
        <f t="shared" si="0"/>
        <v>-9.1999999999999971E-2</v>
      </c>
      <c r="R57" s="13">
        <f t="shared" si="5"/>
        <v>11.44</v>
      </c>
      <c r="S57">
        <f t="shared" si="1"/>
        <v>4.1999999999999968E-2</v>
      </c>
      <c r="T57" s="8">
        <f t="shared" si="6"/>
        <v>0.93910493223621694</v>
      </c>
      <c r="U57" s="8">
        <f t="shared" si="2"/>
        <v>0.54700105446814917</v>
      </c>
      <c r="V57">
        <f t="shared" si="3"/>
        <v>0.93910493223621694</v>
      </c>
      <c r="W57" s="71">
        <f t="shared" si="7"/>
        <v>80.000000000000355</v>
      </c>
      <c r="AA57">
        <v>53</v>
      </c>
      <c r="AB57">
        <v>1.002</v>
      </c>
    </row>
    <row r="58" spans="1:28" x14ac:dyDescent="0.25">
      <c r="A58" t="s">
        <v>44</v>
      </c>
      <c r="C58" s="72"/>
      <c r="F58" s="5"/>
      <c r="G58" s="3"/>
      <c r="H58" s="3"/>
      <c r="I58"/>
      <c r="J58"/>
      <c r="K58" s="3"/>
      <c r="M58"/>
      <c r="O58" s="3">
        <f t="shared" si="8"/>
        <v>53</v>
      </c>
      <c r="P58" s="13">
        <f t="shared" si="4"/>
        <v>-0.86451201679483258</v>
      </c>
      <c r="Q58" s="13">
        <f t="shared" si="0"/>
        <v>-8.7999999999999967E-2</v>
      </c>
      <c r="R58" s="13">
        <f t="shared" si="5"/>
        <v>11.66</v>
      </c>
      <c r="S58">
        <f t="shared" si="1"/>
        <v>3.7999999999999964E-2</v>
      </c>
      <c r="T58" s="8">
        <f t="shared" si="6"/>
        <v>0.94870209136385275</v>
      </c>
      <c r="U58" s="8">
        <f t="shared" si="2"/>
        <v>0.56600395027189776</v>
      </c>
      <c r="V58">
        <f t="shared" si="3"/>
        <v>0.94870209136385275</v>
      </c>
      <c r="W58" s="71">
        <f t="shared" si="7"/>
        <v>120.00000000000038</v>
      </c>
      <c r="AA58">
        <v>54</v>
      </c>
      <c r="AB58">
        <v>1.002</v>
      </c>
    </row>
    <row r="59" spans="1:28" x14ac:dyDescent="0.25">
      <c r="B59" t="s">
        <v>45</v>
      </c>
      <c r="C59" s="72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8"/>
        <v>54</v>
      </c>
      <c r="P59" s="13">
        <f t="shared" si="4"/>
        <v>-0.82521601603143102</v>
      </c>
      <c r="Q59" s="13">
        <f t="shared" si="0"/>
        <v>-8.3999999999999964E-2</v>
      </c>
      <c r="R59" s="13">
        <f t="shared" si="5"/>
        <v>11.88</v>
      </c>
      <c r="S59">
        <f t="shared" si="1"/>
        <v>3.3999999999999961E-2</v>
      </c>
      <c r="T59" s="8">
        <f t="shared" si="6"/>
        <v>0.95697967397317885</v>
      </c>
      <c r="U59" s="8">
        <f t="shared" si="2"/>
        <v>0.58722268165476321</v>
      </c>
      <c r="V59">
        <f t="shared" si="3"/>
        <v>0.95697967397317885</v>
      </c>
      <c r="W59" s="71">
        <f t="shared" si="7"/>
        <v>160.00000000000043</v>
      </c>
      <c r="AA59">
        <v>55</v>
      </c>
      <c r="AB59">
        <v>1.002</v>
      </c>
    </row>
    <row r="60" spans="1:28" x14ac:dyDescent="0.25">
      <c r="B60" t="s">
        <v>210</v>
      </c>
      <c r="C60" s="72" t="s">
        <v>47</v>
      </c>
      <c r="F60" s="5"/>
      <c r="G60" s="3"/>
      <c r="H60" s="3"/>
      <c r="I60"/>
      <c r="J60"/>
      <c r="K60" s="3"/>
      <c r="M60"/>
      <c r="O60" s="3">
        <f t="shared" si="8"/>
        <v>55</v>
      </c>
      <c r="P60" s="13">
        <f t="shared" si="4"/>
        <v>-0.7859200152680299</v>
      </c>
      <c r="Q60" s="13">
        <f t="shared" si="0"/>
        <v>-0.08</v>
      </c>
      <c r="R60" s="13">
        <f t="shared" si="5"/>
        <v>12.1</v>
      </c>
      <c r="S60">
        <f t="shared" si="1"/>
        <v>0.03</v>
      </c>
      <c r="T60" s="8">
        <f t="shared" si="6"/>
        <v>0.96405992516025951</v>
      </c>
      <c r="U60" s="8">
        <f t="shared" si="2"/>
        <v>0.61919724975454005</v>
      </c>
      <c r="V60">
        <f t="shared" si="3"/>
        <v>0.96405992516025951</v>
      </c>
      <c r="W60" s="71">
        <f t="shared" si="7"/>
        <v>200.00000000000003</v>
      </c>
      <c r="AA60">
        <v>56</v>
      </c>
      <c r="AB60">
        <v>1.002</v>
      </c>
    </row>
    <row r="61" spans="1:28" x14ac:dyDescent="0.25">
      <c r="B61" t="s">
        <v>48</v>
      </c>
      <c r="C61" s="72" t="s">
        <v>46</v>
      </c>
      <c r="F61" s="5"/>
      <c r="G61" s="3"/>
      <c r="H61" s="3"/>
      <c r="I61"/>
      <c r="J61"/>
      <c r="K61" s="3"/>
      <c r="M61"/>
      <c r="O61" s="3">
        <f t="shared" si="8"/>
        <v>56</v>
      </c>
      <c r="P61" s="13">
        <f t="shared" si="4"/>
        <v>-0.74662401450462834</v>
      </c>
      <c r="Q61" s="13">
        <f t="shared" si="0"/>
        <v>-7.5999999999999998E-2</v>
      </c>
      <c r="R61" s="13">
        <f t="shared" si="5"/>
        <v>12.32</v>
      </c>
      <c r="S61">
        <f t="shared" si="1"/>
        <v>2.5999999999999995E-2</v>
      </c>
      <c r="T61" s="8">
        <f t="shared" si="6"/>
        <v>0.97007301474983343</v>
      </c>
      <c r="U61" s="8">
        <f t="shared" si="2"/>
        <v>0.67597365575636192</v>
      </c>
      <c r="V61">
        <f t="shared" si="3"/>
        <v>0.97007301474983343</v>
      </c>
      <c r="W61" s="71">
        <f t="shared" si="7"/>
        <v>240.00000000000009</v>
      </c>
      <c r="AA61">
        <v>57</v>
      </c>
      <c r="AB61">
        <v>1.002</v>
      </c>
    </row>
    <row r="62" spans="1:28" x14ac:dyDescent="0.25">
      <c r="B62" t="s">
        <v>214</v>
      </c>
      <c r="C62" s="72">
        <v>4</v>
      </c>
      <c r="F62" s="5"/>
      <c r="G62" s="3"/>
      <c r="H62" s="3"/>
      <c r="I62"/>
      <c r="J62"/>
      <c r="K62" s="3"/>
      <c r="M62"/>
      <c r="O62" s="3">
        <f t="shared" si="8"/>
        <v>57</v>
      </c>
      <c r="P62" s="13">
        <f t="shared" si="4"/>
        <v>-0.70732801374122678</v>
      </c>
      <c r="Q62" s="13">
        <f t="shared" si="0"/>
        <v>-7.1999999999999981E-2</v>
      </c>
      <c r="R62" s="13">
        <f t="shared" si="5"/>
        <v>12.540000000000001</v>
      </c>
      <c r="S62">
        <f t="shared" si="1"/>
        <v>2.1999999999999978E-2</v>
      </c>
      <c r="T62" s="8">
        <f t="shared" si="6"/>
        <v>0.97514894256746842</v>
      </c>
      <c r="U62" s="8">
        <f t="shared" si="2"/>
        <v>0.7652335911662782</v>
      </c>
      <c r="V62">
        <f t="shared" si="3"/>
        <v>0.97514894256746842</v>
      </c>
      <c r="W62" s="71">
        <f t="shared" si="7"/>
        <v>280.00000000000023</v>
      </c>
      <c r="AA62">
        <v>58</v>
      </c>
      <c r="AB62">
        <v>1.002</v>
      </c>
    </row>
    <row r="63" spans="1:28" x14ac:dyDescent="0.25">
      <c r="B63" t="s">
        <v>49</v>
      </c>
      <c r="C63" s="72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8"/>
        <v>58</v>
      </c>
      <c r="P63" s="13">
        <f t="shared" si="4"/>
        <v>-0.66803201297782522</v>
      </c>
      <c r="Q63" s="13">
        <f t="shared" si="0"/>
        <v>-6.7999999999999977E-2</v>
      </c>
      <c r="R63" s="13">
        <f t="shared" si="5"/>
        <v>12.76</v>
      </c>
      <c r="S63">
        <f t="shared" si="1"/>
        <v>1.7999999999999974E-2</v>
      </c>
      <c r="T63" s="8">
        <f t="shared" si="6"/>
        <v>0.97941190427888958</v>
      </c>
      <c r="U63" s="8">
        <f t="shared" si="2"/>
        <v>0.86337940282343273</v>
      </c>
      <c r="V63">
        <f t="shared" si="3"/>
        <v>0.97941190427888958</v>
      </c>
      <c r="W63" s="71">
        <f t="shared" si="7"/>
        <v>320.00000000000028</v>
      </c>
      <c r="AA63">
        <v>59</v>
      </c>
      <c r="AB63">
        <v>1.002</v>
      </c>
    </row>
    <row r="64" spans="1:28" x14ac:dyDescent="0.25">
      <c r="B64" t="s">
        <v>50</v>
      </c>
      <c r="C64" s="72" t="s">
        <v>46</v>
      </c>
      <c r="F64" s="5"/>
      <c r="G64" s="3"/>
      <c r="H64" s="3"/>
      <c r="I64"/>
      <c r="J64"/>
      <c r="K64" s="3"/>
      <c r="M64"/>
      <c r="O64" s="3">
        <f t="shared" si="8"/>
        <v>59</v>
      </c>
      <c r="P64" s="13">
        <f t="shared" si="4"/>
        <v>-0.62873601221442366</v>
      </c>
      <c r="Q64" s="13">
        <f t="shared" si="0"/>
        <v>-6.3999999999999974E-2</v>
      </c>
      <c r="R64" s="13">
        <f t="shared" si="5"/>
        <v>12.98</v>
      </c>
      <c r="S64">
        <f t="shared" si="1"/>
        <v>1.3999999999999971E-2</v>
      </c>
      <c r="T64" s="8">
        <f t="shared" si="6"/>
        <v>0.9829767578150661</v>
      </c>
      <c r="U64" s="8">
        <f t="shared" si="2"/>
        <v>0.93375645615595704</v>
      </c>
      <c r="V64">
        <f t="shared" si="3"/>
        <v>0.9829767578150661</v>
      </c>
      <c r="W64" s="71">
        <f t="shared" si="7"/>
        <v>360.00000000000034</v>
      </c>
      <c r="AA64">
        <v>60</v>
      </c>
      <c r="AB64">
        <v>1.002</v>
      </c>
    </row>
    <row r="65" spans="1:28" x14ac:dyDescent="0.25">
      <c r="B65" t="s">
        <v>51</v>
      </c>
      <c r="C65" s="72" t="s">
        <v>46</v>
      </c>
      <c r="F65" s="5"/>
      <c r="G65" s="3"/>
      <c r="H65" s="3"/>
      <c r="I65"/>
      <c r="J65"/>
      <c r="K65" s="3"/>
      <c r="M65"/>
      <c r="O65" s="3">
        <f t="shared" si="8"/>
        <v>60</v>
      </c>
      <c r="P65" s="13">
        <f t="shared" si="4"/>
        <v>-0.58944001145102209</v>
      </c>
      <c r="Q65" s="13">
        <f t="shared" si="0"/>
        <v>-5.9999999999999963E-2</v>
      </c>
      <c r="R65" s="13">
        <f t="shared" si="5"/>
        <v>13.2</v>
      </c>
      <c r="S65">
        <f t="shared" si="1"/>
        <v>9.9999999999999603E-3</v>
      </c>
      <c r="T65" s="8">
        <f t="shared" si="6"/>
        <v>0.98594714115131987</v>
      </c>
      <c r="U65" s="8">
        <f t="shared" si="2"/>
        <v>0.97028598813706002</v>
      </c>
      <c r="V65">
        <f t="shared" si="3"/>
        <v>0.98594714115131987</v>
      </c>
      <c r="W65" s="71">
        <f t="shared" si="7"/>
        <v>400.0000000000004</v>
      </c>
      <c r="AA65">
        <v>61</v>
      </c>
      <c r="AB65">
        <v>1.002</v>
      </c>
    </row>
    <row r="66" spans="1:28" x14ac:dyDescent="0.25">
      <c r="B66" t="s">
        <v>52</v>
      </c>
      <c r="C66" s="72" t="s">
        <v>47</v>
      </c>
      <c r="F66" s="5"/>
      <c r="G66" s="3"/>
      <c r="H66" s="3"/>
      <c r="I66"/>
      <c r="J66"/>
      <c r="K66" s="3"/>
      <c r="M66"/>
      <c r="O66" s="3">
        <f t="shared" si="8"/>
        <v>61</v>
      </c>
      <c r="P66" s="13">
        <f t="shared" si="4"/>
        <v>-0.55014401068762098</v>
      </c>
      <c r="Q66" s="13">
        <f t="shared" si="0"/>
        <v>-5.6000000000000008E-2</v>
      </c>
      <c r="R66" s="13">
        <f t="shared" si="5"/>
        <v>13.42</v>
      </c>
      <c r="S66">
        <f t="shared" si="1"/>
        <v>6.0000000000000053E-3</v>
      </c>
      <c r="T66" s="8">
        <f t="shared" si="6"/>
        <v>0.98841479956734091</v>
      </c>
      <c r="U66" s="8">
        <f t="shared" si="2"/>
        <v>0.98640686959530388</v>
      </c>
      <c r="V66">
        <f t="shared" si="3"/>
        <v>0.98841479956734091</v>
      </c>
      <c r="W66" s="71">
        <f t="shared" si="7"/>
        <v>440</v>
      </c>
      <c r="AA66">
        <v>62</v>
      </c>
      <c r="AB66">
        <v>1.002</v>
      </c>
    </row>
    <row r="67" spans="1:28" x14ac:dyDescent="0.25">
      <c r="B67" t="s">
        <v>53</v>
      </c>
      <c r="C67" s="72" t="s">
        <v>47</v>
      </c>
      <c r="F67" s="5"/>
      <c r="G67" s="3"/>
      <c r="H67" s="3"/>
      <c r="I67"/>
      <c r="J67"/>
      <c r="K67" s="3"/>
      <c r="M67"/>
      <c r="O67" s="3">
        <f t="shared" si="8"/>
        <v>62</v>
      </c>
      <c r="P67" s="13">
        <f t="shared" si="4"/>
        <v>-0.51084800992421942</v>
      </c>
      <c r="Q67" s="13">
        <f t="shared" si="0"/>
        <v>-5.1999999999999998E-2</v>
      </c>
      <c r="R67" s="13">
        <f t="shared" si="5"/>
        <v>13.64</v>
      </c>
      <c r="S67">
        <f t="shared" si="1"/>
        <v>1.9999999999999948E-3</v>
      </c>
      <c r="T67" s="8">
        <f t="shared" si="6"/>
        <v>0.99045973898055917</v>
      </c>
      <c r="U67" s="8">
        <f t="shared" si="2"/>
        <v>0.99324142671724636</v>
      </c>
      <c r="V67">
        <f t="shared" si="3"/>
        <v>0.99045973898055917</v>
      </c>
      <c r="W67" s="71">
        <f t="shared" si="7"/>
        <v>480.00000000000006</v>
      </c>
      <c r="AA67">
        <v>63</v>
      </c>
      <c r="AB67">
        <v>1.002</v>
      </c>
    </row>
    <row r="68" spans="1:28" x14ac:dyDescent="0.25">
      <c r="B68" t="s">
        <v>54</v>
      </c>
      <c r="C68" s="72" t="s">
        <v>47</v>
      </c>
      <c r="F68" s="5"/>
      <c r="G68" s="3"/>
      <c r="H68" s="3"/>
      <c r="I68"/>
      <c r="J68"/>
      <c r="K68" s="3"/>
      <c r="M68"/>
      <c r="O68" s="3">
        <f t="shared" si="8"/>
        <v>63</v>
      </c>
      <c r="P68" s="13">
        <f t="shared" si="4"/>
        <v>-0.47155200916081785</v>
      </c>
      <c r="Q68" s="13">
        <f t="shared" si="0"/>
        <v>-4.7999999999999994E-2</v>
      </c>
      <c r="R68" s="13">
        <f t="shared" si="5"/>
        <v>13.86</v>
      </c>
      <c r="S68">
        <f t="shared" si="1"/>
        <v>2.0000000000000087E-3</v>
      </c>
      <c r="T68" s="8">
        <f t="shared" si="6"/>
        <v>0.99045973898055917</v>
      </c>
      <c r="U68" s="8">
        <f t="shared" si="2"/>
        <v>0.99324142671724636</v>
      </c>
      <c r="V68">
        <f t="shared" si="3"/>
        <v>0.99324142671724636</v>
      </c>
      <c r="W68" s="71">
        <f t="shared" si="7"/>
        <v>520.00000000000011</v>
      </c>
      <c r="AA68">
        <v>64</v>
      </c>
      <c r="AB68">
        <v>1.002</v>
      </c>
    </row>
    <row r="69" spans="1:28" x14ac:dyDescent="0.25">
      <c r="B69" t="s">
        <v>55</v>
      </c>
      <c r="C69" s="72" t="s">
        <v>46</v>
      </c>
      <c r="F69" s="5"/>
      <c r="G69" s="3"/>
      <c r="H69" s="3"/>
      <c r="I69"/>
      <c r="J69"/>
      <c r="K69" s="3"/>
      <c r="M69"/>
      <c r="O69" s="3">
        <f t="shared" si="8"/>
        <v>64</v>
      </c>
      <c r="P69" s="13">
        <f t="shared" si="4"/>
        <v>-0.43225600839741629</v>
      </c>
      <c r="Q69" s="13">
        <f t="shared" ref="Q69:Q106" si="9">P69*$G$18</f>
        <v>-4.3999999999999984E-2</v>
      </c>
      <c r="R69" s="13">
        <f t="shared" si="5"/>
        <v>14.08</v>
      </c>
      <c r="S69">
        <f t="shared" ref="S69:S106" si="10">ABS(Q69-$K$38)</f>
        <v>6.0000000000000192E-3</v>
      </c>
      <c r="T69" s="8">
        <f t="shared" si="6"/>
        <v>0.98841479956734091</v>
      </c>
      <c r="U69" s="8">
        <f t="shared" ref="U69:U132" si="11">$K$39/(1+EXP(($S69-$L$39)/$M$39))+$K$40/(1+EXP(($S69-$L$40)/$M$40))+$K$41/(1+EXP(($S69-$L$41)/$M$41))+$K$42/(1+EXP(($S69-$L$42)/$M$42))</f>
        <v>0.98640686959530388</v>
      </c>
      <c r="V69">
        <f t="shared" ref="V69:V106" si="12">IF(Q69-$K$38&gt;0,U69,T69)</f>
        <v>0.98640686959530388</v>
      </c>
      <c r="W69" s="71">
        <f t="shared" si="7"/>
        <v>560.00000000000023</v>
      </c>
      <c r="AA69">
        <v>65</v>
      </c>
      <c r="AB69">
        <v>1.002</v>
      </c>
    </row>
    <row r="70" spans="1:28" x14ac:dyDescent="0.25">
      <c r="B70" t="s">
        <v>56</v>
      </c>
      <c r="C70" s="72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8"/>
        <v>65</v>
      </c>
      <c r="P70" s="13">
        <f t="shared" ref="P70:P106" si="13">$C$24*O70+$C$21</f>
        <v>-0.39296000763401473</v>
      </c>
      <c r="Q70" s="13">
        <f t="shared" si="9"/>
        <v>-3.999999999999998E-2</v>
      </c>
      <c r="R70" s="13">
        <f t="shared" ref="R70:R106" si="14">$S$3*O70</f>
        <v>14.3</v>
      </c>
      <c r="S70">
        <f t="shared" si="10"/>
        <v>1.0000000000000023E-2</v>
      </c>
      <c r="T70" s="8">
        <f t="shared" ref="T70:T133" si="15">$K$34/(1+EXP(($S70-$L$34)/$M$34))+$K$35/(1+EXP(($S70-$L$35)/$M$35))+$K$36/(1+EXP(($S70-$L$36)/$M$36))+$K$37/(1+EXP(($S70-$L$37)/$M$37))</f>
        <v>0.98594714115131987</v>
      </c>
      <c r="U70" s="8">
        <f t="shared" si="11"/>
        <v>0.97028598813705957</v>
      </c>
      <c r="V70">
        <f t="shared" si="12"/>
        <v>0.97028598813705957</v>
      </c>
      <c r="W70" s="71">
        <f t="shared" ref="W70:W106" si="16">(Q70+W$3)*10000</f>
        <v>600.00000000000023</v>
      </c>
      <c r="AA70">
        <v>66</v>
      </c>
      <c r="AB70">
        <v>1.002</v>
      </c>
    </row>
    <row r="71" spans="1:28" x14ac:dyDescent="0.25">
      <c r="B71" t="s">
        <v>57</v>
      </c>
      <c r="C71" s="72" t="s">
        <v>46</v>
      </c>
      <c r="F71" s="5"/>
      <c r="G71" s="3"/>
      <c r="H71" s="3"/>
      <c r="I71"/>
      <c r="J71"/>
      <c r="K71" s="3"/>
      <c r="M71"/>
      <c r="O71" s="3">
        <f t="shared" si="8"/>
        <v>66</v>
      </c>
      <c r="P71" s="13">
        <f t="shared" si="13"/>
        <v>-0.35366400687061317</v>
      </c>
      <c r="Q71" s="13">
        <f t="shared" si="9"/>
        <v>-3.599999999999997E-2</v>
      </c>
      <c r="R71" s="13">
        <f t="shared" si="14"/>
        <v>14.52</v>
      </c>
      <c r="S71">
        <f t="shared" si="10"/>
        <v>1.4000000000000033E-2</v>
      </c>
      <c r="T71" s="8">
        <f t="shared" si="15"/>
        <v>0.9829767578150661</v>
      </c>
      <c r="U71" s="8">
        <f t="shared" si="11"/>
        <v>0.93375645615595637</v>
      </c>
      <c r="V71">
        <f t="shared" si="12"/>
        <v>0.93375645615595637</v>
      </c>
      <c r="W71" s="71">
        <f t="shared" si="16"/>
        <v>640.00000000000034</v>
      </c>
      <c r="AA71">
        <v>67</v>
      </c>
      <c r="AB71">
        <v>1.002</v>
      </c>
    </row>
    <row r="72" spans="1:28" x14ac:dyDescent="0.25">
      <c r="B72" t="s">
        <v>58</v>
      </c>
      <c r="C72" s="72" t="s">
        <v>46</v>
      </c>
      <c r="F72" s="5"/>
      <c r="G72" s="3"/>
      <c r="H72" s="3"/>
      <c r="I72"/>
      <c r="J72"/>
      <c r="K72" s="3"/>
      <c r="M72"/>
      <c r="O72" s="3">
        <f t="shared" ref="O72:O135" si="17">O71+1</f>
        <v>67</v>
      </c>
      <c r="P72" s="13">
        <f t="shared" si="13"/>
        <v>-0.31436800610721161</v>
      </c>
      <c r="Q72" s="13">
        <f t="shared" si="9"/>
        <v>-3.1999999999999966E-2</v>
      </c>
      <c r="R72" s="13">
        <f t="shared" si="14"/>
        <v>14.74</v>
      </c>
      <c r="S72">
        <f t="shared" si="10"/>
        <v>1.8000000000000037E-2</v>
      </c>
      <c r="T72" s="8">
        <f t="shared" si="15"/>
        <v>0.97941190427888947</v>
      </c>
      <c r="U72" s="8">
        <f t="shared" si="11"/>
        <v>0.8633794028234314</v>
      </c>
      <c r="V72">
        <f t="shared" si="12"/>
        <v>0.8633794028234314</v>
      </c>
      <c r="W72" s="71">
        <f t="shared" si="16"/>
        <v>680.00000000000034</v>
      </c>
      <c r="AA72">
        <v>68</v>
      </c>
      <c r="AB72">
        <v>1.002</v>
      </c>
    </row>
    <row r="73" spans="1:28" x14ac:dyDescent="0.25">
      <c r="B73" t="s">
        <v>59</v>
      </c>
      <c r="C73" s="72" t="s">
        <v>46</v>
      </c>
      <c r="F73" s="5"/>
      <c r="G73" s="3"/>
      <c r="H73" s="3"/>
      <c r="I73"/>
      <c r="J73"/>
      <c r="K73" s="3"/>
      <c r="M73"/>
      <c r="O73" s="3">
        <f t="shared" si="17"/>
        <v>68</v>
      </c>
      <c r="P73" s="13">
        <f t="shared" si="13"/>
        <v>-0.27507200534381049</v>
      </c>
      <c r="Q73" s="13">
        <f t="shared" si="9"/>
        <v>-2.8000000000000004E-2</v>
      </c>
      <c r="R73" s="13">
        <f t="shared" si="14"/>
        <v>14.96</v>
      </c>
      <c r="S73">
        <f t="shared" si="10"/>
        <v>2.1999999999999999E-2</v>
      </c>
      <c r="T73" s="8">
        <f t="shared" si="15"/>
        <v>0.97514894256746842</v>
      </c>
      <c r="U73" s="8">
        <f t="shared" si="11"/>
        <v>0.76523359116627754</v>
      </c>
      <c r="V73">
        <f t="shared" si="12"/>
        <v>0.76523359116627754</v>
      </c>
      <c r="W73" s="71">
        <f t="shared" si="16"/>
        <v>720.00000000000011</v>
      </c>
      <c r="AA73">
        <v>69</v>
      </c>
      <c r="AB73">
        <v>1.002</v>
      </c>
    </row>
    <row r="74" spans="1:28" x14ac:dyDescent="0.25">
      <c r="A74" t="s">
        <v>43</v>
      </c>
      <c r="C74" s="72"/>
      <c r="F74" s="5"/>
      <c r="G74" s="3">
        <f>1/1.1^2</f>
        <v>0.82644628099173545</v>
      </c>
      <c r="H74" s="3"/>
      <c r="I74"/>
      <c r="J74"/>
      <c r="K74" s="3"/>
      <c r="M74"/>
      <c r="O74" s="3">
        <f t="shared" si="17"/>
        <v>69</v>
      </c>
      <c r="P74" s="13">
        <f t="shared" si="13"/>
        <v>-0.23577600458040893</v>
      </c>
      <c r="Q74" s="13">
        <f t="shared" si="9"/>
        <v>-2.3999999999999997E-2</v>
      </c>
      <c r="R74" s="13">
        <f t="shared" si="14"/>
        <v>15.18</v>
      </c>
      <c r="S74">
        <f t="shared" si="10"/>
        <v>2.6000000000000006E-2</v>
      </c>
      <c r="T74" s="8">
        <f t="shared" si="15"/>
        <v>0.97007301474983343</v>
      </c>
      <c r="U74" s="8">
        <f t="shared" si="11"/>
        <v>0.67597365575636181</v>
      </c>
      <c r="V74">
        <f t="shared" si="12"/>
        <v>0.67597365575636181</v>
      </c>
      <c r="W74" s="71">
        <f t="shared" si="16"/>
        <v>760.00000000000011</v>
      </c>
      <c r="AA74">
        <v>70</v>
      </c>
      <c r="AB74">
        <v>1.002</v>
      </c>
    </row>
    <row r="75" spans="1:28" x14ac:dyDescent="0.25">
      <c r="C75" s="72"/>
      <c r="F75" s="5"/>
      <c r="G75" s="3">
        <f>1/0.9^2</f>
        <v>1.2345679012345678</v>
      </c>
      <c r="H75" s="3"/>
      <c r="I75"/>
      <c r="J75"/>
      <c r="K75" s="3"/>
      <c r="M75"/>
      <c r="O75" s="3">
        <f t="shared" si="17"/>
        <v>70</v>
      </c>
      <c r="P75" s="13">
        <f t="shared" si="13"/>
        <v>-0.19648000381700736</v>
      </c>
      <c r="Q75" s="13">
        <f t="shared" si="9"/>
        <v>-1.999999999999999E-2</v>
      </c>
      <c r="R75" s="13">
        <f t="shared" si="14"/>
        <v>15.4</v>
      </c>
      <c r="S75">
        <f t="shared" si="10"/>
        <v>3.0000000000000013E-2</v>
      </c>
      <c r="T75" s="8">
        <f t="shared" si="15"/>
        <v>0.96405992516025951</v>
      </c>
      <c r="U75" s="8">
        <f t="shared" si="11"/>
        <v>0.61919724975453994</v>
      </c>
      <c r="V75">
        <f t="shared" si="12"/>
        <v>0.61919724975453994</v>
      </c>
      <c r="W75" s="71">
        <f t="shared" si="16"/>
        <v>800.00000000000011</v>
      </c>
      <c r="AA75">
        <v>71</v>
      </c>
      <c r="AB75">
        <v>1.002</v>
      </c>
    </row>
    <row r="76" spans="1:28" x14ac:dyDescent="0.25">
      <c r="A76" t="s">
        <v>60</v>
      </c>
      <c r="C76" s="72"/>
      <c r="F76" s="5"/>
      <c r="G76" s="3">
        <f>G75-G74</f>
        <v>0.40812162024283238</v>
      </c>
      <c r="H76" s="3"/>
      <c r="I76"/>
      <c r="J76"/>
      <c r="K76" s="3"/>
      <c r="M76"/>
      <c r="O76" s="3">
        <f t="shared" si="17"/>
        <v>71</v>
      </c>
      <c r="P76" s="13">
        <f t="shared" si="13"/>
        <v>-0.1571840030536058</v>
      </c>
      <c r="Q76" s="13">
        <f t="shared" si="9"/>
        <v>-1.5999999999999983E-2</v>
      </c>
      <c r="R76" s="13">
        <f t="shared" si="14"/>
        <v>15.62</v>
      </c>
      <c r="S76">
        <f t="shared" si="10"/>
        <v>3.4000000000000016E-2</v>
      </c>
      <c r="T76" s="8">
        <f t="shared" si="15"/>
        <v>0.95697967397317873</v>
      </c>
      <c r="U76" s="8">
        <f t="shared" si="11"/>
        <v>0.58722268165476277</v>
      </c>
      <c r="V76">
        <f t="shared" si="12"/>
        <v>0.58722268165476277</v>
      </c>
      <c r="W76" s="71">
        <f t="shared" si="16"/>
        <v>840.00000000000023</v>
      </c>
      <c r="AA76">
        <v>72</v>
      </c>
      <c r="AB76">
        <v>1.002</v>
      </c>
    </row>
    <row r="77" spans="1:28" x14ac:dyDescent="0.25">
      <c r="B77" t="s">
        <v>136</v>
      </c>
      <c r="C77" s="72">
        <v>0.8</v>
      </c>
      <c r="F77" s="5"/>
      <c r="G77" s="3"/>
      <c r="H77" s="3"/>
      <c r="I77"/>
      <c r="J77"/>
      <c r="K77" s="3"/>
      <c r="M77"/>
      <c r="O77" s="3">
        <f t="shared" si="17"/>
        <v>72</v>
      </c>
      <c r="P77" s="13">
        <f t="shared" si="13"/>
        <v>-0.11788800229020424</v>
      </c>
      <c r="Q77" s="13">
        <f t="shared" si="9"/>
        <v>-1.1999999999999976E-2</v>
      </c>
      <c r="R77" s="13">
        <f t="shared" si="14"/>
        <v>15.84</v>
      </c>
      <c r="S77">
        <f t="shared" si="10"/>
        <v>3.8000000000000027E-2</v>
      </c>
      <c r="T77" s="8">
        <f t="shared" si="15"/>
        <v>0.94870209136385264</v>
      </c>
      <c r="U77" s="8">
        <f t="shared" si="11"/>
        <v>0.56600395027189754</v>
      </c>
      <c r="V77">
        <f t="shared" si="12"/>
        <v>0.56600395027189754</v>
      </c>
      <c r="W77" s="71">
        <f t="shared" si="16"/>
        <v>880.00000000000023</v>
      </c>
      <c r="AA77">
        <v>73</v>
      </c>
      <c r="AB77">
        <v>1.002</v>
      </c>
    </row>
    <row r="78" spans="1:28" x14ac:dyDescent="0.25">
      <c r="A78" t="s">
        <v>43</v>
      </c>
      <c r="C78" s="72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17"/>
        <v>73</v>
      </c>
      <c r="P78" s="13">
        <f t="shared" si="13"/>
        <v>-7.8592001526802679E-2</v>
      </c>
      <c r="Q78" s="13">
        <f t="shared" si="9"/>
        <v>-7.9999999999999689E-3</v>
      </c>
      <c r="R78" s="13">
        <f t="shared" si="14"/>
        <v>16.059999999999999</v>
      </c>
      <c r="S78">
        <f t="shared" si="10"/>
        <v>4.2000000000000037E-2</v>
      </c>
      <c r="T78" s="8">
        <f t="shared" si="15"/>
        <v>0.93910493223621683</v>
      </c>
      <c r="U78" s="8">
        <f t="shared" si="11"/>
        <v>0.54700105446814873</v>
      </c>
      <c r="V78">
        <f t="shared" si="12"/>
        <v>0.54700105446814873</v>
      </c>
      <c r="W78" s="71">
        <f t="shared" si="16"/>
        <v>920.00000000000045</v>
      </c>
      <c r="AA78">
        <v>74</v>
      </c>
      <c r="AB78">
        <v>1.002</v>
      </c>
    </row>
    <row r="79" spans="1:28" x14ac:dyDescent="0.25">
      <c r="C79" s="72"/>
      <c r="F79" s="5"/>
      <c r="G79" s="3"/>
      <c r="H79" s="3"/>
      <c r="I79"/>
      <c r="J79"/>
      <c r="K79" s="3"/>
      <c r="M79"/>
      <c r="O79" s="3">
        <f t="shared" si="17"/>
        <v>74</v>
      </c>
      <c r="P79" s="13">
        <f t="shared" si="13"/>
        <v>-3.9296000763401562E-2</v>
      </c>
      <c r="Q79" s="13">
        <f t="shared" si="9"/>
        <v>-4.000000000000007E-3</v>
      </c>
      <c r="R79" s="13">
        <f t="shared" si="14"/>
        <v>16.28</v>
      </c>
      <c r="S79">
        <f t="shared" si="10"/>
        <v>4.5999999999999999E-2</v>
      </c>
      <c r="T79" s="8">
        <f t="shared" si="15"/>
        <v>0.92808455216566443</v>
      </c>
      <c r="U79" s="8">
        <f t="shared" si="11"/>
        <v>0.52617090015982682</v>
      </c>
      <c r="V79">
        <f t="shared" si="12"/>
        <v>0.52617090015982682</v>
      </c>
      <c r="W79" s="71">
        <f t="shared" si="16"/>
        <v>960</v>
      </c>
      <c r="AA79">
        <v>75</v>
      </c>
      <c r="AB79">
        <v>1.002</v>
      </c>
    </row>
    <row r="80" spans="1:28" x14ac:dyDescent="0.25">
      <c r="A80" t="s">
        <v>61</v>
      </c>
      <c r="C80" s="72"/>
      <c r="F80" s="5"/>
      <c r="G80" s="3"/>
      <c r="H80" s="3"/>
      <c r="I80"/>
      <c r="J80"/>
      <c r="K80" s="3"/>
      <c r="M80"/>
      <c r="O80" s="3">
        <f t="shared" si="17"/>
        <v>75</v>
      </c>
      <c r="P80" s="13">
        <f t="shared" si="13"/>
        <v>0</v>
      </c>
      <c r="Q80" s="13">
        <f t="shared" si="9"/>
        <v>0</v>
      </c>
      <c r="R80" s="13">
        <f t="shared" si="14"/>
        <v>16.5</v>
      </c>
      <c r="S80">
        <f t="shared" si="10"/>
        <v>0.05</v>
      </c>
      <c r="T80" s="8">
        <f t="shared" si="15"/>
        <v>0.91556885042749891</v>
      </c>
      <c r="U80" s="8">
        <f t="shared" si="11"/>
        <v>0.50170686867978098</v>
      </c>
      <c r="V80">
        <f t="shared" si="12"/>
        <v>0.50170686867978098</v>
      </c>
      <c r="W80" s="71">
        <f t="shared" si="16"/>
        <v>1000</v>
      </c>
      <c r="AA80">
        <v>76</v>
      </c>
      <c r="AB80">
        <v>1.002</v>
      </c>
    </row>
    <row r="81" spans="2:28" x14ac:dyDescent="0.25">
      <c r="C81" s="72"/>
      <c r="F81" s="5"/>
      <c r="G81" s="3"/>
      <c r="H81" s="3"/>
      <c r="I81"/>
      <c r="J81"/>
      <c r="K81" s="3"/>
      <c r="M81"/>
      <c r="O81" s="3">
        <f t="shared" si="17"/>
        <v>76</v>
      </c>
      <c r="P81" s="13">
        <f t="shared" si="13"/>
        <v>3.9296000763401562E-2</v>
      </c>
      <c r="Q81" s="13">
        <f t="shared" si="9"/>
        <v>4.000000000000007E-3</v>
      </c>
      <c r="R81" s="13">
        <f t="shared" si="14"/>
        <v>16.72</v>
      </c>
      <c r="S81">
        <f t="shared" si="10"/>
        <v>5.4000000000000006E-2</v>
      </c>
      <c r="T81" s="8">
        <f t="shared" si="15"/>
        <v>0.90153152811268067</v>
      </c>
      <c r="U81" s="8">
        <f t="shared" si="11"/>
        <v>0.47291925764872655</v>
      </c>
      <c r="V81">
        <f t="shared" si="12"/>
        <v>0.47291925764872655</v>
      </c>
      <c r="W81" s="71">
        <f t="shared" si="16"/>
        <v>1040</v>
      </c>
      <c r="AA81">
        <v>77</v>
      </c>
      <c r="AB81">
        <v>1.002</v>
      </c>
    </row>
    <row r="82" spans="2:28" x14ac:dyDescent="0.25">
      <c r="B82" t="s">
        <v>62</v>
      </c>
      <c r="C82" s="72" t="s">
        <v>47</v>
      </c>
      <c r="F82" s="5"/>
      <c r="G82" s="3"/>
      <c r="H82" s="3"/>
      <c r="I82"/>
      <c r="J82"/>
      <c r="K82" s="3"/>
      <c r="M82"/>
      <c r="O82" s="3">
        <f t="shared" si="17"/>
        <v>77</v>
      </c>
      <c r="P82" s="13">
        <f t="shared" si="13"/>
        <v>7.8592001526803124E-2</v>
      </c>
      <c r="Q82" s="13">
        <f t="shared" si="9"/>
        <v>8.000000000000014E-3</v>
      </c>
      <c r="R82" s="13">
        <f t="shared" si="14"/>
        <v>16.940000000000001</v>
      </c>
      <c r="S82">
        <f t="shared" si="10"/>
        <v>5.8000000000000017E-2</v>
      </c>
      <c r="T82" s="8">
        <f t="shared" si="15"/>
        <v>0.8860059376364311</v>
      </c>
      <c r="U82" s="8">
        <f t="shared" si="11"/>
        <v>0.43983107102879754</v>
      </c>
      <c r="V82">
        <f t="shared" si="12"/>
        <v>0.43983107102879754</v>
      </c>
      <c r="W82" s="71">
        <f t="shared" si="16"/>
        <v>1080.0000000000002</v>
      </c>
      <c r="AA82">
        <v>78</v>
      </c>
      <c r="AB82">
        <v>1.002</v>
      </c>
    </row>
    <row r="83" spans="2:28" x14ac:dyDescent="0.25">
      <c r="B83" t="s">
        <v>63</v>
      </c>
      <c r="C83" s="72" t="s">
        <v>46</v>
      </c>
      <c r="F83" s="5"/>
      <c r="G83" s="3"/>
      <c r="H83" s="3"/>
      <c r="I83"/>
      <c r="J83"/>
      <c r="K83" s="3"/>
      <c r="M83"/>
      <c r="O83" s="3">
        <f t="shared" si="17"/>
        <v>78</v>
      </c>
      <c r="P83" s="13">
        <f t="shared" si="13"/>
        <v>0.11788800229020469</v>
      </c>
      <c r="Q83" s="13">
        <f t="shared" si="9"/>
        <v>1.2000000000000021E-2</v>
      </c>
      <c r="R83" s="13">
        <f t="shared" si="14"/>
        <v>17.16</v>
      </c>
      <c r="S83">
        <f t="shared" si="10"/>
        <v>6.2000000000000027E-2</v>
      </c>
      <c r="T83" s="8">
        <f t="shared" si="15"/>
        <v>0.8690960727257051</v>
      </c>
      <c r="U83" s="8">
        <f t="shared" si="11"/>
        <v>0.40290791374445756</v>
      </c>
      <c r="V83">
        <f t="shared" si="12"/>
        <v>0.40290791374445756</v>
      </c>
      <c r="W83" s="71">
        <f t="shared" si="16"/>
        <v>1120.0000000000002</v>
      </c>
      <c r="AA83">
        <v>79</v>
      </c>
      <c r="AB83">
        <v>1.002</v>
      </c>
    </row>
    <row r="84" spans="2:28" x14ac:dyDescent="0.25">
      <c r="B84" t="s">
        <v>64</v>
      </c>
      <c r="C84" s="72" t="s">
        <v>46</v>
      </c>
      <c r="F84" s="5"/>
      <c r="G84" s="3"/>
      <c r="H84" s="3"/>
      <c r="I84"/>
      <c r="J84"/>
      <c r="K84" s="3"/>
      <c r="M84"/>
      <c r="O84" s="3">
        <f t="shared" si="17"/>
        <v>79</v>
      </c>
      <c r="P84" s="13">
        <f t="shared" si="13"/>
        <v>0.15718400305360625</v>
      </c>
      <c r="Q84" s="13">
        <f t="shared" si="9"/>
        <v>1.6000000000000028E-2</v>
      </c>
      <c r="R84" s="13">
        <f t="shared" si="14"/>
        <v>17.38</v>
      </c>
      <c r="S84">
        <f t="shared" si="10"/>
        <v>6.6000000000000031E-2</v>
      </c>
      <c r="T84" s="8">
        <f t="shared" si="15"/>
        <v>0.85098184700511592</v>
      </c>
      <c r="U84" s="8">
        <f t="shared" si="11"/>
        <v>0.36214823244982519</v>
      </c>
      <c r="V84">
        <f t="shared" si="12"/>
        <v>0.36214823244982519</v>
      </c>
      <c r="W84" s="71">
        <f t="shared" si="16"/>
        <v>1160.0000000000002</v>
      </c>
      <c r="AA84">
        <v>80</v>
      </c>
      <c r="AB84">
        <v>1.002</v>
      </c>
    </row>
    <row r="85" spans="2:28" x14ac:dyDescent="0.25">
      <c r="B85" t="s">
        <v>65</v>
      </c>
      <c r="C85" s="72" t="s">
        <v>46</v>
      </c>
      <c r="F85" s="5"/>
      <c r="G85" s="3"/>
      <c r="H85" s="3"/>
      <c r="I85"/>
      <c r="J85"/>
      <c r="K85" s="3"/>
      <c r="M85"/>
      <c r="O85" s="3">
        <f t="shared" si="17"/>
        <v>80</v>
      </c>
      <c r="P85" s="13">
        <f t="shared" si="13"/>
        <v>0.19648000381700781</v>
      </c>
      <c r="Q85" s="13">
        <f t="shared" si="9"/>
        <v>2.0000000000000035E-2</v>
      </c>
      <c r="R85" s="13">
        <f t="shared" si="14"/>
        <v>17.600000000000001</v>
      </c>
      <c r="S85">
        <f t="shared" si="10"/>
        <v>7.0000000000000034E-2</v>
      </c>
      <c r="T85" s="8">
        <f t="shared" si="15"/>
        <v>0.83191604453318968</v>
      </c>
      <c r="U85" s="8">
        <f t="shared" si="11"/>
        <v>0.31378838119987407</v>
      </c>
      <c r="V85">
        <f t="shared" si="12"/>
        <v>0.31378838119987407</v>
      </c>
      <c r="W85" s="71">
        <f t="shared" si="16"/>
        <v>1200.0000000000005</v>
      </c>
      <c r="AA85">
        <v>81</v>
      </c>
      <c r="AB85">
        <v>1.002</v>
      </c>
    </row>
    <row r="86" spans="2:28" x14ac:dyDescent="0.25">
      <c r="B86" t="s">
        <v>211</v>
      </c>
      <c r="C86" s="72">
        <v>2</v>
      </c>
      <c r="F86" s="5"/>
      <c r="G86" s="3"/>
      <c r="H86" s="3"/>
      <c r="I86"/>
      <c r="J86"/>
      <c r="K86" s="3"/>
      <c r="M86"/>
      <c r="O86" s="3">
        <f t="shared" si="17"/>
        <v>81</v>
      </c>
      <c r="P86" s="13">
        <f t="shared" si="13"/>
        <v>0.23577600458040893</v>
      </c>
      <c r="Q86" s="13">
        <f t="shared" si="9"/>
        <v>2.3999999999999997E-2</v>
      </c>
      <c r="R86" s="13">
        <f t="shared" si="14"/>
        <v>17.82</v>
      </c>
      <c r="S86">
        <f t="shared" si="10"/>
        <v>7.3999999999999996E-2</v>
      </c>
      <c r="T86" s="8">
        <f t="shared" si="15"/>
        <v>0.81221138620589561</v>
      </c>
      <c r="U86" s="8">
        <f t="shared" si="11"/>
        <v>0.24782767802000297</v>
      </c>
      <c r="V86">
        <f t="shared" si="12"/>
        <v>0.24782767802000297</v>
      </c>
      <c r="W86" s="71">
        <f t="shared" si="16"/>
        <v>1240</v>
      </c>
      <c r="AA86">
        <v>82</v>
      </c>
      <c r="AB86">
        <v>1.002</v>
      </c>
    </row>
    <row r="87" spans="2:28" x14ac:dyDescent="0.25">
      <c r="B87" t="s">
        <v>66</v>
      </c>
      <c r="C87" s="72" t="s">
        <v>46</v>
      </c>
      <c r="F87" s="5"/>
      <c r="G87" s="3"/>
      <c r="H87" s="3"/>
      <c r="I87"/>
      <c r="J87"/>
      <c r="K87" s="3"/>
      <c r="M87"/>
      <c r="O87" s="3">
        <f t="shared" si="17"/>
        <v>82</v>
      </c>
      <c r="P87" s="13">
        <f t="shared" si="13"/>
        <v>0.27507200534381049</v>
      </c>
      <c r="Q87" s="13">
        <f t="shared" si="9"/>
        <v>2.8000000000000004E-2</v>
      </c>
      <c r="R87" s="13">
        <f t="shared" si="14"/>
        <v>18.04</v>
      </c>
      <c r="S87">
        <f t="shared" si="10"/>
        <v>7.8000000000000014E-2</v>
      </c>
      <c r="T87" s="8">
        <f t="shared" si="15"/>
        <v>0.79221794282027003</v>
      </c>
      <c r="U87" s="8">
        <f t="shared" si="11"/>
        <v>0.17627032616333124</v>
      </c>
      <c r="V87">
        <f t="shared" si="12"/>
        <v>0.17627032616333124</v>
      </c>
      <c r="W87" s="71">
        <f t="shared" si="16"/>
        <v>1280</v>
      </c>
      <c r="AA87">
        <v>83</v>
      </c>
      <c r="AB87">
        <v>1.002</v>
      </c>
    </row>
    <row r="88" spans="2:28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17"/>
        <v>83</v>
      </c>
      <c r="P88" s="13">
        <f t="shared" si="13"/>
        <v>0.31436800610721205</v>
      </c>
      <c r="Q88" s="13">
        <f t="shared" si="9"/>
        <v>3.2000000000000008E-2</v>
      </c>
      <c r="R88" s="13">
        <f t="shared" si="14"/>
        <v>18.260000000000002</v>
      </c>
      <c r="S88">
        <f t="shared" si="10"/>
        <v>8.2000000000000017E-2</v>
      </c>
      <c r="T88" s="8">
        <f t="shared" si="15"/>
        <v>0.7722931766507275</v>
      </c>
      <c r="U88" s="8">
        <f t="shared" si="11"/>
        <v>0.12802401754060055</v>
      </c>
      <c r="V88">
        <f t="shared" si="12"/>
        <v>0.12802401754060055</v>
      </c>
      <c r="W88" s="71">
        <f t="shared" si="16"/>
        <v>1320</v>
      </c>
      <c r="AA88">
        <v>84</v>
      </c>
      <c r="AB88">
        <v>1.002</v>
      </c>
    </row>
    <row r="89" spans="2:28" x14ac:dyDescent="0.25">
      <c r="B89" t="s">
        <v>68</v>
      </c>
      <c r="C89" s="72">
        <v>20</v>
      </c>
      <c r="F89" s="5"/>
      <c r="G89" s="3"/>
      <c r="H89" s="3"/>
      <c r="I89"/>
      <c r="J89"/>
      <c r="K89" s="3"/>
      <c r="M89"/>
      <c r="O89" s="3">
        <f t="shared" si="17"/>
        <v>84</v>
      </c>
      <c r="P89" s="13">
        <f t="shared" si="13"/>
        <v>0.35366400687061361</v>
      </c>
      <c r="Q89" s="13">
        <f t="shared" si="9"/>
        <v>3.6000000000000018E-2</v>
      </c>
      <c r="R89" s="13">
        <f t="shared" si="14"/>
        <v>18.48</v>
      </c>
      <c r="S89">
        <f t="shared" si="10"/>
        <v>8.6000000000000021E-2</v>
      </c>
      <c r="T89" s="8">
        <f t="shared" si="15"/>
        <v>0.75276850064292278</v>
      </c>
      <c r="U89" s="8">
        <f t="shared" si="11"/>
        <v>9.7211266172972044E-2</v>
      </c>
      <c r="V89">
        <f t="shared" si="12"/>
        <v>9.7211266172972044E-2</v>
      </c>
      <c r="W89" s="71">
        <f t="shared" si="16"/>
        <v>1360</v>
      </c>
      <c r="AA89">
        <v>85</v>
      </c>
      <c r="AB89">
        <v>1.002</v>
      </c>
    </row>
    <row r="90" spans="2:28" x14ac:dyDescent="0.25">
      <c r="B90" t="s">
        <v>69</v>
      </c>
      <c r="C90" s="72">
        <v>-1E-4</v>
      </c>
      <c r="F90" s="5"/>
      <c r="G90" s="3"/>
      <c r="H90" s="3"/>
      <c r="I90"/>
      <c r="J90"/>
      <c r="K90" s="3"/>
      <c r="M90"/>
      <c r="O90" s="3">
        <f t="shared" si="17"/>
        <v>85</v>
      </c>
      <c r="P90" s="13">
        <f t="shared" si="13"/>
        <v>0.39296000763401517</v>
      </c>
      <c r="Q90" s="13">
        <f t="shared" si="9"/>
        <v>4.0000000000000022E-2</v>
      </c>
      <c r="R90" s="13">
        <f t="shared" si="14"/>
        <v>18.7</v>
      </c>
      <c r="S90">
        <f t="shared" si="10"/>
        <v>9.0000000000000024E-2</v>
      </c>
      <c r="T90" s="8">
        <f t="shared" si="15"/>
        <v>0.73391675386032795</v>
      </c>
      <c r="U90" s="8">
        <f t="shared" si="11"/>
        <v>7.4522663241630538E-2</v>
      </c>
      <c r="V90">
        <f t="shared" si="12"/>
        <v>7.4522663241630538E-2</v>
      </c>
      <c r="W90" s="71">
        <f t="shared" si="16"/>
        <v>1400.0000000000002</v>
      </c>
      <c r="AA90">
        <v>86</v>
      </c>
      <c r="AB90">
        <v>1.002</v>
      </c>
    </row>
    <row r="91" spans="2:28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17"/>
        <v>86</v>
      </c>
      <c r="P91" s="13">
        <f t="shared" si="13"/>
        <v>0.43225600839741674</v>
      </c>
      <c r="Q91" s="13">
        <f t="shared" si="9"/>
        <v>4.4000000000000032E-2</v>
      </c>
      <c r="R91" s="13">
        <f t="shared" si="14"/>
        <v>18.920000000000002</v>
      </c>
      <c r="S91">
        <f t="shared" si="10"/>
        <v>9.4000000000000028E-2</v>
      </c>
      <c r="T91" s="8">
        <f t="shared" si="15"/>
        <v>0.71592413101913333</v>
      </c>
      <c r="U91" s="8">
        <f t="shared" si="11"/>
        <v>5.6843671703540009E-2</v>
      </c>
      <c r="V91">
        <f t="shared" si="12"/>
        <v>5.6843671703540009E-2</v>
      </c>
      <c r="W91" s="71">
        <f t="shared" si="16"/>
        <v>1440.0000000000005</v>
      </c>
      <c r="AA91">
        <v>87</v>
      </c>
      <c r="AB91">
        <v>1.002</v>
      </c>
    </row>
    <row r="92" spans="2:28" x14ac:dyDescent="0.25">
      <c r="B92" t="s">
        <v>71</v>
      </c>
      <c r="C92" s="72">
        <v>0.15</v>
      </c>
      <c r="F92" s="5"/>
      <c r="G92" s="3"/>
      <c r="H92" s="3"/>
      <c r="I92"/>
      <c r="J92"/>
      <c r="K92" s="3"/>
      <c r="M92"/>
      <c r="O92" s="3">
        <f t="shared" si="17"/>
        <v>87</v>
      </c>
      <c r="P92" s="13">
        <f t="shared" si="13"/>
        <v>0.47155200916081785</v>
      </c>
      <c r="Q92" s="13">
        <f t="shared" si="9"/>
        <v>4.7999999999999994E-2</v>
      </c>
      <c r="R92" s="13">
        <f t="shared" si="14"/>
        <v>19.14</v>
      </c>
      <c r="S92">
        <f t="shared" si="10"/>
        <v>9.8000000000000004E-2</v>
      </c>
      <c r="T92" s="8">
        <f t="shared" si="15"/>
        <v>0.69886812878929749</v>
      </c>
      <c r="U92" s="8">
        <f t="shared" si="11"/>
        <v>4.3030337885956331E-2</v>
      </c>
      <c r="V92">
        <f t="shared" si="12"/>
        <v>4.3030337885956331E-2</v>
      </c>
      <c r="W92" s="71">
        <f t="shared" si="16"/>
        <v>1480</v>
      </c>
      <c r="AA92">
        <v>88</v>
      </c>
      <c r="AB92">
        <v>1.002</v>
      </c>
    </row>
    <row r="93" spans="2:28" x14ac:dyDescent="0.25">
      <c r="B93" t="s">
        <v>72</v>
      </c>
      <c r="C93" s="72">
        <v>12.28</v>
      </c>
      <c r="F93" s="5"/>
      <c r="G93" s="3"/>
      <c r="H93" s="3"/>
      <c r="I93"/>
      <c r="J93"/>
      <c r="K93" s="3"/>
      <c r="M93"/>
      <c r="O93" s="3">
        <f t="shared" si="17"/>
        <v>88</v>
      </c>
      <c r="P93" s="13">
        <f t="shared" si="13"/>
        <v>0.51084800992421942</v>
      </c>
      <c r="Q93" s="13">
        <f t="shared" si="9"/>
        <v>5.1999999999999998E-2</v>
      </c>
      <c r="R93" s="13">
        <f t="shared" si="14"/>
        <v>19.36</v>
      </c>
      <c r="S93">
        <f t="shared" si="10"/>
        <v>0.10200000000000001</v>
      </c>
      <c r="T93" s="8">
        <f t="shared" si="15"/>
        <v>0.68270064176778156</v>
      </c>
      <c r="U93" s="8">
        <f t="shared" si="11"/>
        <v>3.2350723610784289E-2</v>
      </c>
      <c r="V93">
        <f t="shared" si="12"/>
        <v>3.2350723610784289E-2</v>
      </c>
      <c r="W93" s="71">
        <f t="shared" si="16"/>
        <v>1520</v>
      </c>
      <c r="AA93">
        <v>89</v>
      </c>
      <c r="AB93">
        <v>1.002</v>
      </c>
    </row>
    <row r="94" spans="2:28" x14ac:dyDescent="0.25">
      <c r="B94" t="s">
        <v>191</v>
      </c>
      <c r="C94" s="72">
        <v>1E-3</v>
      </c>
      <c r="F94" s="5"/>
      <c r="G94" s="3"/>
      <c r="H94" s="3"/>
      <c r="I94"/>
      <c r="J94"/>
      <c r="K94" s="3"/>
      <c r="M94"/>
      <c r="O94" s="3">
        <f t="shared" si="17"/>
        <v>89</v>
      </c>
      <c r="P94" s="13">
        <f t="shared" si="13"/>
        <v>0.55014401068762098</v>
      </c>
      <c r="Q94" s="13">
        <f t="shared" si="9"/>
        <v>5.6000000000000008E-2</v>
      </c>
      <c r="R94" s="13">
        <f t="shared" si="14"/>
        <v>19.580000000000002</v>
      </c>
      <c r="S94">
        <f t="shared" si="10"/>
        <v>0.10600000000000001</v>
      </c>
      <c r="T94" s="8">
        <f t="shared" si="15"/>
        <v>0.66723323222883313</v>
      </c>
      <c r="U94" s="8">
        <f t="shared" si="11"/>
        <v>2.4187607408040379E-2</v>
      </c>
      <c r="V94">
        <f t="shared" si="12"/>
        <v>2.4187607408040379E-2</v>
      </c>
      <c r="W94" s="71">
        <f t="shared" si="16"/>
        <v>1560.0000000000002</v>
      </c>
      <c r="AA94">
        <v>90</v>
      </c>
      <c r="AB94">
        <v>1.002</v>
      </c>
    </row>
    <row r="95" spans="2:28" x14ac:dyDescent="0.25">
      <c r="B95" t="s">
        <v>73</v>
      </c>
      <c r="C95" s="21">
        <f>C21</f>
        <v>-2.9472000572551118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17"/>
        <v>90</v>
      </c>
      <c r="P95" s="13">
        <f t="shared" si="13"/>
        <v>0.58944001145102254</v>
      </c>
      <c r="Q95" s="13">
        <f t="shared" si="9"/>
        <v>6.0000000000000012E-2</v>
      </c>
      <c r="R95" s="13">
        <f t="shared" si="14"/>
        <v>19.8</v>
      </c>
      <c r="S95">
        <f t="shared" si="10"/>
        <v>0.11000000000000001</v>
      </c>
      <c r="T95" s="8">
        <f t="shared" si="15"/>
        <v>0.65212048036855563</v>
      </c>
      <c r="U95" s="8">
        <f t="shared" si="11"/>
        <v>1.8007284916110266E-2</v>
      </c>
      <c r="V95">
        <f t="shared" si="12"/>
        <v>1.8007284916110266E-2</v>
      </c>
      <c r="W95" s="71">
        <f t="shared" si="16"/>
        <v>1600.0000000000002</v>
      </c>
      <c r="AA95">
        <v>91</v>
      </c>
      <c r="AB95">
        <v>1.002</v>
      </c>
    </row>
    <row r="96" spans="2:28" x14ac:dyDescent="0.25">
      <c r="B96" t="s">
        <v>215</v>
      </c>
      <c r="C96" s="72">
        <v>168000</v>
      </c>
      <c r="F96" s="5"/>
      <c r="G96" s="3"/>
      <c r="H96" s="3"/>
      <c r="I96"/>
      <c r="J96"/>
      <c r="K96" s="3"/>
      <c r="M96"/>
      <c r="O96" s="3">
        <f t="shared" si="17"/>
        <v>91</v>
      </c>
      <c r="P96" s="13">
        <f t="shared" si="13"/>
        <v>0.6287360122144241</v>
      </c>
      <c r="Q96" s="13">
        <f t="shared" si="9"/>
        <v>6.4000000000000015E-2</v>
      </c>
      <c r="R96" s="13">
        <f t="shared" si="14"/>
        <v>20.02</v>
      </c>
      <c r="S96">
        <f t="shared" si="10"/>
        <v>0.11400000000000002</v>
      </c>
      <c r="T96" s="8">
        <f t="shared" si="15"/>
        <v>0.63683779313154254</v>
      </c>
      <c r="U96" s="8">
        <f t="shared" si="11"/>
        <v>1.3362822509622488E-2</v>
      </c>
      <c r="V96">
        <f t="shared" si="12"/>
        <v>1.3362822509622488E-2</v>
      </c>
      <c r="W96" s="71">
        <f t="shared" si="16"/>
        <v>1640.0000000000005</v>
      </c>
      <c r="AA96">
        <v>92</v>
      </c>
      <c r="AB96">
        <v>1.002</v>
      </c>
    </row>
    <row r="97" spans="2:28" x14ac:dyDescent="0.25">
      <c r="B97" t="s">
        <v>216</v>
      </c>
      <c r="C97" s="72">
        <v>1</v>
      </c>
      <c r="F97" s="5"/>
      <c r="G97" s="3"/>
      <c r="H97" s="3"/>
      <c r="I97"/>
      <c r="J97"/>
      <c r="K97" s="3"/>
      <c r="M97"/>
      <c r="O97" s="3">
        <f t="shared" si="17"/>
        <v>92</v>
      </c>
      <c r="P97" s="13">
        <f t="shared" si="13"/>
        <v>0.66803201297782566</v>
      </c>
      <c r="Q97" s="13">
        <f t="shared" si="9"/>
        <v>6.8000000000000019E-2</v>
      </c>
      <c r="R97" s="13">
        <f t="shared" si="14"/>
        <v>20.239999999999998</v>
      </c>
      <c r="S97">
        <f t="shared" si="10"/>
        <v>0.11800000000000002</v>
      </c>
      <c r="T97" s="8">
        <f t="shared" si="15"/>
        <v>0.62065294943772731</v>
      </c>
      <c r="U97" s="8">
        <f t="shared" si="11"/>
        <v>9.8922051886713956E-3</v>
      </c>
      <c r="V97">
        <f t="shared" si="12"/>
        <v>9.8922051886713956E-3</v>
      </c>
      <c r="W97" s="71">
        <f t="shared" si="16"/>
        <v>1680.0000000000005</v>
      </c>
      <c r="AA97">
        <v>93</v>
      </c>
      <c r="AB97">
        <v>1.002</v>
      </c>
    </row>
    <row r="98" spans="2:28" x14ac:dyDescent="0.25">
      <c r="B98" t="s">
        <v>74</v>
      </c>
      <c r="C98" s="72">
        <v>20</v>
      </c>
      <c r="F98" s="5"/>
      <c r="G98" s="3"/>
      <c r="H98" s="3"/>
      <c r="I98"/>
      <c r="J98"/>
      <c r="K98" s="3"/>
      <c r="M98"/>
      <c r="O98" s="3">
        <f t="shared" si="17"/>
        <v>93</v>
      </c>
      <c r="P98" s="13">
        <f t="shared" si="13"/>
        <v>0.70732801374122678</v>
      </c>
      <c r="Q98" s="13">
        <f t="shared" si="9"/>
        <v>7.1999999999999981E-2</v>
      </c>
      <c r="R98" s="13">
        <f t="shared" si="14"/>
        <v>20.46</v>
      </c>
      <c r="S98">
        <f t="shared" si="10"/>
        <v>0.12199999999999998</v>
      </c>
      <c r="T98" s="8">
        <f t="shared" si="15"/>
        <v>0.60259749582982491</v>
      </c>
      <c r="U98" s="8">
        <f t="shared" si="11"/>
        <v>7.3097209394219305E-3</v>
      </c>
      <c r="V98">
        <f t="shared" si="12"/>
        <v>7.3097209394219305E-3</v>
      </c>
      <c r="W98" s="71">
        <f t="shared" si="16"/>
        <v>1719.9999999999998</v>
      </c>
      <c r="AA98">
        <v>94</v>
      </c>
      <c r="AB98">
        <v>1.002</v>
      </c>
    </row>
    <row r="99" spans="2:28" x14ac:dyDescent="0.25">
      <c r="B99" t="s">
        <v>75</v>
      </c>
      <c r="C99" s="72">
        <v>50</v>
      </c>
      <c r="F99" s="5"/>
      <c r="G99" s="3"/>
      <c r="H99" s="3"/>
      <c r="I99"/>
      <c r="J99"/>
      <c r="K99" s="3"/>
      <c r="M99"/>
      <c r="O99" s="3">
        <f t="shared" si="17"/>
        <v>94</v>
      </c>
      <c r="P99" s="13">
        <f t="shared" si="13"/>
        <v>0.74662401450462834</v>
      </c>
      <c r="Q99" s="13">
        <f t="shared" si="9"/>
        <v>7.5999999999999998E-2</v>
      </c>
      <c r="R99" s="13">
        <f t="shared" si="14"/>
        <v>20.68</v>
      </c>
      <c r="S99">
        <f t="shared" si="10"/>
        <v>0.126</v>
      </c>
      <c r="T99" s="8">
        <f t="shared" si="15"/>
        <v>0.58145706810783937</v>
      </c>
      <c r="U99" s="8">
        <f t="shared" si="11"/>
        <v>5.3941557864325401E-3</v>
      </c>
      <c r="V99">
        <f t="shared" si="12"/>
        <v>5.3941557864325401E-3</v>
      </c>
      <c r="W99" s="71">
        <f t="shared" si="16"/>
        <v>1760</v>
      </c>
      <c r="AA99">
        <v>95</v>
      </c>
      <c r="AB99">
        <v>1.002</v>
      </c>
    </row>
    <row r="100" spans="2:28" x14ac:dyDescent="0.25">
      <c r="B100" t="s">
        <v>76</v>
      </c>
      <c r="C100" s="72">
        <v>0</v>
      </c>
      <c r="F100" s="5"/>
      <c r="G100" s="3"/>
      <c r="H100" s="3"/>
      <c r="I100"/>
      <c r="J100"/>
      <c r="K100" s="3"/>
      <c r="M100"/>
      <c r="O100" s="3">
        <f t="shared" si="17"/>
        <v>95</v>
      </c>
      <c r="P100" s="13">
        <f t="shared" si="13"/>
        <v>0.7859200152680299</v>
      </c>
      <c r="Q100" s="13">
        <f t="shared" si="9"/>
        <v>0.08</v>
      </c>
      <c r="R100" s="13">
        <f t="shared" si="14"/>
        <v>20.9</v>
      </c>
      <c r="S100">
        <f t="shared" si="10"/>
        <v>0.13</v>
      </c>
      <c r="T100" s="8">
        <f t="shared" si="15"/>
        <v>0.55581996669021594</v>
      </c>
      <c r="U100" s="8">
        <f t="shared" si="11"/>
        <v>3.9766074630823269E-3</v>
      </c>
      <c r="V100">
        <f t="shared" si="12"/>
        <v>3.9766074630823269E-3</v>
      </c>
      <c r="W100" s="71">
        <f t="shared" si="16"/>
        <v>1800</v>
      </c>
      <c r="AA100">
        <v>96</v>
      </c>
      <c r="AB100">
        <v>1.002</v>
      </c>
    </row>
    <row r="101" spans="2:28" x14ac:dyDescent="0.25">
      <c r="B101" t="s">
        <v>77</v>
      </c>
      <c r="C101" s="72">
        <v>5.0000000000000001E-4</v>
      </c>
      <c r="F101" s="5"/>
      <c r="G101" s="3"/>
      <c r="H101" s="3"/>
      <c r="I101"/>
      <c r="J101"/>
      <c r="K101" s="3"/>
      <c r="M101"/>
      <c r="O101" s="3">
        <f t="shared" si="17"/>
        <v>96</v>
      </c>
      <c r="P101" s="13">
        <f t="shared" si="13"/>
        <v>0.82521601603143147</v>
      </c>
      <c r="Q101" s="13">
        <f t="shared" si="9"/>
        <v>8.4000000000000005E-2</v>
      </c>
      <c r="R101" s="13">
        <f t="shared" si="14"/>
        <v>21.12</v>
      </c>
      <c r="S101">
        <f t="shared" si="10"/>
        <v>0.13400000000000001</v>
      </c>
      <c r="T101" s="8">
        <f t="shared" si="15"/>
        <v>0.52424523579047511</v>
      </c>
      <c r="U101" s="8">
        <f t="shared" si="11"/>
        <v>2.9294188404726824E-3</v>
      </c>
      <c r="V101">
        <f t="shared" si="12"/>
        <v>2.9294188404726824E-3</v>
      </c>
      <c r="W101" s="71">
        <f t="shared" si="16"/>
        <v>1840</v>
      </c>
      <c r="AA101">
        <v>97</v>
      </c>
      <c r="AB101">
        <v>1.002</v>
      </c>
    </row>
    <row r="102" spans="2:28" x14ac:dyDescent="0.25">
      <c r="B102" t="s">
        <v>78</v>
      </c>
      <c r="C102" s="72">
        <v>0</v>
      </c>
      <c r="F102" s="5"/>
      <c r="G102" s="3"/>
      <c r="H102" s="3"/>
      <c r="I102"/>
      <c r="J102"/>
      <c r="K102" s="3"/>
      <c r="M102"/>
      <c r="O102" s="3">
        <f t="shared" si="17"/>
        <v>97</v>
      </c>
      <c r="P102" s="13">
        <f t="shared" si="13"/>
        <v>0.86451201679483303</v>
      </c>
      <c r="Q102" s="13">
        <f t="shared" si="9"/>
        <v>8.8000000000000009E-2</v>
      </c>
      <c r="R102" s="13">
        <f t="shared" si="14"/>
        <v>21.34</v>
      </c>
      <c r="S102">
        <f t="shared" si="10"/>
        <v>0.13800000000000001</v>
      </c>
      <c r="T102" s="8">
        <f t="shared" si="15"/>
        <v>0.48561194736142421</v>
      </c>
      <c r="U102" s="8">
        <f t="shared" si="11"/>
        <v>2.1568185470183967E-3</v>
      </c>
      <c r="V102">
        <f t="shared" si="12"/>
        <v>2.1568185470183967E-3</v>
      </c>
      <c r="W102" s="71">
        <f t="shared" si="16"/>
        <v>1880</v>
      </c>
      <c r="AA102">
        <v>98</v>
      </c>
      <c r="AB102">
        <v>1.002</v>
      </c>
    </row>
    <row r="103" spans="2:28" x14ac:dyDescent="0.25">
      <c r="B103" t="s">
        <v>79</v>
      </c>
      <c r="C103" s="72">
        <v>0</v>
      </c>
      <c r="F103" s="5"/>
      <c r="G103" s="3"/>
      <c r="H103" s="3"/>
      <c r="I103"/>
      <c r="J103"/>
      <c r="K103" s="3"/>
      <c r="M103"/>
      <c r="O103" s="3">
        <f t="shared" si="17"/>
        <v>98</v>
      </c>
      <c r="P103" s="13">
        <f t="shared" si="13"/>
        <v>0.90380801755823459</v>
      </c>
      <c r="Q103" s="13">
        <f t="shared" si="9"/>
        <v>9.2000000000000026E-2</v>
      </c>
      <c r="R103" s="13">
        <f t="shared" si="14"/>
        <v>21.56</v>
      </c>
      <c r="S103">
        <f t="shared" si="10"/>
        <v>0.14200000000000002</v>
      </c>
      <c r="T103" s="8">
        <f t="shared" si="15"/>
        <v>0.43964474979983514</v>
      </c>
      <c r="U103" s="8">
        <f t="shared" si="11"/>
        <v>1.5873447666470701E-3</v>
      </c>
      <c r="V103">
        <f t="shared" si="12"/>
        <v>1.5873447666470701E-3</v>
      </c>
      <c r="W103" s="71">
        <f t="shared" si="16"/>
        <v>1920.0000000000002</v>
      </c>
      <c r="AA103">
        <v>99</v>
      </c>
      <c r="AB103">
        <v>1.002</v>
      </c>
    </row>
    <row r="104" spans="2:28" x14ac:dyDescent="0.25">
      <c r="B104" t="s">
        <v>80</v>
      </c>
      <c r="C104" s="24">
        <f>C95</f>
        <v>-2.9472000572551118</v>
      </c>
      <c r="F104" s="5"/>
      <c r="G104" s="3"/>
      <c r="H104" s="3"/>
      <c r="I104"/>
      <c r="J104"/>
      <c r="K104" s="3"/>
      <c r="M104"/>
      <c r="O104" s="3">
        <f t="shared" si="17"/>
        <v>99</v>
      </c>
      <c r="P104" s="13">
        <f t="shared" si="13"/>
        <v>0.94310401832163615</v>
      </c>
      <c r="Q104" s="13">
        <f t="shared" si="9"/>
        <v>9.600000000000003E-2</v>
      </c>
      <c r="R104" s="13">
        <f t="shared" si="14"/>
        <v>21.78</v>
      </c>
      <c r="S104">
        <f t="shared" si="10"/>
        <v>0.14600000000000002</v>
      </c>
      <c r="T104" s="8">
        <f t="shared" si="15"/>
        <v>0.38744469875973597</v>
      </c>
      <c r="U104" s="8">
        <f t="shared" si="11"/>
        <v>1.1678857359576041E-3</v>
      </c>
      <c r="V104">
        <f t="shared" si="12"/>
        <v>1.1678857359576041E-3</v>
      </c>
      <c r="W104" s="71">
        <f t="shared" si="16"/>
        <v>1960.0000000000005</v>
      </c>
      <c r="AA104">
        <v>100</v>
      </c>
      <c r="AB104">
        <v>1.002</v>
      </c>
    </row>
    <row r="105" spans="2:28" x14ac:dyDescent="0.25">
      <c r="B105" t="s">
        <v>81</v>
      </c>
      <c r="C105" s="72">
        <v>12.28</v>
      </c>
      <c r="F105" s="5"/>
      <c r="G105" s="3"/>
      <c r="H105" s="3"/>
      <c r="I105"/>
      <c r="J105"/>
      <c r="K105" s="3"/>
      <c r="M105"/>
      <c r="O105" s="3">
        <f t="shared" si="17"/>
        <v>100</v>
      </c>
      <c r="P105" s="13">
        <f t="shared" si="13"/>
        <v>0.98240001908503727</v>
      </c>
      <c r="Q105" s="13">
        <f t="shared" si="9"/>
        <v>9.9999999999999992E-2</v>
      </c>
      <c r="R105" s="13">
        <f t="shared" si="14"/>
        <v>22</v>
      </c>
      <c r="S105">
        <f t="shared" si="10"/>
        <v>0.15</v>
      </c>
      <c r="T105" s="8">
        <f t="shared" si="15"/>
        <v>0.33167024005966705</v>
      </c>
      <c r="U105" s="8">
        <f t="shared" si="11"/>
        <v>8.5908229845959715E-4</v>
      </c>
      <c r="V105">
        <f t="shared" si="12"/>
        <v>8.5908229845959715E-4</v>
      </c>
      <c r="W105" s="71">
        <f t="shared" si="16"/>
        <v>2000</v>
      </c>
      <c r="AA105">
        <v>101</v>
      </c>
      <c r="AB105">
        <v>1.002</v>
      </c>
    </row>
    <row r="106" spans="2:28" x14ac:dyDescent="0.25">
      <c r="B106" t="s">
        <v>82</v>
      </c>
      <c r="C106" s="72">
        <v>150</v>
      </c>
      <c r="F106" s="5"/>
      <c r="G106" s="3"/>
      <c r="H106" s="3"/>
      <c r="I106"/>
      <c r="J106"/>
      <c r="K106" s="3"/>
      <c r="M106"/>
      <c r="O106" s="3">
        <f t="shared" si="17"/>
        <v>101</v>
      </c>
      <c r="P106" s="13">
        <f t="shared" si="13"/>
        <v>1.0216960198484388</v>
      </c>
      <c r="Q106" s="13">
        <f t="shared" si="9"/>
        <v>0.104</v>
      </c>
      <c r="R106" s="13">
        <f t="shared" si="14"/>
        <v>22.22</v>
      </c>
      <c r="S106">
        <f t="shared" si="10"/>
        <v>0.154</v>
      </c>
      <c r="T106" s="8">
        <f t="shared" si="15"/>
        <v>0.27605226660709631</v>
      </c>
      <c r="U106" s="8">
        <f t="shared" si="11"/>
        <v>6.3182892177748873E-4</v>
      </c>
      <c r="V106">
        <f t="shared" si="12"/>
        <v>6.3182892177748873E-4</v>
      </c>
      <c r="W106" s="71">
        <f t="shared" si="16"/>
        <v>2040.0000000000002</v>
      </c>
      <c r="AA106">
        <v>102</v>
      </c>
      <c r="AB106">
        <v>1.002</v>
      </c>
    </row>
    <row r="107" spans="2:28" x14ac:dyDescent="0.25">
      <c r="B107" t="s">
        <v>83</v>
      </c>
      <c r="C107" s="72">
        <v>150</v>
      </c>
      <c r="F107" s="5"/>
      <c r="G107" s="3"/>
      <c r="H107" s="3"/>
      <c r="I107"/>
      <c r="J107"/>
      <c r="K107" s="3"/>
      <c r="M107"/>
      <c r="O107" s="3">
        <f t="shared" si="17"/>
        <v>102</v>
      </c>
      <c r="P107" s="13">
        <f t="shared" ref="P107:P150" si="18">$C$24*O107+$C$21</f>
        <v>1.0609920206118404</v>
      </c>
      <c r="Q107" s="13">
        <f t="shared" ref="Q107:Q150" si="19">P107*$G$18</f>
        <v>0.108</v>
      </c>
      <c r="R107" s="13">
        <f t="shared" ref="R107:R150" si="20">$S$3*O107</f>
        <v>22.44</v>
      </c>
      <c r="S107">
        <f t="shared" ref="S107:S150" si="21">ABS(Q107-$K$38)</f>
        <v>0.158</v>
      </c>
      <c r="T107" s="8">
        <f t="shared" si="15"/>
        <v>0.22433975539102477</v>
      </c>
      <c r="U107" s="8">
        <f t="shared" si="11"/>
        <v>4.646361091452312E-4</v>
      </c>
      <c r="V107">
        <f t="shared" ref="V107:V150" si="22">IF(Q107-$K$38&gt;0,U107,T107)</f>
        <v>4.646361091452312E-4</v>
      </c>
      <c r="W107" s="71">
        <f t="shared" ref="W107:W150" si="23">(Q107+W$3)*10000</f>
        <v>2080</v>
      </c>
      <c r="AA107">
        <v>103</v>
      </c>
      <c r="AB107">
        <v>1.002</v>
      </c>
    </row>
    <row r="108" spans="2:28" x14ac:dyDescent="0.25">
      <c r="B108" t="s">
        <v>84</v>
      </c>
      <c r="C108" s="72">
        <v>200</v>
      </c>
      <c r="F108" s="5"/>
      <c r="G108" s="3"/>
      <c r="H108" s="3"/>
      <c r="I108"/>
      <c r="J108"/>
      <c r="K108" s="3"/>
      <c r="M108"/>
      <c r="O108" s="3">
        <f t="shared" si="17"/>
        <v>103</v>
      </c>
      <c r="P108" s="13">
        <f t="shared" si="18"/>
        <v>1.1002880213752415</v>
      </c>
      <c r="Q108" s="13">
        <f t="shared" si="19"/>
        <v>0.11199999999999996</v>
      </c>
      <c r="R108" s="13">
        <f t="shared" si="20"/>
        <v>22.66</v>
      </c>
      <c r="S108">
        <f t="shared" si="21"/>
        <v>0.16199999999999998</v>
      </c>
      <c r="T108" s="8">
        <f t="shared" si="15"/>
        <v>0.17924462329500976</v>
      </c>
      <c r="U108" s="8">
        <f t="shared" si="11"/>
        <v>3.4165571862530391E-4</v>
      </c>
      <c r="V108">
        <f t="shared" si="22"/>
        <v>3.4165571862530391E-4</v>
      </c>
      <c r="W108" s="71">
        <f t="shared" si="23"/>
        <v>2119.9999999999995</v>
      </c>
      <c r="AA108">
        <v>104</v>
      </c>
      <c r="AB108">
        <v>1.002</v>
      </c>
    </row>
    <row r="109" spans="2:28" x14ac:dyDescent="0.25">
      <c r="B109" t="s">
        <v>85</v>
      </c>
      <c r="C109" s="72">
        <v>2.5</v>
      </c>
      <c r="F109" s="5"/>
      <c r="G109" s="3"/>
      <c r="H109" s="3"/>
      <c r="I109"/>
      <c r="J109"/>
      <c r="K109" s="3"/>
      <c r="M109"/>
      <c r="O109" s="3">
        <f t="shared" si="17"/>
        <v>104</v>
      </c>
      <c r="P109" s="13">
        <f t="shared" si="18"/>
        <v>1.1395840221386435</v>
      </c>
      <c r="Q109" s="13">
        <f t="shared" si="19"/>
        <v>0.11600000000000002</v>
      </c>
      <c r="R109" s="13">
        <f t="shared" si="20"/>
        <v>22.88</v>
      </c>
      <c r="S109">
        <f t="shared" si="21"/>
        <v>0.16600000000000004</v>
      </c>
      <c r="T109" s="8">
        <f t="shared" si="15"/>
        <v>0.14195446522318772</v>
      </c>
      <c r="U109" s="8">
        <f t="shared" si="11"/>
        <v>2.5120986356431133E-4</v>
      </c>
      <c r="V109">
        <f t="shared" si="22"/>
        <v>2.5120986356431133E-4</v>
      </c>
      <c r="W109" s="71">
        <f t="shared" si="23"/>
        <v>2160.0000000000005</v>
      </c>
      <c r="AA109">
        <v>105</v>
      </c>
      <c r="AB109">
        <v>1.002</v>
      </c>
    </row>
    <row r="110" spans="2:28" x14ac:dyDescent="0.25">
      <c r="B110" t="s">
        <v>86</v>
      </c>
      <c r="C110" s="72">
        <v>802.5</v>
      </c>
      <c r="F110" s="5"/>
      <c r="G110" s="3"/>
      <c r="H110" s="3"/>
      <c r="I110"/>
      <c r="J110"/>
      <c r="K110" s="3"/>
      <c r="M110"/>
      <c r="O110" s="3">
        <f t="shared" si="17"/>
        <v>105</v>
      </c>
      <c r="P110" s="13">
        <f t="shared" si="18"/>
        <v>1.1788800229020446</v>
      </c>
      <c r="Q110" s="13">
        <f t="shared" si="19"/>
        <v>0.11999999999999998</v>
      </c>
      <c r="R110" s="13">
        <f t="shared" si="20"/>
        <v>23.1</v>
      </c>
      <c r="S110">
        <f t="shared" si="21"/>
        <v>0.16999999999999998</v>
      </c>
      <c r="T110" s="8">
        <f t="shared" si="15"/>
        <v>0.11230974269033252</v>
      </c>
      <c r="U110" s="8">
        <f t="shared" si="11"/>
        <v>1.846988870277981E-4</v>
      </c>
      <c r="V110">
        <f t="shared" si="22"/>
        <v>1.846988870277981E-4</v>
      </c>
      <c r="W110" s="71">
        <f t="shared" si="23"/>
        <v>2199.9999999999995</v>
      </c>
      <c r="AA110">
        <v>106</v>
      </c>
      <c r="AB110">
        <v>1.002</v>
      </c>
    </row>
    <row r="111" spans="2:28" x14ac:dyDescent="0.25">
      <c r="B111" t="s">
        <v>87</v>
      </c>
      <c r="C111" s="72">
        <v>100</v>
      </c>
      <c r="F111" s="5"/>
      <c r="G111" s="3"/>
      <c r="H111" s="3"/>
      <c r="I111"/>
      <c r="J111"/>
      <c r="K111" s="3"/>
      <c r="M111"/>
      <c r="O111" s="3">
        <f t="shared" si="17"/>
        <v>106</v>
      </c>
      <c r="P111" s="13">
        <f t="shared" si="18"/>
        <v>1.2181760236654466</v>
      </c>
      <c r="Q111" s="13">
        <f t="shared" si="19"/>
        <v>0.12400000000000003</v>
      </c>
      <c r="R111" s="13">
        <f t="shared" si="20"/>
        <v>23.32</v>
      </c>
      <c r="S111">
        <f t="shared" si="21"/>
        <v>0.17400000000000004</v>
      </c>
      <c r="T111" s="8">
        <f t="shared" si="15"/>
        <v>8.9329411409450873E-2</v>
      </c>
      <c r="U111" s="8">
        <f t="shared" si="11"/>
        <v>1.3579283848869366E-4</v>
      </c>
      <c r="V111">
        <f t="shared" si="22"/>
        <v>1.3579283848869366E-4</v>
      </c>
      <c r="W111" s="71">
        <f t="shared" si="23"/>
        <v>2240.0000000000005</v>
      </c>
      <c r="AA111">
        <v>107</v>
      </c>
      <c r="AB111">
        <v>1.002</v>
      </c>
    </row>
    <row r="112" spans="2:28" x14ac:dyDescent="0.25">
      <c r="B112" t="s">
        <v>43</v>
      </c>
      <c r="C112" s="72"/>
      <c r="F112" s="5"/>
      <c r="G112" s="3"/>
      <c r="H112" s="3"/>
      <c r="I112"/>
      <c r="J112"/>
      <c r="K112" s="3"/>
      <c r="M112"/>
      <c r="O112" s="3">
        <f t="shared" si="17"/>
        <v>107</v>
      </c>
      <c r="P112" s="13">
        <f t="shared" si="18"/>
        <v>1.2574720244288478</v>
      </c>
      <c r="Q112" s="13">
        <f t="shared" si="19"/>
        <v>0.128</v>
      </c>
      <c r="R112" s="13">
        <f t="shared" si="20"/>
        <v>23.54</v>
      </c>
      <c r="S112">
        <f t="shared" si="21"/>
        <v>0.17799999999999999</v>
      </c>
      <c r="T112" s="8">
        <f t="shared" si="15"/>
        <v>7.1729886278895691E-2</v>
      </c>
      <c r="U112" s="8">
        <f t="shared" si="11"/>
        <v>9.9833988768308689E-5</v>
      </c>
      <c r="V112">
        <f t="shared" si="22"/>
        <v>9.9833988768308689E-5</v>
      </c>
      <c r="W112" s="71">
        <f t="shared" si="23"/>
        <v>2280</v>
      </c>
      <c r="AA112">
        <v>108</v>
      </c>
      <c r="AB112">
        <v>1.002</v>
      </c>
    </row>
    <row r="113" spans="3:28" x14ac:dyDescent="0.25">
      <c r="C113" s="72"/>
      <c r="F113" s="5"/>
      <c r="G113" s="3"/>
      <c r="H113" s="3"/>
      <c r="I113"/>
      <c r="J113"/>
      <c r="K113" s="3"/>
      <c r="M113"/>
      <c r="O113" s="3">
        <f t="shared" si="17"/>
        <v>108</v>
      </c>
      <c r="P113" s="13">
        <f t="shared" si="18"/>
        <v>1.2967680251922498</v>
      </c>
      <c r="Q113" s="13">
        <f t="shared" si="19"/>
        <v>0.13200000000000003</v>
      </c>
      <c r="R113" s="13">
        <f t="shared" si="20"/>
        <v>23.76</v>
      </c>
      <c r="S113">
        <f t="shared" si="21"/>
        <v>0.18200000000000005</v>
      </c>
      <c r="T113" s="8">
        <f t="shared" si="15"/>
        <v>5.8266317241715257E-2</v>
      </c>
      <c r="U113" s="8">
        <f t="shared" si="11"/>
        <v>7.3395911661738937E-5</v>
      </c>
      <c r="V113">
        <f t="shared" si="22"/>
        <v>7.3395911661738937E-5</v>
      </c>
      <c r="W113" s="71">
        <f t="shared" si="23"/>
        <v>2320.0000000000005</v>
      </c>
      <c r="AA113">
        <v>109</v>
      </c>
      <c r="AB113">
        <v>1.002</v>
      </c>
    </row>
    <row r="114" spans="3:28" x14ac:dyDescent="0.25">
      <c r="C114" s="72"/>
      <c r="F114" s="5"/>
      <c r="G114" s="3"/>
      <c r="H114" s="3"/>
      <c r="I114"/>
      <c r="J114"/>
      <c r="K114" s="3"/>
      <c r="M114"/>
      <c r="O114" s="3">
        <f t="shared" si="17"/>
        <v>109</v>
      </c>
      <c r="P114" s="13">
        <f t="shared" si="18"/>
        <v>1.3360640259556509</v>
      </c>
      <c r="Q114" s="13">
        <f t="shared" si="19"/>
        <v>0.13600000000000001</v>
      </c>
      <c r="R114" s="13">
        <f t="shared" si="20"/>
        <v>23.98</v>
      </c>
      <c r="S114">
        <f t="shared" si="21"/>
        <v>0.186</v>
      </c>
      <c r="T114" s="8">
        <f t="shared" si="15"/>
        <v>4.7891118726625034E-2</v>
      </c>
      <c r="U114" s="8">
        <f t="shared" si="11"/>
        <v>5.3958435887539415E-5</v>
      </c>
      <c r="V114">
        <f t="shared" si="22"/>
        <v>5.3958435887539415E-5</v>
      </c>
      <c r="W114" s="71">
        <f t="shared" si="23"/>
        <v>2360</v>
      </c>
      <c r="AA114">
        <v>110</v>
      </c>
      <c r="AB114">
        <v>1.002</v>
      </c>
    </row>
    <row r="115" spans="3:28" x14ac:dyDescent="0.25">
      <c r="C115" s="72"/>
      <c r="F115" s="5"/>
      <c r="G115" s="3"/>
      <c r="H115" s="3"/>
      <c r="I115"/>
      <c r="J115"/>
      <c r="K115" s="3"/>
      <c r="M115"/>
      <c r="O115" s="3">
        <f t="shared" si="17"/>
        <v>110</v>
      </c>
      <c r="P115" s="13">
        <f t="shared" si="18"/>
        <v>1.375360026719052</v>
      </c>
      <c r="Q115" s="13">
        <f t="shared" si="19"/>
        <v>0.13999999999999996</v>
      </c>
      <c r="R115" s="13">
        <f t="shared" si="20"/>
        <v>24.2</v>
      </c>
      <c r="S115">
        <f t="shared" si="21"/>
        <v>0.18999999999999995</v>
      </c>
      <c r="T115" s="8">
        <f t="shared" si="15"/>
        <v>3.9791319821201244E-2</v>
      </c>
      <c r="U115" s="8">
        <f t="shared" si="11"/>
        <v>3.9668196041190023E-5</v>
      </c>
      <c r="V115">
        <f t="shared" si="22"/>
        <v>3.9668196041190023E-5</v>
      </c>
      <c r="W115" s="71">
        <f t="shared" si="23"/>
        <v>2399.9999999999995</v>
      </c>
      <c r="AA115">
        <v>111</v>
      </c>
      <c r="AB115">
        <v>1.002</v>
      </c>
    </row>
    <row r="116" spans="3:28" x14ac:dyDescent="0.25">
      <c r="C116" s="72"/>
      <c r="F116" s="5"/>
      <c r="G116" s="3"/>
      <c r="H116" s="3"/>
      <c r="I116"/>
      <c r="J116"/>
      <c r="K116" s="3"/>
      <c r="M116"/>
      <c r="O116" s="3">
        <f t="shared" si="17"/>
        <v>111</v>
      </c>
      <c r="P116" s="13">
        <f t="shared" si="18"/>
        <v>1.414656027482454</v>
      </c>
      <c r="Q116" s="13">
        <f t="shared" si="19"/>
        <v>0.14400000000000002</v>
      </c>
      <c r="R116" s="13">
        <f t="shared" si="20"/>
        <v>24.42</v>
      </c>
      <c r="S116">
        <f t="shared" si="21"/>
        <v>0.19400000000000001</v>
      </c>
      <c r="T116" s="8">
        <f t="shared" si="15"/>
        <v>3.3365965931129275E-2</v>
      </c>
      <c r="U116" s="8">
        <f t="shared" si="11"/>
        <v>2.9162337140551011E-5</v>
      </c>
      <c r="V116">
        <f t="shared" si="22"/>
        <v>2.9162337140551011E-5</v>
      </c>
      <c r="W116" s="71">
        <f t="shared" si="23"/>
        <v>2440</v>
      </c>
      <c r="AA116">
        <v>112</v>
      </c>
      <c r="AB116">
        <v>1.002</v>
      </c>
    </row>
    <row r="117" spans="3:28" x14ac:dyDescent="0.25">
      <c r="C117" s="72"/>
      <c r="F117" s="5"/>
      <c r="G117" s="3"/>
      <c r="H117" s="3"/>
      <c r="I117"/>
      <c r="J117"/>
      <c r="K117" s="3"/>
      <c r="M117"/>
      <c r="O117" s="3">
        <f t="shared" si="17"/>
        <v>112</v>
      </c>
      <c r="P117" s="13">
        <f t="shared" si="18"/>
        <v>1.4539520282458551</v>
      </c>
      <c r="Q117" s="13">
        <f t="shared" si="19"/>
        <v>0.14799999999999999</v>
      </c>
      <c r="R117" s="13">
        <f t="shared" si="20"/>
        <v>24.64</v>
      </c>
      <c r="S117">
        <f t="shared" si="21"/>
        <v>0.19800000000000001</v>
      </c>
      <c r="T117" s="8">
        <f t="shared" si="15"/>
        <v>2.8183193861507548E-2</v>
      </c>
      <c r="U117" s="8">
        <f t="shared" si="11"/>
        <v>2.1438768390788081E-5</v>
      </c>
      <c r="V117">
        <f t="shared" si="22"/>
        <v>2.1438768390788081E-5</v>
      </c>
      <c r="W117" s="71">
        <f t="shared" si="23"/>
        <v>2480</v>
      </c>
      <c r="AA117">
        <v>113</v>
      </c>
      <c r="AB117">
        <v>1.002</v>
      </c>
    </row>
    <row r="118" spans="3:28" x14ac:dyDescent="0.25">
      <c r="C118" s="72"/>
      <c r="F118" s="5"/>
      <c r="G118" s="3"/>
      <c r="H118" s="3"/>
      <c r="I118"/>
      <c r="J118"/>
      <c r="K118" s="3"/>
      <c r="M118"/>
      <c r="O118" s="3">
        <f t="shared" si="17"/>
        <v>113</v>
      </c>
      <c r="P118" s="13">
        <f t="shared" si="18"/>
        <v>1.4932480290092571</v>
      </c>
      <c r="Q118" s="13">
        <f t="shared" si="19"/>
        <v>0.15200000000000002</v>
      </c>
      <c r="R118" s="13">
        <f t="shared" si="20"/>
        <v>24.86</v>
      </c>
      <c r="S118">
        <f t="shared" si="21"/>
        <v>0.20200000000000001</v>
      </c>
      <c r="T118" s="8">
        <f t="shared" si="15"/>
        <v>2.3936888854701074E-2</v>
      </c>
      <c r="U118" s="8">
        <f t="shared" si="11"/>
        <v>1.5760703413461662E-5</v>
      </c>
      <c r="V118">
        <f t="shared" si="22"/>
        <v>1.5760703413461662E-5</v>
      </c>
      <c r="W118" s="71">
        <f t="shared" si="23"/>
        <v>2520</v>
      </c>
      <c r="AA118">
        <v>114</v>
      </c>
      <c r="AB118">
        <v>1.002</v>
      </c>
    </row>
    <row r="119" spans="3:28" x14ac:dyDescent="0.25">
      <c r="C119" s="72"/>
      <c r="F119" s="5"/>
      <c r="G119" s="3"/>
      <c r="H119" s="3"/>
      <c r="I119"/>
      <c r="J119"/>
      <c r="K119" s="3"/>
      <c r="M119"/>
      <c r="O119" s="3">
        <f t="shared" si="17"/>
        <v>114</v>
      </c>
      <c r="P119" s="13">
        <f t="shared" si="18"/>
        <v>1.5325440297726582</v>
      </c>
      <c r="Q119" s="13">
        <f t="shared" si="19"/>
        <v>0.156</v>
      </c>
      <c r="R119" s="13">
        <f t="shared" si="20"/>
        <v>25.080000000000002</v>
      </c>
      <c r="S119">
        <f t="shared" si="21"/>
        <v>0.20600000000000002</v>
      </c>
      <c r="T119" s="8">
        <f t="shared" si="15"/>
        <v>2.0410575369572453E-2</v>
      </c>
      <c r="U119" s="8">
        <f t="shared" si="11"/>
        <v>1.1586441677713025E-5</v>
      </c>
      <c r="V119">
        <f t="shared" si="22"/>
        <v>1.1586441677713025E-5</v>
      </c>
      <c r="W119" s="71">
        <f t="shared" si="23"/>
        <v>2560</v>
      </c>
      <c r="AA119">
        <v>115</v>
      </c>
      <c r="AB119">
        <v>1.002</v>
      </c>
    </row>
    <row r="120" spans="3:28" x14ac:dyDescent="0.25">
      <c r="C120" s="72"/>
      <c r="F120" s="5"/>
      <c r="G120" s="3"/>
      <c r="H120" s="3"/>
      <c r="I120"/>
      <c r="J120"/>
      <c r="K120" s="3"/>
      <c r="M120"/>
      <c r="O120" s="3">
        <f t="shared" si="17"/>
        <v>115</v>
      </c>
      <c r="P120" s="13">
        <f t="shared" si="18"/>
        <v>1.5718400305360603</v>
      </c>
      <c r="Q120" s="13">
        <f t="shared" si="19"/>
        <v>0.16000000000000006</v>
      </c>
      <c r="R120" s="13">
        <f t="shared" si="20"/>
        <v>25.3</v>
      </c>
      <c r="S120">
        <f t="shared" si="21"/>
        <v>0.21000000000000008</v>
      </c>
      <c r="T120" s="8">
        <f t="shared" si="15"/>
        <v>1.7450050160727155E-2</v>
      </c>
      <c r="U120" s="8">
        <f t="shared" si="11"/>
        <v>8.5177251425284991E-6</v>
      </c>
      <c r="V120">
        <f t="shared" si="22"/>
        <v>8.5177251425284991E-6</v>
      </c>
      <c r="W120" s="71">
        <f t="shared" si="23"/>
        <v>2600.0000000000005</v>
      </c>
      <c r="Z120">
        <f>17.4-4.9</f>
        <v>12.499999999999998</v>
      </c>
      <c r="AA120">
        <v>116</v>
      </c>
      <c r="AB120">
        <v>1.002</v>
      </c>
    </row>
    <row r="121" spans="3:28" x14ac:dyDescent="0.25">
      <c r="C121" s="72"/>
      <c r="F121" s="5"/>
      <c r="G121" s="3"/>
      <c r="H121" s="3"/>
      <c r="I121"/>
      <c r="J121"/>
      <c r="K121" s="3"/>
      <c r="M121"/>
      <c r="O121" s="3">
        <f t="shared" si="17"/>
        <v>116</v>
      </c>
      <c r="P121" s="13">
        <f t="shared" si="18"/>
        <v>1.6111360312994614</v>
      </c>
      <c r="Q121" s="13">
        <f t="shared" si="19"/>
        <v>0.16400000000000001</v>
      </c>
      <c r="R121" s="13">
        <f t="shared" si="20"/>
        <v>25.52</v>
      </c>
      <c r="S121">
        <f t="shared" si="21"/>
        <v>0.21400000000000002</v>
      </c>
      <c r="T121" s="8">
        <f t="shared" si="15"/>
        <v>1.4943758428268313E-2</v>
      </c>
      <c r="U121" s="8">
        <f t="shared" si="11"/>
        <v>6.261760771537013E-6</v>
      </c>
      <c r="V121">
        <f t="shared" si="22"/>
        <v>6.261760771537013E-6</v>
      </c>
      <c r="W121" s="71">
        <f t="shared" si="23"/>
        <v>2640</v>
      </c>
      <c r="Z121">
        <f>16.7-4.9</f>
        <v>11.799999999999999</v>
      </c>
      <c r="AA121">
        <v>117</v>
      </c>
      <c r="AB121">
        <v>1.002</v>
      </c>
    </row>
    <row r="122" spans="3:28" x14ac:dyDescent="0.25">
      <c r="C122" s="72"/>
      <c r="F122" s="5"/>
      <c r="G122" s="3"/>
      <c r="H122" s="3"/>
      <c r="I122"/>
      <c r="J122"/>
      <c r="K122" s="3"/>
      <c r="M122"/>
      <c r="O122" s="3">
        <f t="shared" si="17"/>
        <v>117</v>
      </c>
      <c r="P122" s="13">
        <f t="shared" si="18"/>
        <v>1.6504320320628625</v>
      </c>
      <c r="Q122" s="13">
        <f t="shared" si="19"/>
        <v>0.16799999999999998</v>
      </c>
      <c r="R122" s="13">
        <f t="shared" si="20"/>
        <v>25.74</v>
      </c>
      <c r="S122">
        <f t="shared" si="21"/>
        <v>0.21799999999999997</v>
      </c>
      <c r="T122" s="8">
        <f t="shared" si="15"/>
        <v>1.2809211206665876E-2</v>
      </c>
      <c r="U122" s="8">
        <f t="shared" si="11"/>
        <v>4.6032950542593425E-6</v>
      </c>
      <c r="V122">
        <f t="shared" si="22"/>
        <v>4.6032950542593425E-6</v>
      </c>
      <c r="W122" s="71">
        <f t="shared" si="23"/>
        <v>2680</v>
      </c>
      <c r="Z122">
        <f>Z120/Z121</f>
        <v>1.0593220338983049</v>
      </c>
      <c r="AA122">
        <v>118</v>
      </c>
      <c r="AB122">
        <v>1.002</v>
      </c>
    </row>
    <row r="123" spans="3:28" x14ac:dyDescent="0.25">
      <c r="C123" s="72"/>
      <c r="F123" s="5"/>
      <c r="G123" s="3"/>
      <c r="H123" s="3"/>
      <c r="I123"/>
      <c r="J123"/>
      <c r="K123" s="3"/>
      <c r="M123"/>
      <c r="O123" s="3">
        <f t="shared" si="17"/>
        <v>118</v>
      </c>
      <c r="P123" s="13">
        <f t="shared" si="18"/>
        <v>1.6897280328262645</v>
      </c>
      <c r="Q123" s="13">
        <f t="shared" si="19"/>
        <v>0.17200000000000001</v>
      </c>
      <c r="R123" s="13">
        <f t="shared" si="20"/>
        <v>25.96</v>
      </c>
      <c r="S123">
        <f t="shared" si="21"/>
        <v>0.22200000000000003</v>
      </c>
      <c r="T123" s="8">
        <f t="shared" si="15"/>
        <v>1.0983802116028474E-2</v>
      </c>
      <c r="U123" s="8">
        <f t="shared" si="11"/>
        <v>3.3840812318787566E-6</v>
      </c>
      <c r="V123">
        <f t="shared" si="22"/>
        <v>3.3840812318787566E-6</v>
      </c>
      <c r="W123" s="71">
        <f t="shared" si="23"/>
        <v>2720</v>
      </c>
      <c r="Z123">
        <f>Z122^2</f>
        <v>1.1221631715024416</v>
      </c>
      <c r="AA123">
        <v>119</v>
      </c>
      <c r="AB123">
        <v>1.002</v>
      </c>
    </row>
    <row r="124" spans="3:28" x14ac:dyDescent="0.25">
      <c r="C124" s="72"/>
      <c r="F124" s="5"/>
      <c r="G124" s="3"/>
      <c r="H124" s="3"/>
      <c r="I124"/>
      <c r="J124"/>
      <c r="K124" s="3"/>
      <c r="M124"/>
      <c r="O124" s="3">
        <f t="shared" si="17"/>
        <v>119</v>
      </c>
      <c r="P124" s="13">
        <f t="shared" si="18"/>
        <v>1.7290240335896656</v>
      </c>
      <c r="Q124" s="13">
        <f t="shared" si="19"/>
        <v>0.17599999999999999</v>
      </c>
      <c r="R124" s="13">
        <f t="shared" si="20"/>
        <v>26.18</v>
      </c>
      <c r="S124">
        <f t="shared" si="21"/>
        <v>0.22599999999999998</v>
      </c>
      <c r="T124" s="8">
        <f t="shared" si="15"/>
        <v>9.4186921663669387E-3</v>
      </c>
      <c r="U124" s="8">
        <f t="shared" si="11"/>
        <v>2.4877828594157016E-6</v>
      </c>
      <c r="V124">
        <f t="shared" si="22"/>
        <v>2.4877828594157016E-6</v>
      </c>
      <c r="W124" s="71">
        <f t="shared" si="23"/>
        <v>2760.0000000000005</v>
      </c>
      <c r="Z124" t="e">
        <f>Z123*#REF!</f>
        <v>#REF!</v>
      </c>
      <c r="AA124">
        <v>120</v>
      </c>
      <c r="AB124">
        <v>1.002</v>
      </c>
    </row>
    <row r="125" spans="3:28" x14ac:dyDescent="0.25">
      <c r="C125" s="72"/>
      <c r="F125" s="5"/>
      <c r="G125" s="3"/>
      <c r="H125" s="3"/>
      <c r="I125"/>
      <c r="J125"/>
      <c r="K125" s="3"/>
      <c r="M125"/>
      <c r="O125" s="3">
        <f t="shared" si="17"/>
        <v>120</v>
      </c>
      <c r="P125" s="13">
        <f t="shared" si="18"/>
        <v>1.7683200343530676</v>
      </c>
      <c r="Q125" s="13">
        <f t="shared" si="19"/>
        <v>0.18000000000000002</v>
      </c>
      <c r="R125" s="13">
        <f t="shared" si="20"/>
        <v>26.4</v>
      </c>
      <c r="S125">
        <f t="shared" si="21"/>
        <v>0.23000000000000004</v>
      </c>
      <c r="T125" s="8">
        <f t="shared" si="15"/>
        <v>8.0747714472676948E-3</v>
      </c>
      <c r="U125" s="8">
        <f t="shared" si="11"/>
        <v>1.8288747375335047E-6</v>
      </c>
      <c r="V125">
        <f t="shared" si="22"/>
        <v>1.8288747375335047E-6</v>
      </c>
      <c r="W125" s="71">
        <f t="shared" si="23"/>
        <v>2800.0000000000005</v>
      </c>
      <c r="AA125">
        <v>121</v>
      </c>
      <c r="AB125">
        <v>1.002</v>
      </c>
    </row>
    <row r="126" spans="3:28" x14ac:dyDescent="0.25">
      <c r="C126" s="72"/>
      <c r="F126" s="5"/>
      <c r="G126" s="3"/>
      <c r="H126" s="3"/>
      <c r="I126"/>
      <c r="J126"/>
      <c r="K126" s="3"/>
      <c r="M126"/>
      <c r="O126" s="3">
        <f t="shared" si="17"/>
        <v>121</v>
      </c>
      <c r="P126" s="13">
        <f t="shared" si="18"/>
        <v>1.8076160351164687</v>
      </c>
      <c r="Q126" s="13">
        <f t="shared" si="19"/>
        <v>0.184</v>
      </c>
      <c r="R126" s="13">
        <f t="shared" si="20"/>
        <v>26.62</v>
      </c>
      <c r="S126">
        <f t="shared" si="21"/>
        <v>0.23399999999999999</v>
      </c>
      <c r="T126" s="8">
        <f t="shared" si="15"/>
        <v>6.9199965051723504E-3</v>
      </c>
      <c r="U126" s="8">
        <f t="shared" si="11"/>
        <v>1.3444829593439942E-6</v>
      </c>
      <c r="V126">
        <f t="shared" si="22"/>
        <v>1.3444829593439942E-6</v>
      </c>
      <c r="W126" s="71">
        <f t="shared" si="23"/>
        <v>2840.0000000000005</v>
      </c>
      <c r="AA126">
        <v>122</v>
      </c>
      <c r="AB126">
        <v>1.002</v>
      </c>
    </row>
    <row r="127" spans="3:28" x14ac:dyDescent="0.25">
      <c r="C127" s="72"/>
      <c r="F127" s="5"/>
      <c r="G127" s="3"/>
      <c r="H127" s="3"/>
      <c r="I127"/>
      <c r="J127"/>
      <c r="K127" s="3"/>
      <c r="M127"/>
      <c r="O127" s="3">
        <f t="shared" si="17"/>
        <v>122</v>
      </c>
      <c r="P127" s="13">
        <f t="shared" si="18"/>
        <v>1.8469120358798699</v>
      </c>
      <c r="Q127" s="13">
        <f t="shared" si="19"/>
        <v>0.18799999999999994</v>
      </c>
      <c r="R127" s="13">
        <f t="shared" si="20"/>
        <v>26.84</v>
      </c>
      <c r="S127">
        <f t="shared" si="21"/>
        <v>0.23799999999999993</v>
      </c>
      <c r="T127" s="8">
        <f t="shared" si="15"/>
        <v>5.9276242142086493E-3</v>
      </c>
      <c r="U127" s="8">
        <f t="shared" si="11"/>
        <v>9.8838588348401482E-7</v>
      </c>
      <c r="V127">
        <f t="shared" si="22"/>
        <v>9.8838588348401482E-7</v>
      </c>
      <c r="W127" s="71">
        <f t="shared" si="23"/>
        <v>2879.9999999999991</v>
      </c>
      <c r="AA127">
        <v>123</v>
      </c>
      <c r="AB127">
        <v>1.002</v>
      </c>
    </row>
    <row r="128" spans="3:28" x14ac:dyDescent="0.25">
      <c r="C128" s="72"/>
      <c r="F128" s="5"/>
      <c r="G128" s="3"/>
      <c r="H128" s="3"/>
      <c r="I128"/>
      <c r="J128"/>
      <c r="K128" s="3"/>
      <c r="M128"/>
      <c r="O128" s="3">
        <f t="shared" si="17"/>
        <v>123</v>
      </c>
      <c r="P128" s="13">
        <f t="shared" si="18"/>
        <v>1.8862080366432719</v>
      </c>
      <c r="Q128" s="13">
        <f t="shared" si="19"/>
        <v>0.192</v>
      </c>
      <c r="R128" s="13">
        <f t="shared" si="20"/>
        <v>27.06</v>
      </c>
      <c r="S128">
        <f t="shared" si="21"/>
        <v>0.24199999999999999</v>
      </c>
      <c r="T128" s="8">
        <f t="shared" si="15"/>
        <v>5.0750229792129748E-3</v>
      </c>
      <c r="U128" s="8">
        <f t="shared" si="11"/>
        <v>7.2660383474528035E-7</v>
      </c>
      <c r="V128">
        <f t="shared" si="22"/>
        <v>7.2660383474528035E-7</v>
      </c>
      <c r="W128" s="71">
        <f t="shared" si="23"/>
        <v>2920.0000000000005</v>
      </c>
      <c r="AA128">
        <v>124</v>
      </c>
      <c r="AB128">
        <v>1.002</v>
      </c>
    </row>
    <row r="129" spans="3:28" x14ac:dyDescent="0.25">
      <c r="C129" s="72"/>
      <c r="F129" s="5"/>
      <c r="G129" s="3"/>
      <c r="H129" s="3"/>
      <c r="I129"/>
      <c r="J129"/>
      <c r="K129" s="3"/>
      <c r="M129"/>
      <c r="O129" s="3">
        <f t="shared" si="17"/>
        <v>124</v>
      </c>
      <c r="P129" s="13">
        <f t="shared" si="18"/>
        <v>1.925504037406673</v>
      </c>
      <c r="Q129" s="13">
        <f t="shared" si="19"/>
        <v>0.19599999999999998</v>
      </c>
      <c r="R129" s="13">
        <f t="shared" si="20"/>
        <v>27.28</v>
      </c>
      <c r="S129">
        <f t="shared" si="21"/>
        <v>0.246</v>
      </c>
      <c r="T129" s="8">
        <f t="shared" si="15"/>
        <v>4.3428530219509964E-3</v>
      </c>
      <c r="U129" s="8">
        <f t="shared" si="11"/>
        <v>5.3415682044097188E-7</v>
      </c>
      <c r="V129">
        <f t="shared" si="22"/>
        <v>5.3415682044097188E-7</v>
      </c>
      <c r="W129" s="71">
        <f t="shared" si="23"/>
        <v>2960</v>
      </c>
      <c r="AA129">
        <v>125</v>
      </c>
      <c r="AB129">
        <v>1.002</v>
      </c>
    </row>
    <row r="130" spans="3:28" x14ac:dyDescent="0.25">
      <c r="C130" s="72"/>
      <c r="F130" s="5"/>
      <c r="G130" s="3"/>
      <c r="H130" s="3"/>
      <c r="I130"/>
      <c r="J130"/>
      <c r="K130" s="3"/>
      <c r="M130"/>
      <c r="O130" s="3">
        <f t="shared" si="17"/>
        <v>125</v>
      </c>
      <c r="P130" s="13">
        <f t="shared" si="18"/>
        <v>1.964800038170075</v>
      </c>
      <c r="Q130" s="13">
        <f t="shared" si="19"/>
        <v>0.2</v>
      </c>
      <c r="R130" s="13">
        <f t="shared" si="20"/>
        <v>27.5</v>
      </c>
      <c r="S130">
        <f t="shared" si="21"/>
        <v>0.25</v>
      </c>
      <c r="T130" s="8">
        <f t="shared" si="15"/>
        <v>3.7144821957662394E-3</v>
      </c>
      <c r="U130" s="8">
        <f t="shared" si="11"/>
        <v>3.9268094477834522E-7</v>
      </c>
      <c r="V130">
        <f t="shared" si="22"/>
        <v>3.9268094477834522E-7</v>
      </c>
      <c r="W130" s="71">
        <f t="shared" si="23"/>
        <v>3000.0000000000005</v>
      </c>
      <c r="AA130">
        <v>126</v>
      </c>
      <c r="AB130">
        <v>1.002</v>
      </c>
    </row>
    <row r="131" spans="3:28" x14ac:dyDescent="0.25">
      <c r="C131" s="72"/>
      <c r="F131" s="5"/>
      <c r="G131" s="3"/>
      <c r="H131" s="3"/>
      <c r="I131"/>
      <c r="J131"/>
      <c r="K131" s="3"/>
      <c r="M131"/>
      <c r="O131" s="3">
        <f t="shared" si="17"/>
        <v>126</v>
      </c>
      <c r="P131" s="13">
        <f t="shared" si="18"/>
        <v>2.0040960389334761</v>
      </c>
      <c r="Q131" s="13">
        <f t="shared" si="19"/>
        <v>0.20399999999999999</v>
      </c>
      <c r="R131" s="13">
        <f t="shared" si="20"/>
        <v>27.72</v>
      </c>
      <c r="S131">
        <f t="shared" si="21"/>
        <v>0.254</v>
      </c>
      <c r="T131" s="8">
        <f t="shared" si="15"/>
        <v>3.1755529375470347E-3</v>
      </c>
      <c r="U131" s="8">
        <f t="shared" si="11"/>
        <v>2.8867611001454915E-7</v>
      </c>
      <c r="V131">
        <f t="shared" si="22"/>
        <v>2.8867611001454915E-7</v>
      </c>
      <c r="W131" s="71">
        <f t="shared" si="23"/>
        <v>3040</v>
      </c>
      <c r="AA131">
        <v>127</v>
      </c>
      <c r="AB131">
        <v>1.002</v>
      </c>
    </row>
    <row r="132" spans="3:28" x14ac:dyDescent="0.25">
      <c r="C132" s="72"/>
      <c r="F132" s="5"/>
      <c r="G132" s="3"/>
      <c r="H132" s="3"/>
      <c r="I132"/>
      <c r="J132"/>
      <c r="K132" s="3"/>
      <c r="M132"/>
      <c r="O132" s="3">
        <f t="shared" si="17"/>
        <v>127</v>
      </c>
      <c r="P132" s="13">
        <f t="shared" si="18"/>
        <v>2.0433920396968781</v>
      </c>
      <c r="Q132" s="13">
        <f t="shared" si="19"/>
        <v>0.20800000000000005</v>
      </c>
      <c r="R132" s="13">
        <f t="shared" si="20"/>
        <v>27.94</v>
      </c>
      <c r="S132">
        <f t="shared" si="21"/>
        <v>0.25800000000000006</v>
      </c>
      <c r="T132" s="8">
        <f t="shared" si="15"/>
        <v>2.7136476950448698E-3</v>
      </c>
      <c r="U132" s="8">
        <f t="shared" si="11"/>
        <v>2.1221781474287435E-7</v>
      </c>
      <c r="V132">
        <f t="shared" si="22"/>
        <v>2.1221781474287435E-7</v>
      </c>
      <c r="W132" s="71">
        <f t="shared" si="23"/>
        <v>3080.0000000000005</v>
      </c>
      <c r="AA132">
        <v>128</v>
      </c>
      <c r="AB132">
        <v>1.002</v>
      </c>
    </row>
    <row r="133" spans="3:28" x14ac:dyDescent="0.25">
      <c r="C133" s="72"/>
      <c r="F133" s="5"/>
      <c r="G133" s="3"/>
      <c r="H133" s="3"/>
      <c r="I133"/>
      <c r="J133"/>
      <c r="K133" s="3"/>
      <c r="M133"/>
      <c r="O133" s="3">
        <f t="shared" si="17"/>
        <v>128</v>
      </c>
      <c r="P133" s="13">
        <f t="shared" si="18"/>
        <v>2.0826880404602792</v>
      </c>
      <c r="Q133" s="13">
        <f t="shared" si="19"/>
        <v>0.21199999999999999</v>
      </c>
      <c r="R133" s="13">
        <f t="shared" si="20"/>
        <v>28.16</v>
      </c>
      <c r="S133">
        <f t="shared" si="21"/>
        <v>0.26200000000000001</v>
      </c>
      <c r="T133" s="8">
        <f t="shared" si="15"/>
        <v>2.3180202817158885E-3</v>
      </c>
      <c r="U133" s="8">
        <f t="shared" ref="U133:U150" si="24">$K$39/(1+EXP(($S133-$L$39)/$M$39))+$K$40/(1+EXP(($S133-$L$40)/$M$40))+$K$41/(1+EXP(($S133-$L$41)/$M$41))+$K$42/(1+EXP(($S133-$L$42)/$M$42))</f>
        <v>1.5601013573206833E-7</v>
      </c>
      <c r="V133">
        <f t="shared" si="22"/>
        <v>1.5601013573206833E-7</v>
      </c>
      <c r="W133" s="71">
        <f t="shared" si="23"/>
        <v>3120</v>
      </c>
      <c r="AA133">
        <v>129</v>
      </c>
      <c r="AB133">
        <v>1.002</v>
      </c>
    </row>
    <row r="134" spans="3:28" x14ac:dyDescent="0.25">
      <c r="C134" s="72"/>
      <c r="F134" s="5"/>
      <c r="G134" s="3"/>
      <c r="H134" s="3"/>
      <c r="I134"/>
      <c r="J134"/>
      <c r="K134" s="3"/>
      <c r="M134"/>
      <c r="O134" s="3">
        <f t="shared" si="17"/>
        <v>129</v>
      </c>
      <c r="P134" s="13">
        <f t="shared" si="18"/>
        <v>2.1219840412236803</v>
      </c>
      <c r="Q134" s="13">
        <f t="shared" si="19"/>
        <v>0.21599999999999997</v>
      </c>
      <c r="R134" s="13">
        <f t="shared" si="20"/>
        <v>28.38</v>
      </c>
      <c r="S134">
        <f t="shared" si="21"/>
        <v>0.26599999999999996</v>
      </c>
      <c r="T134" s="8">
        <f t="shared" ref="T134:T150" si="25">$K$34/(1+EXP(($S134-$L$34)/$M$34))+$K$35/(1+EXP(($S134-$L$35)/$M$35))+$K$36/(1+EXP(($S134-$L$36)/$M$36))+$K$37/(1+EXP(($S134-$L$37)/$M$37))</f>
        <v>1.9793731474455714E-3</v>
      </c>
      <c r="U134" s="8">
        <f t="shared" si="24"/>
        <v>1.1468953146162177E-7</v>
      </c>
      <c r="V134">
        <f t="shared" si="22"/>
        <v>1.1468953146162177E-7</v>
      </c>
      <c r="W134" s="71">
        <f t="shared" si="23"/>
        <v>3159.9999999999995</v>
      </c>
      <c r="AA134">
        <v>130</v>
      </c>
      <c r="AB134">
        <v>1.002</v>
      </c>
    </row>
    <row r="135" spans="3:28" x14ac:dyDescent="0.25">
      <c r="C135" s="72"/>
      <c r="F135" s="5"/>
      <c r="G135" s="3"/>
      <c r="H135" s="3"/>
      <c r="I135"/>
      <c r="J135"/>
      <c r="K135" s="3"/>
      <c r="M135"/>
      <c r="O135" s="3">
        <f t="shared" si="17"/>
        <v>130</v>
      </c>
      <c r="P135" s="13">
        <f t="shared" si="18"/>
        <v>2.1612800419870823</v>
      </c>
      <c r="Q135" s="13">
        <f t="shared" si="19"/>
        <v>0.22</v>
      </c>
      <c r="R135" s="13">
        <f t="shared" si="20"/>
        <v>28.6</v>
      </c>
      <c r="S135">
        <f t="shared" si="21"/>
        <v>0.27</v>
      </c>
      <c r="T135" s="8">
        <f t="shared" si="25"/>
        <v>1.6896682382857666E-3</v>
      </c>
      <c r="U135" s="8">
        <f t="shared" si="24"/>
        <v>8.4313036988896031E-8</v>
      </c>
      <c r="V135">
        <f t="shared" si="22"/>
        <v>8.4313036988896031E-8</v>
      </c>
      <c r="W135" s="71">
        <f t="shared" si="23"/>
        <v>3200</v>
      </c>
      <c r="AA135">
        <v>131</v>
      </c>
      <c r="AB135">
        <v>1.002</v>
      </c>
    </row>
    <row r="136" spans="3:28" x14ac:dyDescent="0.25">
      <c r="C136" s="72"/>
      <c r="F136" s="5"/>
      <c r="G136" s="3"/>
      <c r="H136" s="3"/>
      <c r="I136"/>
      <c r="J136"/>
      <c r="K136" s="3"/>
      <c r="M136"/>
      <c r="O136" s="3">
        <f t="shared" ref="O136:O150" si="26">O135+1</f>
        <v>131</v>
      </c>
      <c r="P136" s="13">
        <f t="shared" si="18"/>
        <v>2.2005760427504835</v>
      </c>
      <c r="Q136" s="13">
        <f t="shared" si="19"/>
        <v>0.22399999999999998</v>
      </c>
      <c r="R136" s="13">
        <f t="shared" si="20"/>
        <v>28.82</v>
      </c>
      <c r="S136">
        <f t="shared" si="21"/>
        <v>0.27399999999999997</v>
      </c>
      <c r="T136" s="8">
        <f t="shared" si="25"/>
        <v>1.4419637530856493E-3</v>
      </c>
      <c r="U136" s="8">
        <f t="shared" si="24"/>
        <v>6.1982013559163307E-8</v>
      </c>
      <c r="V136">
        <f t="shared" si="22"/>
        <v>6.1982013559163307E-8</v>
      </c>
      <c r="W136" s="71">
        <f t="shared" si="23"/>
        <v>3239.9999999999995</v>
      </c>
      <c r="AA136">
        <v>132</v>
      </c>
      <c r="AB136">
        <v>1.002</v>
      </c>
    </row>
    <row r="137" spans="3:28" x14ac:dyDescent="0.25">
      <c r="C137" s="72"/>
      <c r="F137" s="5"/>
      <c r="G137" s="3"/>
      <c r="H137" s="3"/>
      <c r="I137"/>
      <c r="J137"/>
      <c r="K137" s="3"/>
      <c r="M137"/>
      <c r="O137" s="3">
        <f t="shared" si="26"/>
        <v>132</v>
      </c>
      <c r="P137" s="13">
        <f t="shared" si="18"/>
        <v>2.2398720435138855</v>
      </c>
      <c r="Q137" s="13">
        <f t="shared" si="19"/>
        <v>0.22800000000000004</v>
      </c>
      <c r="R137" s="13">
        <f t="shared" si="20"/>
        <v>29.04</v>
      </c>
      <c r="S137">
        <f t="shared" si="21"/>
        <v>0.27800000000000002</v>
      </c>
      <c r="T137" s="8">
        <f t="shared" si="25"/>
        <v>1.2302718569802802E-3</v>
      </c>
      <c r="U137" s="8">
        <f t="shared" si="24"/>
        <v>4.5565550684653139E-8</v>
      </c>
      <c r="V137">
        <f t="shared" si="22"/>
        <v>4.5565550684653139E-8</v>
      </c>
      <c r="W137" s="71">
        <f t="shared" si="23"/>
        <v>3280.0000000000009</v>
      </c>
      <c r="AA137">
        <v>133</v>
      </c>
      <c r="AB137">
        <v>1.002</v>
      </c>
    </row>
    <row r="138" spans="3:28" x14ac:dyDescent="0.25">
      <c r="C138" s="72"/>
      <c r="F138" s="5"/>
      <c r="G138" s="3"/>
      <c r="H138" s="3"/>
      <c r="I138"/>
      <c r="J138"/>
      <c r="K138" s="3"/>
      <c r="M138"/>
      <c r="O138" s="3">
        <f t="shared" si="26"/>
        <v>133</v>
      </c>
      <c r="P138" s="13">
        <f t="shared" si="18"/>
        <v>2.2791680442772866</v>
      </c>
      <c r="Q138" s="13">
        <f t="shared" si="19"/>
        <v>0.23199999999999998</v>
      </c>
      <c r="R138" s="13">
        <f t="shared" si="20"/>
        <v>29.26</v>
      </c>
      <c r="S138">
        <f t="shared" si="21"/>
        <v>0.28199999999999997</v>
      </c>
      <c r="T138" s="8">
        <f t="shared" si="25"/>
        <v>1.0494340239484191E-3</v>
      </c>
      <c r="U138" s="8">
        <f t="shared" si="24"/>
        <v>3.3497127186953356E-8</v>
      </c>
      <c r="V138">
        <f t="shared" si="22"/>
        <v>3.3497127186953356E-8</v>
      </c>
      <c r="W138" s="71">
        <f t="shared" si="23"/>
        <v>3319.9999999999995</v>
      </c>
      <c r="AA138">
        <v>134</v>
      </c>
      <c r="AB138">
        <v>1.002</v>
      </c>
    </row>
    <row r="139" spans="3:28" x14ac:dyDescent="0.25">
      <c r="C139" s="72"/>
      <c r="F139" s="5"/>
      <c r="G139" s="3"/>
      <c r="H139" s="3"/>
      <c r="I139"/>
      <c r="J139"/>
      <c r="K139" s="3"/>
      <c r="M139"/>
      <c r="O139" s="3">
        <f t="shared" si="26"/>
        <v>134</v>
      </c>
      <c r="P139" s="13">
        <f t="shared" si="18"/>
        <v>2.3184640450406886</v>
      </c>
      <c r="Q139" s="13">
        <f t="shared" si="19"/>
        <v>0.23600000000000004</v>
      </c>
      <c r="R139" s="13">
        <f t="shared" si="20"/>
        <v>29.48</v>
      </c>
      <c r="S139">
        <f t="shared" si="21"/>
        <v>0.28600000000000003</v>
      </c>
      <c r="T139" s="8">
        <f t="shared" si="25"/>
        <v>8.9501161730143569E-4</v>
      </c>
      <c r="U139" s="8">
        <f t="shared" si="24"/>
        <v>2.4625128104165347E-8</v>
      </c>
      <c r="V139">
        <f t="shared" si="22"/>
        <v>2.4625128104165347E-8</v>
      </c>
      <c r="W139" s="71">
        <f t="shared" si="23"/>
        <v>3360.0000000000009</v>
      </c>
      <c r="AA139">
        <v>135</v>
      </c>
      <c r="AB139">
        <v>1.002</v>
      </c>
    </row>
    <row r="140" spans="3:28" x14ac:dyDescent="0.25">
      <c r="C140" s="72"/>
      <c r="F140" s="5"/>
      <c r="G140" s="3"/>
      <c r="H140" s="3"/>
      <c r="I140"/>
      <c r="J140"/>
      <c r="K140" s="3"/>
      <c r="M140"/>
      <c r="O140" s="3">
        <f t="shared" si="26"/>
        <v>135</v>
      </c>
      <c r="P140" s="13">
        <f t="shared" si="18"/>
        <v>2.3577600458040897</v>
      </c>
      <c r="Q140" s="13">
        <f t="shared" si="19"/>
        <v>0.24</v>
      </c>
      <c r="R140" s="13">
        <f t="shared" si="20"/>
        <v>29.7</v>
      </c>
      <c r="S140">
        <f t="shared" si="21"/>
        <v>0.28999999999999998</v>
      </c>
      <c r="T140" s="8">
        <f t="shared" si="25"/>
        <v>7.6318986269512318E-4</v>
      </c>
      <c r="U140" s="8">
        <f t="shared" si="24"/>
        <v>1.8102953365767135E-8</v>
      </c>
      <c r="V140">
        <f t="shared" si="22"/>
        <v>1.8102953365767135E-8</v>
      </c>
      <c r="W140" s="71">
        <f t="shared" si="23"/>
        <v>3399.9999999999995</v>
      </c>
      <c r="AA140">
        <v>136</v>
      </c>
      <c r="AB140">
        <v>1.002</v>
      </c>
    </row>
    <row r="141" spans="3:28" x14ac:dyDescent="0.25">
      <c r="C141" s="72"/>
      <c r="F141" s="5"/>
      <c r="G141" s="3"/>
      <c r="H141" s="3"/>
      <c r="I141"/>
      <c r="J141"/>
      <c r="K141" s="3"/>
      <c r="M141"/>
      <c r="O141" s="3">
        <f t="shared" si="26"/>
        <v>136</v>
      </c>
      <c r="P141" s="13">
        <f t="shared" si="18"/>
        <v>2.3970560465674908</v>
      </c>
      <c r="Q141" s="13">
        <f t="shared" si="19"/>
        <v>0.24399999999999997</v>
      </c>
      <c r="R141" s="13">
        <f t="shared" si="20"/>
        <v>29.92</v>
      </c>
      <c r="S141">
        <f t="shared" si="21"/>
        <v>0.29399999999999998</v>
      </c>
      <c r="T141" s="8">
        <f t="shared" si="25"/>
        <v>6.5069369400705347E-4</v>
      </c>
      <c r="U141" s="8">
        <f t="shared" si="24"/>
        <v>1.3308232065508493E-8</v>
      </c>
      <c r="V141">
        <f t="shared" si="22"/>
        <v>1.3308232065508493E-8</v>
      </c>
      <c r="W141" s="71">
        <f t="shared" si="23"/>
        <v>3439.9999999999995</v>
      </c>
      <c r="AA141">
        <v>137</v>
      </c>
      <c r="AB141">
        <v>1.002</v>
      </c>
    </row>
    <row r="142" spans="3:28" x14ac:dyDescent="0.25">
      <c r="C142" s="72"/>
      <c r="F142" s="5"/>
      <c r="G142" s="3"/>
      <c r="H142" s="3"/>
      <c r="I142"/>
      <c r="J142"/>
      <c r="K142" s="3"/>
      <c r="M142"/>
      <c r="O142" s="3">
        <f t="shared" si="26"/>
        <v>137</v>
      </c>
      <c r="P142" s="13">
        <f t="shared" si="18"/>
        <v>2.4363520473308928</v>
      </c>
      <c r="Q142" s="13">
        <f t="shared" si="19"/>
        <v>0.24800000000000003</v>
      </c>
      <c r="R142" s="13">
        <f t="shared" si="20"/>
        <v>30.14</v>
      </c>
      <c r="S142">
        <f t="shared" si="21"/>
        <v>0.29800000000000004</v>
      </c>
      <c r="T142" s="8">
        <f t="shared" si="25"/>
        <v>5.547141583641988E-4</v>
      </c>
      <c r="U142" s="8">
        <f t="shared" si="24"/>
        <v>9.7834334923125141E-9</v>
      </c>
      <c r="V142">
        <f t="shared" si="22"/>
        <v>9.7834334923125141E-9</v>
      </c>
      <c r="W142" s="71">
        <f t="shared" si="23"/>
        <v>3480.0000000000005</v>
      </c>
      <c r="AA142">
        <v>138</v>
      </c>
      <c r="AB142">
        <v>1.002</v>
      </c>
    </row>
    <row r="143" spans="3:28" x14ac:dyDescent="0.25">
      <c r="C143" s="72"/>
      <c r="F143" s="5"/>
      <c r="G143" s="3"/>
      <c r="H143" s="3"/>
      <c r="I143"/>
      <c r="J143"/>
      <c r="K143" s="3"/>
      <c r="M143"/>
      <c r="O143" s="3">
        <f t="shared" si="26"/>
        <v>138</v>
      </c>
      <c r="P143" s="13">
        <f t="shared" si="18"/>
        <v>2.475648048094294</v>
      </c>
      <c r="Q143" s="13">
        <f t="shared" si="19"/>
        <v>0.252</v>
      </c>
      <c r="R143" s="13">
        <f t="shared" si="20"/>
        <v>30.36</v>
      </c>
      <c r="S143">
        <f t="shared" si="21"/>
        <v>0.30199999999999999</v>
      </c>
      <c r="T143" s="8">
        <f t="shared" si="25"/>
        <v>4.728442096960962E-4</v>
      </c>
      <c r="U143" s="8">
        <f t="shared" si="24"/>
        <v>7.1922078193513495E-9</v>
      </c>
      <c r="V143">
        <f t="shared" si="22"/>
        <v>7.1922078193513495E-9</v>
      </c>
      <c r="W143" s="71">
        <f t="shared" si="23"/>
        <v>3520</v>
      </c>
      <c r="AA143">
        <v>139</v>
      </c>
      <c r="AB143">
        <v>1.002</v>
      </c>
    </row>
    <row r="144" spans="3:28" x14ac:dyDescent="0.25">
      <c r="C144" s="72"/>
      <c r="F144" s="5"/>
      <c r="G144" s="3"/>
      <c r="H144" s="3"/>
      <c r="I144"/>
      <c r="J144"/>
      <c r="K144" s="3"/>
      <c r="M144"/>
      <c r="O144" s="3">
        <f t="shared" si="26"/>
        <v>139</v>
      </c>
      <c r="P144" s="13">
        <f t="shared" si="18"/>
        <v>2.514944048857696</v>
      </c>
      <c r="Q144" s="13">
        <f t="shared" si="19"/>
        <v>0.25600000000000001</v>
      </c>
      <c r="R144" s="13">
        <f t="shared" si="20"/>
        <v>30.580000000000002</v>
      </c>
      <c r="S144">
        <f t="shared" si="21"/>
        <v>0.30599999999999999</v>
      </c>
      <c r="T144" s="8">
        <f t="shared" si="25"/>
        <v>4.0302283157160721E-4</v>
      </c>
      <c r="U144" s="8">
        <f t="shared" si="24"/>
        <v>5.287290324789777E-9</v>
      </c>
      <c r="V144">
        <f t="shared" si="22"/>
        <v>5.287290324789777E-9</v>
      </c>
      <c r="W144" s="71">
        <f t="shared" si="23"/>
        <v>3560</v>
      </c>
      <c r="AA144">
        <v>140</v>
      </c>
      <c r="AB144">
        <v>1.002</v>
      </c>
    </row>
    <row r="145" spans="3:28" x14ac:dyDescent="0.25">
      <c r="C145" s="72"/>
      <c r="F145" s="5"/>
      <c r="G145" s="3"/>
      <c r="H145" s="3"/>
      <c r="I145"/>
      <c r="J145"/>
      <c r="K145" s="3"/>
      <c r="M145"/>
      <c r="O145" s="3">
        <f t="shared" si="26"/>
        <v>140</v>
      </c>
      <c r="P145" s="13">
        <f t="shared" si="18"/>
        <v>2.5542400496210971</v>
      </c>
      <c r="Q145" s="13">
        <f t="shared" si="19"/>
        <v>0.26</v>
      </c>
      <c r="R145" s="13">
        <f t="shared" si="20"/>
        <v>30.8</v>
      </c>
      <c r="S145">
        <f t="shared" si="21"/>
        <v>0.31</v>
      </c>
      <c r="T145" s="8">
        <f t="shared" si="25"/>
        <v>3.4348652587019255E-4</v>
      </c>
      <c r="U145" s="8">
        <f t="shared" si="24"/>
        <v>3.8869064483569003E-9</v>
      </c>
      <c r="V145">
        <f t="shared" si="22"/>
        <v>3.8869064483569003E-9</v>
      </c>
      <c r="W145" s="71">
        <f t="shared" si="23"/>
        <v>3600</v>
      </c>
      <c r="AA145">
        <v>141</v>
      </c>
      <c r="AB145">
        <v>1.002</v>
      </c>
    </row>
    <row r="146" spans="3:28" x14ac:dyDescent="0.25">
      <c r="C146" s="72"/>
      <c r="F146" s="5"/>
      <c r="G146" s="3"/>
      <c r="H146" s="3"/>
      <c r="I146"/>
      <c r="J146"/>
      <c r="K146" s="3"/>
      <c r="M146"/>
      <c r="O146" s="3">
        <f t="shared" si="26"/>
        <v>141</v>
      </c>
      <c r="P146" s="13">
        <f t="shared" si="18"/>
        <v>2.5935360503844982</v>
      </c>
      <c r="Q146" s="13">
        <f t="shared" si="19"/>
        <v>0.26399999999999996</v>
      </c>
      <c r="R146" s="13">
        <f t="shared" si="20"/>
        <v>31.02</v>
      </c>
      <c r="S146">
        <f t="shared" si="21"/>
        <v>0.31399999999999995</v>
      </c>
      <c r="T146" s="8">
        <f t="shared" si="25"/>
        <v>2.9272729170536001E-4</v>
      </c>
      <c r="U146" s="8">
        <f t="shared" si="24"/>
        <v>2.8574261671344394E-9</v>
      </c>
      <c r="V146">
        <f t="shared" si="22"/>
        <v>2.8574261671344394E-9</v>
      </c>
      <c r="W146" s="71">
        <f t="shared" si="23"/>
        <v>3640</v>
      </c>
      <c r="AA146">
        <v>142</v>
      </c>
      <c r="AB146">
        <v>1.002</v>
      </c>
    </row>
    <row r="147" spans="3:28" x14ac:dyDescent="0.25">
      <c r="C147" s="72"/>
      <c r="F147" s="5"/>
      <c r="G147" s="3"/>
      <c r="H147" s="3"/>
      <c r="I147"/>
      <c r="J147"/>
      <c r="K147" s="3"/>
      <c r="M147"/>
      <c r="O147" s="3">
        <f t="shared" si="26"/>
        <v>142</v>
      </c>
      <c r="P147" s="13">
        <f t="shared" si="18"/>
        <v>2.6328320511479002</v>
      </c>
      <c r="Q147" s="13">
        <f t="shared" si="19"/>
        <v>0.26800000000000002</v>
      </c>
      <c r="R147" s="13">
        <f t="shared" si="20"/>
        <v>31.24</v>
      </c>
      <c r="S147">
        <f t="shared" si="21"/>
        <v>0.318</v>
      </c>
      <c r="T147" s="8">
        <f t="shared" si="25"/>
        <v>2.4945630208216761E-4</v>
      </c>
      <c r="U147" s="8">
        <f t="shared" si="24"/>
        <v>2.1006125063058218E-9</v>
      </c>
      <c r="V147">
        <f t="shared" si="22"/>
        <v>2.1006125063058218E-9</v>
      </c>
      <c r="W147" s="71">
        <f t="shared" si="23"/>
        <v>3680</v>
      </c>
      <c r="AA147">
        <v>143</v>
      </c>
      <c r="AB147">
        <v>1.002</v>
      </c>
    </row>
    <row r="148" spans="3:28" x14ac:dyDescent="0.25">
      <c r="C148" s="72"/>
      <c r="F148" s="5"/>
      <c r="G148" s="3"/>
      <c r="H148" s="3"/>
      <c r="I148"/>
      <c r="J148"/>
      <c r="K148" s="3"/>
      <c r="M148"/>
      <c r="O148" s="3">
        <f t="shared" si="26"/>
        <v>143</v>
      </c>
      <c r="P148" s="13">
        <f t="shared" si="18"/>
        <v>2.6721280519113013</v>
      </c>
      <c r="Q148" s="13">
        <f t="shared" si="19"/>
        <v>0.27199999999999996</v>
      </c>
      <c r="R148" s="13">
        <f t="shared" si="20"/>
        <v>31.46</v>
      </c>
      <c r="S148">
        <f t="shared" si="21"/>
        <v>0.32199999999999995</v>
      </c>
      <c r="T148" s="8">
        <f t="shared" si="25"/>
        <v>2.1257256488527537E-4</v>
      </c>
      <c r="U148" s="8">
        <f t="shared" si="24"/>
        <v>1.5442473897197163E-9</v>
      </c>
      <c r="V148">
        <f t="shared" si="22"/>
        <v>1.5442473897197163E-9</v>
      </c>
      <c r="W148" s="71">
        <f t="shared" si="23"/>
        <v>3720</v>
      </c>
      <c r="AA148">
        <v>144</v>
      </c>
      <c r="AB148">
        <v>1.002</v>
      </c>
    </row>
    <row r="149" spans="3:28" x14ac:dyDescent="0.25">
      <c r="C149" s="72"/>
      <c r="F149" s="5"/>
      <c r="G149" s="3"/>
      <c r="H149" s="3"/>
      <c r="I149"/>
      <c r="J149"/>
      <c r="K149" s="3"/>
      <c r="M149"/>
      <c r="O149" s="3">
        <f t="shared" si="26"/>
        <v>144</v>
      </c>
      <c r="P149" s="13">
        <f t="shared" si="18"/>
        <v>2.7114240526747033</v>
      </c>
      <c r="Q149" s="13">
        <f t="shared" si="19"/>
        <v>0.27600000000000002</v>
      </c>
      <c r="R149" s="13">
        <f t="shared" si="20"/>
        <v>31.68</v>
      </c>
      <c r="S149">
        <f t="shared" si="21"/>
        <v>0.32600000000000001</v>
      </c>
      <c r="T149" s="8">
        <f t="shared" si="25"/>
        <v>1.8113592981297718E-4</v>
      </c>
      <c r="U149" s="8">
        <f t="shared" si="24"/>
        <v>1.1352403133888275E-9</v>
      </c>
      <c r="V149">
        <f t="shared" si="22"/>
        <v>1.1352403133888275E-9</v>
      </c>
      <c r="W149" s="71">
        <f t="shared" si="23"/>
        <v>3760</v>
      </c>
      <c r="AA149">
        <v>145</v>
      </c>
      <c r="AB149">
        <v>1.002</v>
      </c>
    </row>
    <row r="150" spans="3:28" x14ac:dyDescent="0.25">
      <c r="C150" s="72"/>
      <c r="F150" s="5"/>
      <c r="G150" s="3"/>
      <c r="H150" s="3"/>
      <c r="I150"/>
      <c r="J150"/>
      <c r="K150" s="3"/>
      <c r="M150"/>
      <c r="O150" s="3">
        <f t="shared" si="26"/>
        <v>145</v>
      </c>
      <c r="P150" s="13">
        <f t="shared" si="18"/>
        <v>2.7507200534381044</v>
      </c>
      <c r="Q150" s="13">
        <f t="shared" si="19"/>
        <v>0.27999999999999997</v>
      </c>
      <c r="R150" s="13">
        <f t="shared" si="20"/>
        <v>31.9</v>
      </c>
      <c r="S150">
        <f t="shared" si="21"/>
        <v>0.32999999999999996</v>
      </c>
      <c r="T150" s="8">
        <f t="shared" si="25"/>
        <v>1.5434387332687253E-4</v>
      </c>
      <c r="U150" s="8">
        <f t="shared" si="24"/>
        <v>8.3456224530405994E-10</v>
      </c>
      <c r="V150">
        <f t="shared" si="22"/>
        <v>8.3456224530405994E-10</v>
      </c>
      <c r="W150" s="71">
        <f t="shared" si="23"/>
        <v>3800</v>
      </c>
      <c r="AA150">
        <v>146</v>
      </c>
      <c r="AB150">
        <v>1.002</v>
      </c>
    </row>
    <row r="151" spans="3:28" x14ac:dyDescent="0.25">
      <c r="C151" s="72"/>
      <c r="F151" s="5"/>
      <c r="G151" s="3"/>
      <c r="H151" s="3"/>
      <c r="I151"/>
      <c r="J151"/>
      <c r="K151" s="3"/>
      <c r="M151"/>
      <c r="P151" s="3"/>
      <c r="Q151" s="7"/>
      <c r="R151" s="7"/>
      <c r="S151" s="7"/>
      <c r="U151" s="8"/>
      <c r="V151" s="8"/>
      <c r="AA151">
        <v>147</v>
      </c>
      <c r="AB151">
        <v>1.002</v>
      </c>
    </row>
    <row r="152" spans="3:28" x14ac:dyDescent="0.25">
      <c r="C152" s="72"/>
      <c r="F152" s="5"/>
      <c r="G152" s="3"/>
      <c r="H152" s="3"/>
      <c r="I152"/>
      <c r="J152"/>
      <c r="K152" s="3"/>
      <c r="M152"/>
      <c r="P152" s="3"/>
      <c r="Q152" s="7"/>
      <c r="R152" s="7"/>
      <c r="S152" s="7"/>
      <c r="U152" s="8"/>
      <c r="V152" s="8"/>
      <c r="AA152">
        <v>148</v>
      </c>
      <c r="AB152">
        <v>1.002</v>
      </c>
    </row>
    <row r="153" spans="3:28" x14ac:dyDescent="0.25">
      <c r="C153" s="72"/>
      <c r="F153" s="5"/>
      <c r="G153" s="3"/>
      <c r="H153" s="3"/>
      <c r="I153"/>
      <c r="J153"/>
      <c r="K153" s="3"/>
      <c r="M153"/>
      <c r="P153" s="3"/>
      <c r="Q153" s="7"/>
      <c r="R153" s="7"/>
      <c r="S153" s="7"/>
      <c r="U153" s="8"/>
      <c r="V153" s="8"/>
      <c r="AA153">
        <v>149</v>
      </c>
      <c r="AB153">
        <v>1.002</v>
      </c>
    </row>
    <row r="154" spans="3:28" x14ac:dyDescent="0.25">
      <c r="C154" s="72"/>
      <c r="F154" s="5"/>
      <c r="G154" s="3"/>
      <c r="H154" s="3"/>
      <c r="I154"/>
      <c r="J154"/>
      <c r="K154" s="3"/>
      <c r="M154"/>
      <c r="P154" s="3"/>
      <c r="Q154" s="7"/>
      <c r="R154" s="7"/>
      <c r="S154" s="7"/>
      <c r="U154" s="8"/>
      <c r="V154" s="8"/>
      <c r="AA154">
        <v>150</v>
      </c>
      <c r="AB154">
        <v>1.002</v>
      </c>
    </row>
    <row r="155" spans="3:28" x14ac:dyDescent="0.25">
      <c r="C155" s="72"/>
      <c r="F155" s="5"/>
      <c r="G155" s="3"/>
      <c r="H155" s="3"/>
      <c r="I155"/>
      <c r="J155"/>
      <c r="K155" s="3"/>
      <c r="M155"/>
      <c r="P155" s="3"/>
      <c r="Q155" s="7"/>
      <c r="R155" s="7"/>
      <c r="S155" s="7"/>
      <c r="U155" s="8"/>
      <c r="V155" s="8"/>
      <c r="AA155">
        <v>151</v>
      </c>
      <c r="AB155">
        <v>1.002</v>
      </c>
    </row>
    <row r="156" spans="3:28" x14ac:dyDescent="0.25">
      <c r="C156" s="72"/>
      <c r="F156" s="5"/>
      <c r="G156" s="3"/>
      <c r="H156" s="3"/>
      <c r="I156"/>
      <c r="J156"/>
      <c r="K156" s="3"/>
      <c r="M156"/>
      <c r="P156" s="3"/>
      <c r="Q156" s="7"/>
      <c r="R156" s="7"/>
      <c r="S156" s="7"/>
      <c r="U156" s="8"/>
      <c r="V156" s="8"/>
      <c r="AA156">
        <v>152</v>
      </c>
      <c r="AB156">
        <v>1.002</v>
      </c>
    </row>
    <row r="157" spans="3:28" x14ac:dyDescent="0.25">
      <c r="C157" s="72"/>
      <c r="F157" s="5"/>
      <c r="G157" s="3"/>
      <c r="H157" s="3"/>
      <c r="I157"/>
      <c r="J157"/>
      <c r="K157" s="3"/>
      <c r="M157"/>
      <c r="P157" s="3"/>
      <c r="Q157" s="7"/>
      <c r="R157" s="7"/>
      <c r="S157" s="7"/>
      <c r="U157" s="8"/>
      <c r="V157" s="8"/>
      <c r="AA157">
        <v>153</v>
      </c>
      <c r="AB157">
        <v>1.002</v>
      </c>
    </row>
    <row r="158" spans="3:28" x14ac:dyDescent="0.25">
      <c r="C158" s="72"/>
      <c r="F158" s="5"/>
      <c r="G158" s="3"/>
      <c r="H158" s="3"/>
      <c r="I158"/>
      <c r="J158"/>
      <c r="K158" s="3"/>
      <c r="M158"/>
      <c r="P158" s="3"/>
      <c r="Q158" s="7"/>
      <c r="R158" s="7"/>
      <c r="S158" s="7"/>
      <c r="U158" s="8"/>
      <c r="V158" s="8"/>
      <c r="AA158">
        <v>154</v>
      </c>
      <c r="AB158">
        <v>1.002</v>
      </c>
    </row>
    <row r="159" spans="3:28" x14ac:dyDescent="0.25">
      <c r="C159" s="72"/>
      <c r="F159" s="5"/>
      <c r="G159" s="3"/>
      <c r="H159" s="3"/>
      <c r="I159"/>
      <c r="J159"/>
      <c r="K159" s="3"/>
      <c r="M159"/>
      <c r="P159" s="3"/>
      <c r="Q159" s="7"/>
      <c r="R159" s="7"/>
      <c r="S159" s="7"/>
      <c r="U159" s="8"/>
      <c r="V159" s="8"/>
      <c r="AA159">
        <v>155</v>
      </c>
      <c r="AB159">
        <v>1.002</v>
      </c>
    </row>
    <row r="160" spans="3:28" x14ac:dyDescent="0.25">
      <c r="C160" s="72"/>
      <c r="F160" s="5"/>
      <c r="G160" s="3"/>
      <c r="H160" s="3"/>
      <c r="I160"/>
      <c r="J160"/>
      <c r="K160" s="3"/>
      <c r="M160"/>
      <c r="P160" s="3"/>
      <c r="Q160" s="7"/>
      <c r="R160" s="7"/>
      <c r="S160" s="7"/>
      <c r="U160" s="8"/>
      <c r="V160" s="8"/>
      <c r="AA160">
        <v>156</v>
      </c>
      <c r="AB160">
        <v>1.002</v>
      </c>
    </row>
    <row r="161" spans="3:28" x14ac:dyDescent="0.25">
      <c r="C161" s="72"/>
      <c r="F161" s="5"/>
      <c r="G161" s="3"/>
      <c r="H161" s="3"/>
      <c r="I161"/>
      <c r="J161"/>
      <c r="K161" s="3"/>
      <c r="M161"/>
      <c r="P161" s="3"/>
      <c r="Q161" s="7"/>
      <c r="R161" s="7"/>
      <c r="S161" s="7"/>
      <c r="U161" s="8"/>
      <c r="V161" s="8"/>
      <c r="AA161">
        <v>157</v>
      </c>
      <c r="AB161">
        <v>1.002</v>
      </c>
    </row>
    <row r="162" spans="3:28" x14ac:dyDescent="0.25">
      <c r="C162" s="72"/>
      <c r="F162" s="5"/>
      <c r="G162" s="3"/>
      <c r="H162" s="3"/>
      <c r="I162"/>
      <c r="J162"/>
      <c r="K162" s="3"/>
      <c r="M162"/>
      <c r="P162" s="3"/>
      <c r="Q162" s="7"/>
      <c r="R162" s="7"/>
      <c r="S162" s="7"/>
      <c r="U162" s="8"/>
      <c r="V162" s="8"/>
      <c r="AA162">
        <v>158</v>
      </c>
      <c r="AB162">
        <v>1.002</v>
      </c>
    </row>
    <row r="163" spans="3:28" x14ac:dyDescent="0.25">
      <c r="C163" s="72"/>
      <c r="F163" s="5"/>
      <c r="G163" s="3"/>
      <c r="H163" s="3"/>
      <c r="I163"/>
      <c r="J163"/>
      <c r="K163" s="3"/>
      <c r="M163"/>
      <c r="P163" s="3"/>
      <c r="Q163" s="7"/>
      <c r="R163" s="7"/>
      <c r="S163" s="7"/>
      <c r="U163" s="8"/>
      <c r="V163" s="8"/>
      <c r="AA163">
        <v>159</v>
      </c>
      <c r="AB163">
        <v>1.002</v>
      </c>
    </row>
    <row r="164" spans="3:28" x14ac:dyDescent="0.25">
      <c r="C164" s="72"/>
      <c r="F164" s="5"/>
      <c r="G164" s="3"/>
      <c r="H164" s="3"/>
      <c r="I164"/>
      <c r="J164"/>
      <c r="K164" s="3"/>
      <c r="M164"/>
      <c r="P164" s="3"/>
      <c r="Q164" s="7"/>
      <c r="R164" s="7"/>
      <c r="S164" s="7"/>
      <c r="U164" s="8"/>
      <c r="V164" s="8"/>
      <c r="AA164">
        <v>160</v>
      </c>
      <c r="AB164">
        <v>1.002</v>
      </c>
    </row>
    <row r="165" spans="3:28" x14ac:dyDescent="0.25">
      <c r="C165" s="72"/>
      <c r="F165" s="5"/>
      <c r="G165" s="3"/>
      <c r="H165" s="3"/>
      <c r="I165"/>
      <c r="J165"/>
      <c r="K165" s="3"/>
      <c r="M165"/>
      <c r="P165" s="3"/>
      <c r="Q165" s="7"/>
      <c r="R165" s="7"/>
      <c r="S165" s="7"/>
      <c r="U165" s="8"/>
      <c r="V165" s="8"/>
      <c r="AA165">
        <v>161</v>
      </c>
      <c r="AB165">
        <v>1.002</v>
      </c>
    </row>
    <row r="166" spans="3:28" x14ac:dyDescent="0.25">
      <c r="C166" s="72"/>
      <c r="F166" s="5"/>
      <c r="G166" s="3"/>
      <c r="H166" s="3"/>
      <c r="I166"/>
      <c r="J166"/>
      <c r="K166" s="3"/>
      <c r="M166"/>
      <c r="P166" s="3"/>
      <c r="Q166" s="7"/>
      <c r="R166" s="7"/>
      <c r="S166" s="7"/>
      <c r="U166" s="8"/>
      <c r="V166" s="8"/>
      <c r="AA166">
        <v>162</v>
      </c>
      <c r="AB166">
        <v>1.002</v>
      </c>
    </row>
    <row r="167" spans="3:28" x14ac:dyDescent="0.25">
      <c r="C167" s="72"/>
      <c r="F167" s="5"/>
      <c r="G167" s="3"/>
      <c r="H167" s="3"/>
      <c r="I167"/>
      <c r="J167"/>
      <c r="K167" s="3"/>
      <c r="M167"/>
      <c r="P167" s="3"/>
      <c r="Q167" s="7"/>
      <c r="R167" s="7"/>
      <c r="S167" s="7"/>
      <c r="U167" s="8"/>
      <c r="V167" s="8"/>
      <c r="AA167">
        <v>163</v>
      </c>
      <c r="AB167">
        <v>1.002</v>
      </c>
    </row>
    <row r="168" spans="3:28" x14ac:dyDescent="0.25">
      <c r="C168" s="72"/>
      <c r="F168" s="5"/>
      <c r="G168" s="3"/>
      <c r="H168" s="3"/>
      <c r="I168"/>
      <c r="J168"/>
      <c r="K168" s="3"/>
      <c r="M168"/>
      <c r="P168" s="3"/>
      <c r="Q168" s="7"/>
      <c r="R168" s="7"/>
      <c r="S168" s="7"/>
      <c r="U168" s="8"/>
      <c r="V168" s="8"/>
      <c r="AA168">
        <v>164</v>
      </c>
      <c r="AB168">
        <v>1.002</v>
      </c>
    </row>
    <row r="169" spans="3:28" x14ac:dyDescent="0.25">
      <c r="C169" s="72"/>
      <c r="F169" s="5"/>
      <c r="G169" s="3"/>
      <c r="H169" s="3"/>
      <c r="I169"/>
      <c r="J169"/>
      <c r="K169" s="3"/>
      <c r="M169"/>
      <c r="P169" s="3"/>
      <c r="Q169" s="7"/>
      <c r="R169" s="7"/>
      <c r="S169" s="7"/>
      <c r="U169" s="8"/>
      <c r="V169" s="8"/>
      <c r="AA169">
        <v>165</v>
      </c>
      <c r="AB169">
        <v>1.002</v>
      </c>
    </row>
    <row r="170" spans="3:28" x14ac:dyDescent="0.25">
      <c r="C170" s="72"/>
      <c r="F170" s="5"/>
      <c r="G170" s="3"/>
      <c r="H170" s="3"/>
      <c r="I170"/>
      <c r="J170"/>
      <c r="K170" s="3"/>
      <c r="M170"/>
      <c r="P170" s="3"/>
      <c r="Q170" s="7"/>
      <c r="R170" s="7"/>
      <c r="S170" s="7"/>
      <c r="U170" s="8"/>
      <c r="V170" s="8"/>
      <c r="AA170">
        <v>166</v>
      </c>
      <c r="AB170">
        <v>1.002</v>
      </c>
    </row>
    <row r="171" spans="3:28" x14ac:dyDescent="0.25">
      <c r="C171" s="72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  <c r="R171" s="7"/>
      <c r="S171" s="7"/>
      <c r="U171" s="8"/>
      <c r="V171" s="8"/>
      <c r="AA171">
        <v>167</v>
      </c>
      <c r="AB171">
        <v>1.002</v>
      </c>
    </row>
    <row r="172" spans="3:28" x14ac:dyDescent="0.25">
      <c r="C172" s="72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  <c r="R172" s="7"/>
      <c r="S172" s="7"/>
      <c r="U172" s="8"/>
      <c r="V172" s="8"/>
      <c r="AA172">
        <v>168</v>
      </c>
      <c r="AB172">
        <v>1.002</v>
      </c>
    </row>
    <row r="173" spans="3:28" x14ac:dyDescent="0.25">
      <c r="C173" s="72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  <c r="R173" s="7"/>
      <c r="S173" s="7"/>
      <c r="U173" s="8"/>
      <c r="V173" s="8"/>
      <c r="AA173">
        <v>169</v>
      </c>
      <c r="AB173">
        <v>1.002</v>
      </c>
    </row>
    <row r="174" spans="3:28" x14ac:dyDescent="0.25">
      <c r="C174" s="72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  <c r="R174" s="7"/>
      <c r="S174" s="7"/>
      <c r="U174" s="8"/>
      <c r="V174" s="8"/>
      <c r="AA174">
        <v>170</v>
      </c>
      <c r="AB174">
        <v>1.002</v>
      </c>
    </row>
    <row r="175" spans="3:28" x14ac:dyDescent="0.25">
      <c r="C175" s="72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  <c r="R175" s="7"/>
      <c r="S175" s="7"/>
      <c r="U175" s="8"/>
      <c r="V175" s="8"/>
      <c r="AA175">
        <v>171</v>
      </c>
      <c r="AB175">
        <v>1.002</v>
      </c>
    </row>
    <row r="176" spans="3:28" x14ac:dyDescent="0.25">
      <c r="C176" s="72"/>
      <c r="F176" s="5"/>
      <c r="G176" s="3"/>
      <c r="H176" s="3">
        <v>-3.6042509756097498</v>
      </c>
      <c r="I176"/>
      <c r="J176"/>
      <c r="K176" s="3"/>
      <c r="M176"/>
      <c r="P176" s="3"/>
      <c r="Q176" s="7"/>
      <c r="R176" s="7"/>
      <c r="S176" s="7"/>
      <c r="U176" s="8"/>
      <c r="V176" s="8"/>
      <c r="AA176">
        <v>172</v>
      </c>
      <c r="AB176">
        <v>1.002</v>
      </c>
    </row>
    <row r="177" spans="3:28" x14ac:dyDescent="0.25">
      <c r="C177" s="72"/>
      <c r="F177" s="5"/>
      <c r="G177" s="3"/>
      <c r="H177" s="3">
        <v>-3.59206775133848</v>
      </c>
      <c r="I177"/>
      <c r="J177"/>
      <c r="K177" s="3"/>
      <c r="M177"/>
      <c r="AA177">
        <v>173</v>
      </c>
      <c r="AB177">
        <v>1.002</v>
      </c>
    </row>
    <row r="178" spans="3:28" x14ac:dyDescent="0.25">
      <c r="C178" s="72"/>
      <c r="F178" s="5"/>
      <c r="G178" s="3"/>
      <c r="H178" s="3">
        <v>-3.5798845270672102</v>
      </c>
      <c r="I178"/>
      <c r="J178"/>
      <c r="K178" s="3"/>
      <c r="M178"/>
      <c r="AA178">
        <v>174</v>
      </c>
      <c r="AB178">
        <v>1.002</v>
      </c>
    </row>
    <row r="179" spans="3:28" x14ac:dyDescent="0.25">
      <c r="C179" s="72"/>
      <c r="F179" s="5"/>
      <c r="G179" s="3"/>
      <c r="H179" s="3"/>
      <c r="I179"/>
      <c r="J179"/>
      <c r="K179" s="3"/>
      <c r="M179"/>
      <c r="AA179">
        <v>175</v>
      </c>
      <c r="AB179">
        <v>1.002</v>
      </c>
    </row>
    <row r="180" spans="3:28" x14ac:dyDescent="0.25">
      <c r="C180" s="72"/>
      <c r="F180" s="5"/>
      <c r="G180" s="3"/>
      <c r="H180" s="3"/>
      <c r="I180"/>
      <c r="J180"/>
      <c r="K180" s="3"/>
      <c r="M180"/>
      <c r="AA180">
        <v>176</v>
      </c>
      <c r="AB180">
        <v>1.002</v>
      </c>
    </row>
    <row r="181" spans="3:28" x14ac:dyDescent="0.25">
      <c r="C181" s="72"/>
      <c r="F181" s="5"/>
      <c r="G181" s="3"/>
      <c r="H181" s="3"/>
      <c r="I181"/>
      <c r="J181"/>
      <c r="K181" s="3"/>
      <c r="M181"/>
      <c r="AA181">
        <v>177</v>
      </c>
      <c r="AB181">
        <v>1.002</v>
      </c>
    </row>
    <row r="182" spans="3:28" x14ac:dyDescent="0.25">
      <c r="C182" s="72"/>
      <c r="F182" s="5"/>
      <c r="G182" s="3"/>
      <c r="H182" s="3"/>
      <c r="I182"/>
      <c r="J182"/>
      <c r="K182" s="3"/>
      <c r="M182"/>
      <c r="AA182">
        <v>178</v>
      </c>
      <c r="AB182">
        <v>1.002</v>
      </c>
    </row>
    <row r="183" spans="3:28" x14ac:dyDescent="0.25">
      <c r="C183" s="72"/>
      <c r="F183" s="5"/>
      <c r="G183" s="3"/>
      <c r="H183" s="3"/>
      <c r="I183"/>
      <c r="J183"/>
      <c r="K183" s="3"/>
      <c r="M183"/>
      <c r="AA183">
        <v>179</v>
      </c>
      <c r="AB183">
        <v>1.002</v>
      </c>
    </row>
    <row r="184" spans="3:28" x14ac:dyDescent="0.25">
      <c r="C184" s="72"/>
      <c r="F184" s="5"/>
      <c r="G184" s="3"/>
      <c r="H184" s="3"/>
      <c r="I184"/>
      <c r="J184"/>
      <c r="K184" s="3"/>
      <c r="M184"/>
      <c r="AA184">
        <v>180</v>
      </c>
      <c r="AB184">
        <v>1.002</v>
      </c>
    </row>
    <row r="185" spans="3:28" x14ac:dyDescent="0.25">
      <c r="C185" s="72"/>
      <c r="F185" s="5"/>
      <c r="G185" s="3"/>
      <c r="H185" s="3"/>
      <c r="I185"/>
      <c r="J185"/>
      <c r="K185" s="3"/>
      <c r="M185"/>
      <c r="AA185">
        <v>181</v>
      </c>
      <c r="AB185">
        <v>1.002</v>
      </c>
    </row>
    <row r="186" spans="3:28" x14ac:dyDescent="0.25">
      <c r="C186" s="72"/>
      <c r="F186" s="5"/>
      <c r="G186" s="3"/>
      <c r="H186" s="3"/>
      <c r="I186"/>
      <c r="J186"/>
      <c r="K186" s="3"/>
      <c r="M186"/>
      <c r="AA186">
        <v>182</v>
      </c>
      <c r="AB186">
        <v>1.002</v>
      </c>
    </row>
    <row r="187" spans="3:28" x14ac:dyDescent="0.25">
      <c r="C187" s="72"/>
      <c r="F187" s="5"/>
      <c r="G187" s="3"/>
      <c r="H187" s="3"/>
      <c r="I187"/>
      <c r="J187"/>
      <c r="K187" s="3"/>
      <c r="M187"/>
      <c r="AA187">
        <v>183</v>
      </c>
      <c r="AB187">
        <v>1.002</v>
      </c>
    </row>
    <row r="188" spans="3:28" x14ac:dyDescent="0.25">
      <c r="C188" s="72"/>
      <c r="F188" s="5"/>
      <c r="G188" s="3"/>
      <c r="H188" s="3"/>
      <c r="I188"/>
      <c r="J188"/>
      <c r="K188" s="3"/>
      <c r="M188"/>
      <c r="AA188">
        <v>184</v>
      </c>
      <c r="AB188">
        <v>1.002</v>
      </c>
    </row>
    <row r="189" spans="3:28" x14ac:dyDescent="0.25">
      <c r="C189" s="72"/>
      <c r="F189" s="5"/>
      <c r="G189" s="3"/>
      <c r="H189" s="3"/>
      <c r="I189"/>
      <c r="J189"/>
      <c r="K189" s="3"/>
      <c r="M189"/>
      <c r="AA189">
        <v>185</v>
      </c>
      <c r="AB189">
        <v>1.002</v>
      </c>
    </row>
    <row r="190" spans="3:28" x14ac:dyDescent="0.25">
      <c r="C190" s="72"/>
      <c r="F190" s="5"/>
      <c r="G190" s="3"/>
      <c r="H190" s="3"/>
      <c r="I190"/>
      <c r="J190"/>
      <c r="K190" s="3"/>
      <c r="M190"/>
      <c r="AA190">
        <v>186</v>
      </c>
      <c r="AB190">
        <v>1.002</v>
      </c>
    </row>
    <row r="191" spans="3:28" x14ac:dyDescent="0.25">
      <c r="C191" s="72"/>
      <c r="F191" s="5"/>
      <c r="G191" s="3"/>
      <c r="H191" s="3"/>
      <c r="I191"/>
      <c r="J191"/>
      <c r="K191" s="3"/>
      <c r="M191"/>
      <c r="AA191">
        <v>187</v>
      </c>
      <c r="AB191">
        <v>1.002</v>
      </c>
    </row>
    <row r="192" spans="3:28" x14ac:dyDescent="0.25">
      <c r="C192" s="72"/>
      <c r="F192" s="5"/>
      <c r="G192" s="3"/>
      <c r="H192" s="3"/>
      <c r="I192"/>
      <c r="J192"/>
      <c r="K192" s="3"/>
      <c r="M192"/>
      <c r="AA192">
        <v>188</v>
      </c>
      <c r="AB192">
        <v>1.0029999999999999</v>
      </c>
    </row>
    <row r="193" spans="3:28" x14ac:dyDescent="0.25">
      <c r="C193" s="72"/>
      <c r="F193" s="5"/>
      <c r="G193" s="3"/>
      <c r="H193" s="3"/>
      <c r="I193"/>
      <c r="J193"/>
      <c r="K193" s="3"/>
      <c r="M193"/>
      <c r="AA193">
        <v>189</v>
      </c>
      <c r="AB193">
        <v>1.0029999999999999</v>
      </c>
    </row>
    <row r="194" spans="3:28" x14ac:dyDescent="0.25">
      <c r="C194" s="72"/>
      <c r="F194" s="5"/>
      <c r="G194" s="3"/>
      <c r="H194" s="3"/>
      <c r="I194"/>
      <c r="J194"/>
      <c r="K194" s="3"/>
      <c r="M194"/>
      <c r="AA194">
        <v>190</v>
      </c>
      <c r="AB194">
        <v>1.0029999999999999</v>
      </c>
    </row>
    <row r="195" spans="3:28" x14ac:dyDescent="0.25">
      <c r="C195" s="72"/>
      <c r="F195" s="5"/>
      <c r="G195" s="3"/>
      <c r="H195" s="3"/>
      <c r="I195"/>
      <c r="J195"/>
      <c r="K195" s="3"/>
      <c r="M195"/>
      <c r="AA195">
        <v>191</v>
      </c>
      <c r="AB195">
        <v>1.0029999999999999</v>
      </c>
    </row>
    <row r="196" spans="3:28" x14ac:dyDescent="0.25">
      <c r="C196" s="72"/>
      <c r="F196" s="5"/>
      <c r="G196" s="3"/>
      <c r="H196" s="3"/>
      <c r="I196"/>
      <c r="J196"/>
      <c r="K196" s="3"/>
      <c r="M196"/>
      <c r="AA196">
        <v>192</v>
      </c>
      <c r="AB196">
        <v>1.0029999999999999</v>
      </c>
    </row>
    <row r="197" spans="3:28" x14ac:dyDescent="0.25">
      <c r="C197" s="72"/>
      <c r="F197" s="5"/>
      <c r="G197" s="3"/>
      <c r="H197" s="3"/>
      <c r="I197"/>
      <c r="J197"/>
      <c r="K197" s="3"/>
      <c r="M197"/>
      <c r="AA197">
        <v>193</v>
      </c>
      <c r="AB197">
        <v>1.0029999999999999</v>
      </c>
    </row>
    <row r="198" spans="3:28" x14ac:dyDescent="0.25">
      <c r="C198" s="72"/>
      <c r="F198" s="5"/>
      <c r="G198" s="3"/>
      <c r="H198" s="3"/>
      <c r="I198"/>
      <c r="J198"/>
      <c r="K198" s="3"/>
      <c r="M198"/>
      <c r="AA198">
        <v>194</v>
      </c>
      <c r="AB198">
        <v>1.0029999999999999</v>
      </c>
    </row>
    <row r="199" spans="3:28" x14ac:dyDescent="0.25">
      <c r="C199" s="72"/>
      <c r="F199" s="5"/>
      <c r="G199" s="3"/>
      <c r="H199" s="3"/>
      <c r="I199"/>
      <c r="J199"/>
      <c r="K199" s="3"/>
      <c r="M199"/>
      <c r="AA199">
        <v>195</v>
      </c>
      <c r="AB199">
        <v>1.004</v>
      </c>
    </row>
    <row r="200" spans="3:28" x14ac:dyDescent="0.25">
      <c r="C200" s="72"/>
      <c r="F200" s="5"/>
      <c r="G200" s="3"/>
      <c r="H200" s="3"/>
      <c r="I200"/>
      <c r="J200"/>
      <c r="K200" s="3"/>
      <c r="M200"/>
      <c r="AA200">
        <v>196</v>
      </c>
      <c r="AB200">
        <v>1.004</v>
      </c>
    </row>
    <row r="201" spans="3:28" x14ac:dyDescent="0.25">
      <c r="C201" s="72"/>
      <c r="F201" s="5"/>
      <c r="G201" s="3"/>
      <c r="H201" s="3"/>
      <c r="I201"/>
      <c r="J201"/>
      <c r="K201" s="3"/>
      <c r="M201"/>
      <c r="AA201">
        <v>197</v>
      </c>
      <c r="AB201">
        <v>1.004</v>
      </c>
    </row>
    <row r="202" spans="3:28" x14ac:dyDescent="0.25">
      <c r="C202" s="72"/>
      <c r="F202" s="5"/>
      <c r="G202" s="3"/>
      <c r="H202" s="3"/>
      <c r="I202"/>
      <c r="J202"/>
      <c r="K202" s="3"/>
      <c r="M202"/>
      <c r="AA202">
        <v>198</v>
      </c>
      <c r="AB202">
        <v>1.0049999999999999</v>
      </c>
    </row>
    <row r="203" spans="3:28" x14ac:dyDescent="0.25">
      <c r="C203" s="72"/>
      <c r="F203" s="5"/>
      <c r="G203" s="3"/>
      <c r="H203" s="3"/>
      <c r="I203"/>
      <c r="J203"/>
      <c r="K203" s="3"/>
      <c r="M203"/>
      <c r="AA203">
        <v>199</v>
      </c>
      <c r="AB203">
        <v>1.0049999999999999</v>
      </c>
    </row>
    <row r="204" spans="3:28" x14ac:dyDescent="0.25">
      <c r="C204" s="72"/>
      <c r="F204" s="5"/>
      <c r="G204" s="3"/>
      <c r="H204" s="3"/>
      <c r="I204"/>
      <c r="J204"/>
      <c r="K204" s="3"/>
      <c r="M204"/>
      <c r="AA204">
        <v>200</v>
      </c>
      <c r="AB204">
        <v>1.006</v>
      </c>
    </row>
    <row r="205" spans="3:28" x14ac:dyDescent="0.25">
      <c r="C205" s="72"/>
      <c r="F205" s="5"/>
      <c r="G205" s="3"/>
      <c r="H205" s="3"/>
      <c r="I205"/>
      <c r="J205"/>
      <c r="K205" s="3"/>
      <c r="M205"/>
      <c r="AA205">
        <v>201</v>
      </c>
      <c r="AB205">
        <v>1.0069999999999999</v>
      </c>
    </row>
    <row r="206" spans="3:28" x14ac:dyDescent="0.25">
      <c r="C206" s="72"/>
      <c r="F206" s="5"/>
      <c r="G206" s="3"/>
      <c r="H206" s="3"/>
      <c r="I206"/>
      <c r="J206"/>
      <c r="K206" s="3"/>
      <c r="M206"/>
      <c r="AA206">
        <v>202</v>
      </c>
      <c r="AB206">
        <v>1.008</v>
      </c>
    </row>
    <row r="207" spans="3:28" x14ac:dyDescent="0.25">
      <c r="C207" s="72"/>
      <c r="F207" s="5"/>
      <c r="G207" s="3"/>
      <c r="H207" s="3"/>
      <c r="I207"/>
      <c r="J207"/>
      <c r="K207" s="3"/>
      <c r="M207"/>
      <c r="AA207">
        <v>203</v>
      </c>
      <c r="AB207">
        <v>1.0089999999999999</v>
      </c>
    </row>
    <row r="208" spans="3:28" x14ac:dyDescent="0.25">
      <c r="C208" s="72"/>
      <c r="F208" s="5"/>
      <c r="G208" s="3"/>
      <c r="H208" s="3"/>
      <c r="I208"/>
      <c r="J208"/>
      <c r="K208" s="3"/>
      <c r="M208"/>
      <c r="AA208">
        <v>204</v>
      </c>
      <c r="AB208">
        <v>1.0109999999999999</v>
      </c>
    </row>
    <row r="209" spans="3:28" x14ac:dyDescent="0.25">
      <c r="C209" s="72"/>
      <c r="F209" s="5"/>
      <c r="G209" s="3"/>
      <c r="H209" s="3"/>
      <c r="I209"/>
      <c r="J209"/>
      <c r="K209" s="3"/>
      <c r="M209"/>
      <c r="AA209">
        <v>205</v>
      </c>
      <c r="AB209">
        <v>1.012</v>
      </c>
    </row>
    <row r="210" spans="3:28" x14ac:dyDescent="0.25">
      <c r="C210" s="72"/>
      <c r="F210" s="5"/>
      <c r="G210" s="3"/>
      <c r="H210" s="3"/>
      <c r="I210"/>
      <c r="J210"/>
      <c r="K210" s="3"/>
      <c r="M210"/>
      <c r="AA210">
        <v>206</v>
      </c>
      <c r="AB210">
        <v>1.014</v>
      </c>
    </row>
    <row r="211" spans="3:28" x14ac:dyDescent="0.25">
      <c r="C211" s="72"/>
      <c r="F211" s="5"/>
      <c r="G211" s="3"/>
      <c r="H211" s="3"/>
      <c r="I211"/>
      <c r="J211"/>
      <c r="K211" s="3"/>
      <c r="M211"/>
      <c r="AA211">
        <v>207</v>
      </c>
      <c r="AB211">
        <v>1.016</v>
      </c>
    </row>
    <row r="212" spans="3:28" x14ac:dyDescent="0.25">
      <c r="C212" s="72"/>
      <c r="F212" s="5"/>
      <c r="G212" s="3"/>
      <c r="H212" s="3"/>
      <c r="I212"/>
      <c r="J212"/>
      <c r="K212" s="3"/>
      <c r="M212"/>
      <c r="AA212">
        <v>208</v>
      </c>
      <c r="AB212">
        <v>1.0189999999999999</v>
      </c>
    </row>
    <row r="213" spans="3:28" x14ac:dyDescent="0.25">
      <c r="F213" s="5"/>
      <c r="G213" s="3"/>
      <c r="H213" s="3"/>
      <c r="I213"/>
      <c r="J213"/>
      <c r="K213" s="3"/>
      <c r="M213"/>
      <c r="AA213">
        <v>209</v>
      </c>
      <c r="AB213">
        <v>1.022</v>
      </c>
    </row>
    <row r="214" spans="3:28" x14ac:dyDescent="0.25">
      <c r="F214" s="5"/>
      <c r="G214" s="3"/>
      <c r="H214" s="3"/>
      <c r="I214"/>
      <c r="J214"/>
      <c r="K214" s="3"/>
      <c r="M214"/>
      <c r="AA214">
        <v>210</v>
      </c>
      <c r="AB214">
        <v>1.0249999999999999</v>
      </c>
    </row>
    <row r="215" spans="3:28" x14ac:dyDescent="0.25">
      <c r="F215" s="5"/>
      <c r="G215" s="3"/>
      <c r="H215" s="3"/>
      <c r="I215"/>
      <c r="J215"/>
      <c r="K215" s="3"/>
      <c r="M215"/>
      <c r="AA215">
        <v>211</v>
      </c>
      <c r="AB215">
        <v>1.0289999999999999</v>
      </c>
    </row>
    <row r="216" spans="3:28" x14ac:dyDescent="0.25">
      <c r="F216" s="5"/>
      <c r="G216" s="3"/>
      <c r="H216" s="3"/>
      <c r="I216"/>
      <c r="J216"/>
      <c r="K216" s="3"/>
      <c r="M216"/>
      <c r="AA216">
        <v>212</v>
      </c>
      <c r="AB216">
        <v>1.0329999999999999</v>
      </c>
    </row>
    <row r="217" spans="3:28" x14ac:dyDescent="0.25">
      <c r="F217" s="5"/>
      <c r="G217" s="3"/>
      <c r="H217" s="3"/>
      <c r="I217"/>
      <c r="J217"/>
      <c r="K217" s="3"/>
      <c r="M217"/>
      <c r="AA217">
        <v>213</v>
      </c>
      <c r="AB217">
        <v>1.038</v>
      </c>
    </row>
    <row r="218" spans="3:28" x14ac:dyDescent="0.25">
      <c r="G218" s="5"/>
      <c r="H218" s="3"/>
      <c r="J218"/>
      <c r="L218" s="3"/>
      <c r="M218"/>
      <c r="AA218">
        <v>214</v>
      </c>
      <c r="AB218">
        <v>1.0429999999999999</v>
      </c>
    </row>
    <row r="219" spans="3:28" x14ac:dyDescent="0.25">
      <c r="G219" s="5"/>
      <c r="H219" s="3"/>
      <c r="J219"/>
      <c r="L219" s="3"/>
      <c r="M219"/>
      <c r="AA219">
        <v>215</v>
      </c>
      <c r="AB219">
        <v>1.0489999999999999</v>
      </c>
    </row>
    <row r="220" spans="3:28" x14ac:dyDescent="0.25">
      <c r="G220" s="5"/>
      <c r="H220" s="3"/>
      <c r="J220"/>
      <c r="L220" s="3"/>
      <c r="M220"/>
      <c r="AA220">
        <v>216</v>
      </c>
      <c r="AB220">
        <v>1.056</v>
      </c>
    </row>
    <row r="221" spans="3:28" x14ac:dyDescent="0.25">
      <c r="G221" s="5"/>
      <c r="H221" s="3"/>
      <c r="J221"/>
      <c r="L221" s="3"/>
      <c r="M221"/>
      <c r="AA221">
        <v>217</v>
      </c>
      <c r="AB221">
        <v>1.0629999999999999</v>
      </c>
    </row>
    <row r="222" spans="3:28" x14ac:dyDescent="0.25">
      <c r="G222" s="5"/>
      <c r="H222" s="3"/>
      <c r="J222"/>
      <c r="L222" s="3"/>
      <c r="M222"/>
      <c r="AA222">
        <v>218</v>
      </c>
      <c r="AB222">
        <v>1.0720000000000001</v>
      </c>
    </row>
    <row r="223" spans="3:28" x14ac:dyDescent="0.25">
      <c r="G223" s="5"/>
      <c r="H223" s="3"/>
      <c r="J223"/>
      <c r="L223" s="3"/>
      <c r="M223"/>
      <c r="AA223">
        <v>219</v>
      </c>
      <c r="AB223">
        <v>1.081</v>
      </c>
    </row>
    <row r="224" spans="3:28" x14ac:dyDescent="0.25">
      <c r="G224" s="5"/>
      <c r="H224" s="3"/>
      <c r="J224"/>
      <c r="L224" s="3"/>
      <c r="M224"/>
      <c r="AA224">
        <v>220</v>
      </c>
      <c r="AB224">
        <v>1.091</v>
      </c>
    </row>
    <row r="225" spans="7:28" x14ac:dyDescent="0.25">
      <c r="G225" s="5"/>
      <c r="H225" s="3"/>
      <c r="J225"/>
      <c r="L225" s="3"/>
      <c r="M225"/>
      <c r="AA225">
        <v>221</v>
      </c>
      <c r="AB225">
        <v>1.101</v>
      </c>
    </row>
    <row r="226" spans="7:28" x14ac:dyDescent="0.25">
      <c r="G226" s="5"/>
      <c r="H226" s="3"/>
      <c r="J226"/>
      <c r="L226" s="3"/>
      <c r="M226"/>
      <c r="AA226">
        <v>222</v>
      </c>
      <c r="AB226">
        <v>1.113</v>
      </c>
    </row>
    <row r="227" spans="7:28" x14ac:dyDescent="0.25">
      <c r="G227" s="5"/>
      <c r="H227" s="3"/>
      <c r="J227"/>
      <c r="L227" s="3"/>
      <c r="M227"/>
      <c r="AA227">
        <v>223</v>
      </c>
      <c r="AB227">
        <v>1.1259999999999999</v>
      </c>
    </row>
    <row r="228" spans="7:28" x14ac:dyDescent="0.25">
      <c r="G228" s="5"/>
      <c r="H228" s="3"/>
      <c r="J228"/>
      <c r="L228" s="3"/>
      <c r="M228"/>
      <c r="AA228">
        <v>224</v>
      </c>
      <c r="AB228">
        <v>1.139</v>
      </c>
    </row>
    <row r="229" spans="7:28" x14ac:dyDescent="0.25">
      <c r="G229" s="5"/>
      <c r="H229" s="3"/>
      <c r="J229"/>
      <c r="L229" s="3"/>
      <c r="M229"/>
      <c r="AA229">
        <v>225</v>
      </c>
      <c r="AB229">
        <v>1.1539999999999999</v>
      </c>
    </row>
    <row r="230" spans="7:28" x14ac:dyDescent="0.25">
      <c r="G230" s="5"/>
      <c r="H230" s="3"/>
      <c r="J230"/>
      <c r="L230" s="3"/>
      <c r="M230"/>
      <c r="AA230">
        <v>226</v>
      </c>
      <c r="AB230">
        <v>1.169</v>
      </c>
    </row>
    <row r="231" spans="7:28" x14ac:dyDescent="0.25">
      <c r="G231" s="5"/>
      <c r="H231" s="3"/>
      <c r="J231"/>
      <c r="L231" s="3"/>
      <c r="M231"/>
      <c r="AA231">
        <v>227</v>
      </c>
      <c r="AB231">
        <v>1.1850000000000001</v>
      </c>
    </row>
    <row r="232" spans="7:28" x14ac:dyDescent="0.25">
      <c r="G232" s="5"/>
      <c r="H232" s="3"/>
      <c r="J232"/>
      <c r="L232" s="3"/>
      <c r="M232"/>
      <c r="AA232">
        <v>228</v>
      </c>
      <c r="AB232">
        <v>1.202</v>
      </c>
    </row>
    <row r="233" spans="7:28" x14ac:dyDescent="0.25">
      <c r="G233" s="5"/>
      <c r="H233" s="3"/>
      <c r="J233"/>
      <c r="L233" s="3"/>
      <c r="M233"/>
      <c r="AA233">
        <v>229</v>
      </c>
      <c r="AB233">
        <v>1.22</v>
      </c>
    </row>
    <row r="234" spans="7:28" x14ac:dyDescent="0.25">
      <c r="G234" s="5"/>
      <c r="H234" s="3"/>
      <c r="J234"/>
      <c r="L234" s="3"/>
      <c r="M234"/>
      <c r="AA234">
        <v>230</v>
      </c>
      <c r="AB234">
        <v>1.238</v>
      </c>
    </row>
    <row r="235" spans="7:28" x14ac:dyDescent="0.25">
      <c r="G235" s="5"/>
      <c r="H235" s="3"/>
      <c r="J235"/>
      <c r="L235" s="3"/>
      <c r="M235"/>
      <c r="AA235">
        <v>231</v>
      </c>
      <c r="AB235">
        <v>1.2569999999999999</v>
      </c>
    </row>
    <row r="236" spans="7:28" x14ac:dyDescent="0.25">
      <c r="G236" s="5"/>
      <c r="H236" s="3"/>
      <c r="J236"/>
      <c r="L236" s="3"/>
      <c r="M236"/>
      <c r="AA236">
        <v>232</v>
      </c>
      <c r="AB236">
        <v>1.2749999999999999</v>
      </c>
    </row>
    <row r="237" spans="7:28" x14ac:dyDescent="0.25">
      <c r="G237" s="5"/>
      <c r="H237" s="3"/>
      <c r="J237"/>
      <c r="L237" s="3"/>
      <c r="M237"/>
      <c r="AA237">
        <v>233</v>
      </c>
      <c r="AB237">
        <v>1.2929999999999999</v>
      </c>
    </row>
    <row r="238" spans="7:28" x14ac:dyDescent="0.25">
      <c r="G238" s="5"/>
      <c r="H238" s="3"/>
      <c r="J238"/>
      <c r="L238" s="3"/>
      <c r="M238"/>
      <c r="AA238">
        <v>234</v>
      </c>
      <c r="AB238">
        <v>1.3089999999999999</v>
      </c>
    </row>
    <row r="239" spans="7:28" x14ac:dyDescent="0.25">
      <c r="G239" s="5"/>
      <c r="H239" s="3"/>
      <c r="J239"/>
      <c r="L239" s="3"/>
      <c r="M239"/>
      <c r="AA239">
        <v>235</v>
      </c>
      <c r="AB239">
        <v>1.325</v>
      </c>
    </row>
    <row r="240" spans="7:28" x14ac:dyDescent="0.25">
      <c r="G240" s="5"/>
      <c r="H240" s="3"/>
      <c r="J240"/>
      <c r="L240" s="3"/>
      <c r="M240"/>
      <c r="AA240">
        <v>236</v>
      </c>
      <c r="AB240">
        <v>1.34</v>
      </c>
    </row>
    <row r="241" spans="7:28" x14ac:dyDescent="0.25">
      <c r="G241" s="5"/>
      <c r="H241" s="3"/>
      <c r="J241"/>
      <c r="L241" s="3"/>
      <c r="M241"/>
      <c r="AA241">
        <v>237</v>
      </c>
      <c r="AB241">
        <v>1.3540000000000001</v>
      </c>
    </row>
    <row r="242" spans="7:28" x14ac:dyDescent="0.25">
      <c r="G242" s="5"/>
      <c r="H242" s="3"/>
      <c r="J242"/>
      <c r="L242" s="3"/>
      <c r="M242"/>
      <c r="AA242">
        <v>238</v>
      </c>
      <c r="AB242">
        <v>1.3640000000000001</v>
      </c>
    </row>
    <row r="243" spans="7:28" x14ac:dyDescent="0.25">
      <c r="G243" s="5"/>
      <c r="H243" s="3"/>
      <c r="J243"/>
      <c r="L243" s="3"/>
      <c r="M243"/>
      <c r="AA243">
        <v>239</v>
      </c>
      <c r="AB243">
        <v>1.371</v>
      </c>
    </row>
    <row r="244" spans="7:28" x14ac:dyDescent="0.25">
      <c r="G244" s="5"/>
      <c r="H244" s="3"/>
      <c r="J244"/>
      <c r="L244" s="3"/>
      <c r="M244"/>
      <c r="AA244">
        <v>240</v>
      </c>
      <c r="AB244">
        <v>1.373</v>
      </c>
    </row>
    <row r="245" spans="7:28" x14ac:dyDescent="0.25">
      <c r="G245" s="5"/>
      <c r="H245" s="3"/>
      <c r="J245"/>
      <c r="L245" s="3"/>
      <c r="M245"/>
      <c r="AA245">
        <v>241</v>
      </c>
      <c r="AB245">
        <v>1.3680000000000001</v>
      </c>
    </row>
    <row r="246" spans="7:28" x14ac:dyDescent="0.25">
      <c r="G246" s="5"/>
      <c r="H246" s="3"/>
      <c r="J246"/>
      <c r="L246" s="3"/>
      <c r="M246"/>
      <c r="AA246">
        <v>242</v>
      </c>
      <c r="AB246">
        <v>1.3560000000000001</v>
      </c>
    </row>
    <row r="247" spans="7:28" x14ac:dyDescent="0.25">
      <c r="G247" s="5"/>
      <c r="H247" s="3"/>
      <c r="J247"/>
      <c r="L247" s="3"/>
      <c r="M247"/>
      <c r="AA247">
        <v>243</v>
      </c>
      <c r="AB247">
        <v>1.3380000000000001</v>
      </c>
    </row>
    <row r="248" spans="7:28" x14ac:dyDescent="0.25">
      <c r="G248" s="5"/>
      <c r="H248" s="3"/>
      <c r="J248"/>
      <c r="L248" s="3"/>
      <c r="M248"/>
      <c r="AA248">
        <v>244</v>
      </c>
      <c r="AB248">
        <v>1.3149999999999999</v>
      </c>
    </row>
    <row r="249" spans="7:28" x14ac:dyDescent="0.25">
      <c r="G249" s="5"/>
      <c r="H249" s="3"/>
      <c r="J249"/>
      <c r="L249" s="3"/>
      <c r="M249"/>
      <c r="AA249">
        <v>245</v>
      </c>
      <c r="AB249">
        <v>1.29</v>
      </c>
    </row>
    <row r="250" spans="7:28" x14ac:dyDescent="0.25">
      <c r="G250" s="5"/>
      <c r="H250" s="3"/>
      <c r="J250"/>
      <c r="L250" s="3"/>
      <c r="M250"/>
      <c r="AA250">
        <v>246</v>
      </c>
      <c r="AB250">
        <v>1.258</v>
      </c>
    </row>
    <row r="251" spans="7:28" x14ac:dyDescent="0.25">
      <c r="G251" s="5"/>
      <c r="H251" s="3"/>
      <c r="J251"/>
      <c r="L251" s="3"/>
      <c r="M251"/>
      <c r="AA251">
        <v>247</v>
      </c>
      <c r="AB251">
        <v>1.22</v>
      </c>
    </row>
    <row r="252" spans="7:28" x14ac:dyDescent="0.25">
      <c r="G252" s="5"/>
      <c r="H252" s="3"/>
      <c r="J252"/>
      <c r="L252" s="3"/>
      <c r="M252"/>
      <c r="AA252">
        <v>248</v>
      </c>
      <c r="AB252">
        <v>1.177</v>
      </c>
    </row>
    <row r="253" spans="7:28" x14ac:dyDescent="0.25">
      <c r="L253" s="3"/>
      <c r="M253"/>
      <c r="AA253">
        <v>249</v>
      </c>
      <c r="AB253">
        <v>1.129</v>
      </c>
    </row>
    <row r="254" spans="7:28" x14ac:dyDescent="0.25">
      <c r="AA254">
        <v>250</v>
      </c>
      <c r="AB254">
        <v>1.0840000000000001</v>
      </c>
    </row>
    <row r="255" spans="7:28" x14ac:dyDescent="0.25">
      <c r="AA255">
        <v>251</v>
      </c>
      <c r="AB255">
        <v>1.0349999999999999</v>
      </c>
    </row>
    <row r="256" spans="7:28" x14ac:dyDescent="0.25">
      <c r="AA256">
        <v>252</v>
      </c>
      <c r="AB256">
        <v>0.97899999999999998</v>
      </c>
    </row>
    <row r="257" spans="27:28" x14ac:dyDescent="0.25">
      <c r="AA257">
        <v>253</v>
      </c>
      <c r="AB257">
        <v>0.92300000000000004</v>
      </c>
    </row>
    <row r="258" spans="27:28" x14ac:dyDescent="0.25">
      <c r="AA258">
        <v>254</v>
      </c>
      <c r="AB258">
        <v>0.873</v>
      </c>
    </row>
    <row r="259" spans="27:28" x14ac:dyDescent="0.25">
      <c r="AA259">
        <v>255</v>
      </c>
      <c r="AB259">
        <v>0.82099999999999995</v>
      </c>
    </row>
    <row r="260" spans="27:28" x14ac:dyDescent="0.25">
      <c r="AA260">
        <v>256</v>
      </c>
      <c r="AB260">
        <v>0.77</v>
      </c>
    </row>
    <row r="261" spans="27:28" x14ac:dyDescent="0.25">
      <c r="AA261">
        <v>257</v>
      </c>
      <c r="AB261">
        <v>0.72199999999999998</v>
      </c>
    </row>
    <row r="262" spans="27:28" x14ac:dyDescent="0.25">
      <c r="AA262">
        <v>258</v>
      </c>
      <c r="AB262">
        <v>0.67800000000000005</v>
      </c>
    </row>
    <row r="263" spans="27:28" x14ac:dyDescent="0.25">
      <c r="AA263">
        <v>259</v>
      </c>
      <c r="AB263">
        <v>0.63300000000000001</v>
      </c>
    </row>
    <row r="264" spans="27:28" x14ac:dyDescent="0.25">
      <c r="AA264">
        <v>260</v>
      </c>
      <c r="AB264">
        <v>0.58799999999999997</v>
      </c>
    </row>
    <row r="265" spans="27:28" x14ac:dyDescent="0.25">
      <c r="AA265">
        <v>261</v>
      </c>
      <c r="AB265">
        <v>0.55000000000000004</v>
      </c>
    </row>
    <row r="266" spans="27:28" x14ac:dyDescent="0.25">
      <c r="AA266">
        <v>262</v>
      </c>
      <c r="AB266">
        <v>0.51300000000000001</v>
      </c>
    </row>
    <row r="267" spans="27:28" x14ac:dyDescent="0.25">
      <c r="AA267">
        <v>263</v>
      </c>
      <c r="AB267">
        <v>0.47799999999999998</v>
      </c>
    </row>
    <row r="268" spans="27:28" x14ac:dyDescent="0.25">
      <c r="AA268">
        <v>264</v>
      </c>
      <c r="AB268">
        <v>0.44500000000000001</v>
      </c>
    </row>
    <row r="269" spans="27:28" x14ac:dyDescent="0.25">
      <c r="AA269">
        <v>265</v>
      </c>
      <c r="AB269">
        <v>0.41799999999999998</v>
      </c>
    </row>
    <row r="270" spans="27:28" x14ac:dyDescent="0.25">
      <c r="AA270">
        <v>266</v>
      </c>
      <c r="AB270">
        <v>0.39200000000000002</v>
      </c>
    </row>
    <row r="271" spans="27:28" x14ac:dyDescent="0.25">
      <c r="AA271">
        <v>267</v>
      </c>
      <c r="AB271">
        <v>0.36499999999999999</v>
      </c>
    </row>
    <row r="272" spans="27:28" x14ac:dyDescent="0.25">
      <c r="AA272">
        <v>268</v>
      </c>
      <c r="AB272">
        <v>0.34</v>
      </c>
    </row>
    <row r="273" spans="27:28" x14ac:dyDescent="0.25">
      <c r="AA273">
        <v>269</v>
      </c>
      <c r="AB273">
        <v>0.32</v>
      </c>
    </row>
    <row r="274" spans="27:28" x14ac:dyDescent="0.25">
      <c r="AA274">
        <v>270</v>
      </c>
      <c r="AB274">
        <v>0.30099999999999999</v>
      </c>
    </row>
    <row r="275" spans="27:28" x14ac:dyDescent="0.25">
      <c r="AA275">
        <v>271</v>
      </c>
      <c r="AB275">
        <v>0.28299999999999997</v>
      </c>
    </row>
    <row r="276" spans="27:28" x14ac:dyDescent="0.25">
      <c r="AA276">
        <v>272</v>
      </c>
      <c r="AB276">
        <v>0.26500000000000001</v>
      </c>
    </row>
    <row r="277" spans="27:28" x14ac:dyDescent="0.25">
      <c r="AA277">
        <v>273</v>
      </c>
      <c r="AB277">
        <v>0.252</v>
      </c>
    </row>
    <row r="278" spans="27:28" x14ac:dyDescent="0.25">
      <c r="AA278">
        <v>274</v>
      </c>
      <c r="AB278">
        <v>0.23899999999999999</v>
      </c>
    </row>
    <row r="279" spans="27:28" x14ac:dyDescent="0.25">
      <c r="AA279">
        <v>275</v>
      </c>
      <c r="AB279">
        <v>0.22600000000000001</v>
      </c>
    </row>
    <row r="280" spans="27:28" x14ac:dyDescent="0.25">
      <c r="AA280">
        <v>276</v>
      </c>
      <c r="AB280">
        <v>0.21299999999999999</v>
      </c>
    </row>
    <row r="281" spans="27:28" x14ac:dyDescent="0.25">
      <c r="AA281">
        <v>277</v>
      </c>
      <c r="AB281">
        <v>0.20100000000000001</v>
      </c>
    </row>
    <row r="282" spans="27:28" x14ac:dyDescent="0.25">
      <c r="AA282">
        <v>278</v>
      </c>
      <c r="AB282">
        <v>0.193</v>
      </c>
    </row>
    <row r="283" spans="27:28" x14ac:dyDescent="0.25">
      <c r="AA283">
        <v>279</v>
      </c>
      <c r="AB283">
        <v>0.184</v>
      </c>
    </row>
    <row r="284" spans="27:28" x14ac:dyDescent="0.25">
      <c r="AA284">
        <v>280</v>
      </c>
      <c r="AB284">
        <v>0.17599999999999999</v>
      </c>
    </row>
    <row r="285" spans="27:28" x14ac:dyDescent="0.25">
      <c r="AA285">
        <v>281</v>
      </c>
      <c r="AB285">
        <v>0.16800000000000001</v>
      </c>
    </row>
    <row r="286" spans="27:28" x14ac:dyDescent="0.25">
      <c r="AA286">
        <v>282</v>
      </c>
      <c r="AB286">
        <v>0.16</v>
      </c>
    </row>
    <row r="287" spans="27:28" x14ac:dyDescent="0.25">
      <c r="AA287">
        <v>283</v>
      </c>
      <c r="AB287">
        <v>0.154</v>
      </c>
    </row>
    <row r="288" spans="27:28" x14ac:dyDescent="0.25">
      <c r="AA288">
        <v>284</v>
      </c>
      <c r="AB288">
        <v>0.14899999999999999</v>
      </c>
    </row>
    <row r="289" spans="27:28" x14ac:dyDescent="0.25">
      <c r="AA289">
        <v>285</v>
      </c>
      <c r="AB289">
        <v>0.14399999999999999</v>
      </c>
    </row>
    <row r="290" spans="27:28" x14ac:dyDescent="0.25">
      <c r="AA290">
        <v>286</v>
      </c>
      <c r="AB290">
        <v>0.14000000000000001</v>
      </c>
    </row>
    <row r="291" spans="27:28" x14ac:dyDescent="0.25">
      <c r="AA291">
        <v>287</v>
      </c>
      <c r="AB291">
        <v>0.13400000000000001</v>
      </c>
    </row>
    <row r="292" spans="27:28" x14ac:dyDescent="0.25">
      <c r="AA292">
        <v>288</v>
      </c>
      <c r="AB292">
        <v>0.129</v>
      </c>
    </row>
    <row r="293" spans="27:28" x14ac:dyDescent="0.25">
      <c r="AA293">
        <v>289</v>
      </c>
      <c r="AB293">
        <v>0.124</v>
      </c>
    </row>
    <row r="294" spans="27:28" x14ac:dyDescent="0.25">
      <c r="AA294">
        <v>290</v>
      </c>
      <c r="AB294">
        <v>0.12</v>
      </c>
    </row>
    <row r="295" spans="27:28" x14ac:dyDescent="0.25">
      <c r="AA295">
        <v>291</v>
      </c>
      <c r="AB295">
        <v>0.11799999999999999</v>
      </c>
    </row>
    <row r="296" spans="27:28" x14ac:dyDescent="0.25">
      <c r="AA296">
        <v>292</v>
      </c>
      <c r="AB296">
        <v>0.115</v>
      </c>
    </row>
    <row r="297" spans="27:28" x14ac:dyDescent="0.25">
      <c r="AA297">
        <v>293</v>
      </c>
      <c r="AB297">
        <v>0.112</v>
      </c>
    </row>
    <row r="298" spans="27:28" x14ac:dyDescent="0.25">
      <c r="AA298">
        <v>294</v>
      </c>
      <c r="AB298">
        <v>0.109</v>
      </c>
    </row>
    <row r="299" spans="27:28" x14ac:dyDescent="0.25">
      <c r="AA299">
        <v>295</v>
      </c>
      <c r="AB299">
        <v>0.106</v>
      </c>
    </row>
    <row r="300" spans="27:28" x14ac:dyDescent="0.25">
      <c r="AA300">
        <v>296</v>
      </c>
      <c r="AB300">
        <v>0.104</v>
      </c>
    </row>
    <row r="301" spans="27:28" x14ac:dyDescent="0.25">
      <c r="AA301">
        <v>297</v>
      </c>
      <c r="AB301">
        <v>0.10100000000000001</v>
      </c>
    </row>
    <row r="302" spans="27:28" x14ac:dyDescent="0.25">
      <c r="AA302">
        <v>298</v>
      </c>
      <c r="AB302">
        <v>9.8000000000000004E-2</v>
      </c>
    </row>
    <row r="303" spans="27:28" x14ac:dyDescent="0.25">
      <c r="AA303">
        <v>299</v>
      </c>
      <c r="AB303">
        <v>9.7000000000000003E-2</v>
      </c>
    </row>
    <row r="304" spans="27:28" x14ac:dyDescent="0.25">
      <c r="AA304">
        <v>300</v>
      </c>
      <c r="AB304">
        <v>9.5000000000000001E-2</v>
      </c>
    </row>
    <row r="305" spans="27:28" x14ac:dyDescent="0.25">
      <c r="AA305">
        <v>301</v>
      </c>
      <c r="AB305">
        <v>9.4E-2</v>
      </c>
    </row>
    <row r="306" spans="27:28" x14ac:dyDescent="0.25">
      <c r="AA306">
        <v>302</v>
      </c>
      <c r="AB306">
        <v>9.2999999999999999E-2</v>
      </c>
    </row>
    <row r="307" spans="27:28" x14ac:dyDescent="0.25">
      <c r="AA307">
        <v>303</v>
      </c>
      <c r="AB307">
        <v>9.1999999999999998E-2</v>
      </c>
    </row>
    <row r="308" spans="27:28" x14ac:dyDescent="0.25">
      <c r="AA308">
        <v>304</v>
      </c>
      <c r="AB308">
        <v>9.0999999999999998E-2</v>
      </c>
    </row>
    <row r="309" spans="27:28" x14ac:dyDescent="0.25">
      <c r="AA309">
        <v>305</v>
      </c>
      <c r="AB309">
        <v>8.8999999999999996E-2</v>
      </c>
    </row>
    <row r="310" spans="27:28" x14ac:dyDescent="0.25">
      <c r="AA310">
        <v>306</v>
      </c>
      <c r="AB310">
        <v>8.6999999999999994E-2</v>
      </c>
    </row>
    <row r="311" spans="27:28" x14ac:dyDescent="0.25">
      <c r="AA311">
        <v>307</v>
      </c>
      <c r="AB311">
        <v>8.5999999999999993E-2</v>
      </c>
    </row>
    <row r="312" spans="27:28" x14ac:dyDescent="0.25">
      <c r="AA312">
        <v>308</v>
      </c>
      <c r="AB312">
        <v>8.4000000000000005E-2</v>
      </c>
    </row>
    <row r="313" spans="27:28" x14ac:dyDescent="0.25">
      <c r="AA313">
        <v>309</v>
      </c>
      <c r="AB313">
        <v>8.2000000000000003E-2</v>
      </c>
    </row>
    <row r="314" spans="27:28" x14ac:dyDescent="0.25">
      <c r="AA314">
        <v>310</v>
      </c>
      <c r="AB314">
        <v>8.1000000000000003E-2</v>
      </c>
    </row>
    <row r="315" spans="27:28" x14ac:dyDescent="0.25">
      <c r="AA315">
        <v>311</v>
      </c>
      <c r="AB315">
        <v>0.08</v>
      </c>
    </row>
    <row r="316" spans="27:28" x14ac:dyDescent="0.25">
      <c r="AA316">
        <v>312</v>
      </c>
      <c r="AB316">
        <v>0.08</v>
      </c>
    </row>
    <row r="317" spans="27:28" x14ac:dyDescent="0.25">
      <c r="AA317">
        <v>313</v>
      </c>
      <c r="AB317">
        <v>7.9000000000000001E-2</v>
      </c>
    </row>
    <row r="318" spans="27:28" x14ac:dyDescent="0.25">
      <c r="AA318">
        <v>314</v>
      </c>
      <c r="AB318">
        <v>7.8E-2</v>
      </c>
    </row>
    <row r="319" spans="27:28" x14ac:dyDescent="0.25">
      <c r="AA319">
        <v>315</v>
      </c>
      <c r="AB319">
        <v>7.8E-2</v>
      </c>
    </row>
    <row r="320" spans="27:28" x14ac:dyDescent="0.25">
      <c r="AA320">
        <v>316</v>
      </c>
      <c r="AB320">
        <v>7.6999999999999999E-2</v>
      </c>
    </row>
    <row r="321" spans="27:28" x14ac:dyDescent="0.25">
      <c r="AA321">
        <v>317</v>
      </c>
      <c r="AB321">
        <v>7.6999999999999999E-2</v>
      </c>
    </row>
    <row r="322" spans="27:28" x14ac:dyDescent="0.25">
      <c r="AA322">
        <v>318</v>
      </c>
      <c r="AB322">
        <v>7.5999999999999998E-2</v>
      </c>
    </row>
    <row r="323" spans="27:28" x14ac:dyDescent="0.25">
      <c r="AA323">
        <v>319</v>
      </c>
      <c r="AB323">
        <v>7.5999999999999998E-2</v>
      </c>
    </row>
    <row r="324" spans="27:28" x14ac:dyDescent="0.25">
      <c r="AA324">
        <v>320</v>
      </c>
      <c r="AB324">
        <v>7.4999999999999997E-2</v>
      </c>
    </row>
    <row r="325" spans="27:28" x14ac:dyDescent="0.25">
      <c r="AA325">
        <v>321</v>
      </c>
      <c r="AB325">
        <v>7.4999999999999997E-2</v>
      </c>
    </row>
    <row r="326" spans="27:28" x14ac:dyDescent="0.25">
      <c r="AA326">
        <v>322</v>
      </c>
      <c r="AB326">
        <v>7.3999999999999996E-2</v>
      </c>
    </row>
    <row r="327" spans="27:28" x14ac:dyDescent="0.25">
      <c r="AA327">
        <v>323</v>
      </c>
      <c r="AB327">
        <v>7.3999999999999996E-2</v>
      </c>
    </row>
    <row r="328" spans="27:28" x14ac:dyDescent="0.25">
      <c r="AA328">
        <v>324</v>
      </c>
      <c r="AB328">
        <v>7.4999999999999997E-2</v>
      </c>
    </row>
    <row r="329" spans="27:28" x14ac:dyDescent="0.25">
      <c r="AA329">
        <v>325</v>
      </c>
      <c r="AB329">
        <v>7.6999999999999999E-2</v>
      </c>
    </row>
    <row r="330" spans="27:28" x14ac:dyDescent="0.25">
      <c r="AA330">
        <v>326</v>
      </c>
      <c r="AB330">
        <v>8.1000000000000003E-2</v>
      </c>
    </row>
    <row r="331" spans="27:28" x14ac:dyDescent="0.25">
      <c r="AA331">
        <v>327</v>
      </c>
      <c r="AB331">
        <v>8.5000000000000006E-2</v>
      </c>
    </row>
    <row r="332" spans="27:28" x14ac:dyDescent="0.25">
      <c r="AA332">
        <v>328</v>
      </c>
      <c r="AB332">
        <v>9.0999999999999998E-2</v>
      </c>
    </row>
    <row r="333" spans="27:28" x14ac:dyDescent="0.25">
      <c r="AA333">
        <v>329</v>
      </c>
      <c r="AB333">
        <v>0.10199999999999999</v>
      </c>
    </row>
    <row r="334" spans="27:28" x14ac:dyDescent="0.25">
      <c r="AA334">
        <v>330</v>
      </c>
      <c r="AB334">
        <v>0.14199999999999999</v>
      </c>
    </row>
    <row r="335" spans="27:28" x14ac:dyDescent="0.25">
      <c r="AA335">
        <v>331</v>
      </c>
      <c r="AB335">
        <v>0.312</v>
      </c>
    </row>
    <row r="336" spans="27:28" x14ac:dyDescent="0.25">
      <c r="AA336">
        <v>332</v>
      </c>
      <c r="AB336">
        <v>146.69399999999999</v>
      </c>
    </row>
    <row r="337" spans="27:28" x14ac:dyDescent="0.25">
      <c r="AA337">
        <v>333</v>
      </c>
      <c r="AB337">
        <v>20.422999999999998</v>
      </c>
    </row>
    <row r="338" spans="27:28" x14ac:dyDescent="0.25">
      <c r="AA338">
        <v>334</v>
      </c>
      <c r="AB338">
        <v>10.846</v>
      </c>
    </row>
    <row r="339" spans="27:28" x14ac:dyDescent="0.25">
      <c r="AA339">
        <v>335</v>
      </c>
      <c r="AB339">
        <v>7.5190000000000001</v>
      </c>
    </row>
    <row r="340" spans="27:28" x14ac:dyDescent="0.25">
      <c r="AA340">
        <v>336</v>
      </c>
      <c r="AB340">
        <v>6.2380000000000004</v>
      </c>
    </row>
    <row r="341" spans="27:28" x14ac:dyDescent="0.25">
      <c r="AA341">
        <v>337</v>
      </c>
      <c r="AB341">
        <v>5.48</v>
      </c>
    </row>
    <row r="342" spans="27:28" x14ac:dyDescent="0.25">
      <c r="AA342">
        <v>338</v>
      </c>
      <c r="AB342">
        <v>4.78</v>
      </c>
    </row>
    <row r="343" spans="27:28" x14ac:dyDescent="0.25">
      <c r="AA343">
        <v>339</v>
      </c>
      <c r="AB343">
        <v>3.6869999999999998</v>
      </c>
    </row>
    <row r="344" spans="27:28" x14ac:dyDescent="0.25">
      <c r="AA344">
        <v>340</v>
      </c>
      <c r="AB344">
        <v>2.9119999999999999</v>
      </c>
    </row>
    <row r="345" spans="27:28" x14ac:dyDescent="0.25">
      <c r="AA345">
        <v>341</v>
      </c>
      <c r="AB345">
        <v>2.41</v>
      </c>
    </row>
    <row r="346" spans="27:28" x14ac:dyDescent="0.25">
      <c r="AA346">
        <v>342</v>
      </c>
      <c r="AB346">
        <v>2.2269999999999999</v>
      </c>
    </row>
    <row r="347" spans="27:28" x14ac:dyDescent="0.25">
      <c r="AA347">
        <v>343</v>
      </c>
      <c r="AB347">
        <v>2.218</v>
      </c>
    </row>
    <row r="348" spans="27:28" x14ac:dyDescent="0.25">
      <c r="AA348">
        <v>344</v>
      </c>
      <c r="AB348">
        <v>2.3250000000000002</v>
      </c>
    </row>
    <row r="349" spans="27:28" x14ac:dyDescent="0.25">
      <c r="AA349">
        <v>345</v>
      </c>
      <c r="AB349">
        <v>2.423</v>
      </c>
    </row>
    <row r="350" spans="27:28" x14ac:dyDescent="0.25">
      <c r="AA350">
        <v>346</v>
      </c>
      <c r="AB350">
        <v>2.2589999999999999</v>
      </c>
    </row>
    <row r="351" spans="27:28" x14ac:dyDescent="0.25">
      <c r="AA351">
        <v>347</v>
      </c>
      <c r="AB351">
        <v>2.4740000000000002</v>
      </c>
    </row>
    <row r="352" spans="27:28" x14ac:dyDescent="0.25">
      <c r="AA352">
        <v>348</v>
      </c>
      <c r="AB352">
        <v>2.875</v>
      </c>
    </row>
    <row r="353" spans="27:28" x14ac:dyDescent="0.25">
      <c r="AA353">
        <v>349</v>
      </c>
      <c r="AB353">
        <v>3.4769999999999999</v>
      </c>
    </row>
    <row r="354" spans="27:28" x14ac:dyDescent="0.25">
      <c r="AA354">
        <v>350</v>
      </c>
      <c r="AB354">
        <v>3.8319999999999999</v>
      </c>
    </row>
    <row r="355" spans="27:28" x14ac:dyDescent="0.25">
      <c r="AA355">
        <v>351</v>
      </c>
      <c r="AB355">
        <v>4.0289999999999999</v>
      </c>
    </row>
    <row r="356" spans="27:28" x14ac:dyDescent="0.25">
      <c r="AA356">
        <v>352</v>
      </c>
      <c r="AB356">
        <v>4.3070000000000004</v>
      </c>
    </row>
    <row r="357" spans="27:28" x14ac:dyDescent="0.25">
      <c r="AA357">
        <v>353</v>
      </c>
      <c r="AB357">
        <v>4.66</v>
      </c>
    </row>
    <row r="358" spans="27:28" x14ac:dyDescent="0.25">
      <c r="AA358">
        <v>354</v>
      </c>
      <c r="AB358">
        <v>4.9960000000000004</v>
      </c>
    </row>
    <row r="359" spans="27:28" x14ac:dyDescent="0.25">
      <c r="AA359">
        <v>355</v>
      </c>
      <c r="AB359">
        <v>5.3819999999999997</v>
      </c>
    </row>
    <row r="360" spans="27:28" x14ac:dyDescent="0.25">
      <c r="AA360">
        <v>356</v>
      </c>
      <c r="AB360">
        <v>5.7830000000000004</v>
      </c>
    </row>
    <row r="361" spans="27:28" x14ac:dyDescent="0.25">
      <c r="AA361">
        <v>357</v>
      </c>
      <c r="AB361">
        <v>6.1630000000000003</v>
      </c>
    </row>
    <row r="362" spans="27:28" x14ac:dyDescent="0.25">
      <c r="AA362">
        <v>358</v>
      </c>
      <c r="AB362">
        <v>5.7439999999999998</v>
      </c>
    </row>
    <row r="363" spans="27:28" x14ac:dyDescent="0.25">
      <c r="AA363">
        <v>359</v>
      </c>
      <c r="AB363">
        <v>5.3090000000000002</v>
      </c>
    </row>
    <row r="364" spans="27:28" x14ac:dyDescent="0.25">
      <c r="AA364">
        <v>360</v>
      </c>
      <c r="AB364">
        <v>4.8719999999999999</v>
      </c>
    </row>
    <row r="365" spans="27:28" x14ac:dyDescent="0.25">
      <c r="AA365">
        <v>361</v>
      </c>
      <c r="AB365">
        <v>4.516</v>
      </c>
    </row>
    <row r="366" spans="27:28" x14ac:dyDescent="0.25">
      <c r="AA366">
        <v>362</v>
      </c>
      <c r="AB366">
        <v>4.4210000000000003</v>
      </c>
    </row>
    <row r="367" spans="27:28" x14ac:dyDescent="0.25">
      <c r="AA367">
        <v>363</v>
      </c>
      <c r="AB367">
        <v>4.2939999999999996</v>
      </c>
    </row>
    <row r="368" spans="27:28" x14ac:dyDescent="0.25">
      <c r="AA368">
        <v>364</v>
      </c>
      <c r="AB368">
        <v>4.2140000000000004</v>
      </c>
    </row>
    <row r="369" spans="27:28" x14ac:dyDescent="0.25">
      <c r="AA369">
        <v>365</v>
      </c>
      <c r="AB369">
        <v>4.125</v>
      </c>
    </row>
    <row r="370" spans="27:28" x14ac:dyDescent="0.25">
      <c r="AA370">
        <v>366</v>
      </c>
      <c r="AB370">
        <v>4.0250000000000004</v>
      </c>
    </row>
    <row r="371" spans="27:28" x14ac:dyDescent="0.25">
      <c r="AA371">
        <v>367</v>
      </c>
      <c r="AB371">
        <v>3.9169999999999998</v>
      </c>
    </row>
    <row r="372" spans="27:28" x14ac:dyDescent="0.25">
      <c r="AA372">
        <v>368</v>
      </c>
      <c r="AB372">
        <v>4.1740000000000004</v>
      </c>
    </row>
    <row r="373" spans="27:28" x14ac:dyDescent="0.25">
      <c r="AA373">
        <v>369</v>
      </c>
      <c r="AB373">
        <v>4.6619999999999999</v>
      </c>
    </row>
    <row r="374" spans="27:28" x14ac:dyDescent="0.25">
      <c r="AA374">
        <v>370</v>
      </c>
      <c r="AB374">
        <v>5.3520000000000003</v>
      </c>
    </row>
    <row r="375" spans="27:28" x14ac:dyDescent="0.25">
      <c r="AA375">
        <v>371</v>
      </c>
      <c r="AB375">
        <v>6.2640000000000002</v>
      </c>
    </row>
    <row r="376" spans="27:28" x14ac:dyDescent="0.25">
      <c r="AA376">
        <v>372</v>
      </c>
      <c r="AB376">
        <v>6.8079999999999998</v>
      </c>
    </row>
    <row r="377" spans="27:28" x14ac:dyDescent="0.25">
      <c r="AA377">
        <v>373</v>
      </c>
      <c r="AB377">
        <v>7.1829999999999998</v>
      </c>
    </row>
    <row r="378" spans="27:28" x14ac:dyDescent="0.25">
      <c r="AA378">
        <v>374</v>
      </c>
      <c r="AB378">
        <v>7.2690000000000001</v>
      </c>
    </row>
    <row r="379" spans="27:28" x14ac:dyDescent="0.25">
      <c r="AA379">
        <v>375</v>
      </c>
      <c r="AB379">
        <v>7.4459999999999997</v>
      </c>
    </row>
    <row r="380" spans="27:28" x14ac:dyDescent="0.25">
      <c r="AA380">
        <v>376</v>
      </c>
      <c r="AB380">
        <v>7.5709999999999997</v>
      </c>
    </row>
    <row r="381" spans="27:28" x14ac:dyDescent="0.25">
      <c r="AA381">
        <v>377</v>
      </c>
      <c r="AB381">
        <v>7.72</v>
      </c>
    </row>
    <row r="382" spans="27:28" x14ac:dyDescent="0.25">
      <c r="AA382">
        <v>378</v>
      </c>
      <c r="AB382">
        <v>7.4139999999999997</v>
      </c>
    </row>
    <row r="383" spans="27:28" x14ac:dyDescent="0.25">
      <c r="AA383">
        <v>379</v>
      </c>
      <c r="AB383">
        <v>7.1219999999999999</v>
      </c>
    </row>
    <row r="384" spans="27:28" x14ac:dyDescent="0.25">
      <c r="AA384">
        <v>380</v>
      </c>
      <c r="AB384">
        <v>7.0149999999999997</v>
      </c>
    </row>
    <row r="385" spans="27:28" x14ac:dyDescent="0.25">
      <c r="AA385">
        <v>381</v>
      </c>
      <c r="AB385">
        <v>6.48</v>
      </c>
    </row>
    <row r="386" spans="27:28" x14ac:dyDescent="0.25">
      <c r="AA386">
        <v>382</v>
      </c>
      <c r="AB386">
        <v>6.1719999999999997</v>
      </c>
    </row>
    <row r="387" spans="27:28" x14ac:dyDescent="0.25">
      <c r="AA387">
        <v>383</v>
      </c>
      <c r="AB387">
        <v>5.94</v>
      </c>
    </row>
    <row r="388" spans="27:28" x14ac:dyDescent="0.25">
      <c r="AA388">
        <v>384</v>
      </c>
      <c r="AB388">
        <v>5.7030000000000003</v>
      </c>
    </row>
    <row r="389" spans="27:28" x14ac:dyDescent="0.25">
      <c r="AA389">
        <v>385</v>
      </c>
      <c r="AB389">
        <v>5.4779999999999998</v>
      </c>
    </row>
    <row r="390" spans="27:28" x14ac:dyDescent="0.25">
      <c r="AA390">
        <v>386</v>
      </c>
      <c r="AB390">
        <v>5.4450000000000003</v>
      </c>
    </row>
    <row r="391" spans="27:28" x14ac:dyDescent="0.25">
      <c r="AA391">
        <v>387</v>
      </c>
      <c r="AB391">
        <v>5.359</v>
      </c>
    </row>
    <row r="392" spans="27:28" x14ac:dyDescent="0.25">
      <c r="AA392">
        <v>388</v>
      </c>
      <c r="AB392">
        <v>5.4550000000000001</v>
      </c>
    </row>
    <row r="393" spans="27:28" x14ac:dyDescent="0.25">
      <c r="AA393">
        <v>389</v>
      </c>
      <c r="AB393">
        <v>5.9320000000000004</v>
      </c>
    </row>
    <row r="394" spans="27:28" x14ac:dyDescent="0.25">
      <c r="AA394">
        <v>390</v>
      </c>
      <c r="AB394">
        <v>6.6890000000000001</v>
      </c>
    </row>
    <row r="395" spans="27:28" x14ac:dyDescent="0.25">
      <c r="AA395">
        <v>391</v>
      </c>
      <c r="AB395">
        <v>7.1189999999999998</v>
      </c>
    </row>
    <row r="396" spans="27:28" x14ac:dyDescent="0.25">
      <c r="AA396">
        <v>392</v>
      </c>
      <c r="AB396">
        <v>7.4690000000000003</v>
      </c>
    </row>
    <row r="397" spans="27:28" x14ac:dyDescent="0.25">
      <c r="AA397">
        <v>393</v>
      </c>
      <c r="AB397">
        <v>8.34</v>
      </c>
    </row>
    <row r="398" spans="27:28" x14ac:dyDescent="0.25">
      <c r="AA398">
        <v>394</v>
      </c>
      <c r="AB398">
        <v>8.9830000000000005</v>
      </c>
    </row>
    <row r="399" spans="27:28" x14ac:dyDescent="0.25">
      <c r="AA399">
        <v>395</v>
      </c>
      <c r="AB399">
        <v>8.5299999999999994</v>
      </c>
    </row>
    <row r="400" spans="27:28" x14ac:dyDescent="0.25">
      <c r="AA400">
        <v>396</v>
      </c>
      <c r="AB400">
        <v>7.4450000000000003</v>
      </c>
    </row>
    <row r="401" spans="27:28" x14ac:dyDescent="0.25">
      <c r="AA401">
        <v>397</v>
      </c>
      <c r="AB401">
        <v>7.4390000000000001</v>
      </c>
    </row>
    <row r="402" spans="27:28" x14ac:dyDescent="0.25">
      <c r="AA402">
        <v>398</v>
      </c>
      <c r="AB402">
        <v>7.8390000000000004</v>
      </c>
    </row>
    <row r="403" spans="27:28" x14ac:dyDescent="0.25">
      <c r="AA403">
        <v>399</v>
      </c>
      <c r="AB403">
        <v>7.2370000000000001</v>
      </c>
    </row>
    <row r="404" spans="27:28" x14ac:dyDescent="0.25">
      <c r="AA404">
        <v>400</v>
      </c>
      <c r="AB404">
        <v>6.5759999999999996</v>
      </c>
    </row>
    <row r="405" spans="27:28" x14ac:dyDescent="0.25">
      <c r="AA405">
        <v>401</v>
      </c>
      <c r="AB405">
        <v>6.3890000000000002</v>
      </c>
    </row>
    <row r="406" spans="27:28" x14ac:dyDescent="0.25">
      <c r="AA406">
        <v>402</v>
      </c>
      <c r="AB406">
        <v>6.0529999999999999</v>
      </c>
    </row>
    <row r="407" spans="27:28" x14ac:dyDescent="0.25">
      <c r="AA407">
        <v>403</v>
      </c>
      <c r="AB407">
        <v>6.7290000000000001</v>
      </c>
    </row>
    <row r="408" spans="27:28" x14ac:dyDescent="0.25">
      <c r="AA408">
        <v>404</v>
      </c>
      <c r="AB408">
        <v>7.2229999999999999</v>
      </c>
    </row>
    <row r="409" spans="27:28" x14ac:dyDescent="0.25">
      <c r="AA409">
        <v>405</v>
      </c>
      <c r="AB409">
        <v>7.0129999999999999</v>
      </c>
    </row>
    <row r="410" spans="27:28" x14ac:dyDescent="0.25">
      <c r="AA410">
        <v>406</v>
      </c>
      <c r="AB410">
        <v>5.8230000000000004</v>
      </c>
    </row>
    <row r="411" spans="27:28" x14ac:dyDescent="0.25">
      <c r="AA411">
        <v>407</v>
      </c>
      <c r="AB411">
        <v>10.07</v>
      </c>
    </row>
    <row r="412" spans="27:28" x14ac:dyDescent="0.25">
      <c r="AA412">
        <v>408</v>
      </c>
      <c r="AB412">
        <v>10.598000000000001</v>
      </c>
    </row>
    <row r="413" spans="27:28" x14ac:dyDescent="0.25">
      <c r="AA413">
        <v>409</v>
      </c>
      <c r="AB413">
        <v>15.196</v>
      </c>
    </row>
    <row r="414" spans="27:28" x14ac:dyDescent="0.25">
      <c r="AA414">
        <v>410</v>
      </c>
      <c r="AB414">
        <v>1.0860000000000001</v>
      </c>
    </row>
    <row r="415" spans="27:28" x14ac:dyDescent="0.25">
      <c r="AA415">
        <v>411</v>
      </c>
      <c r="AB415">
        <v>8.5540000000000003</v>
      </c>
    </row>
    <row r="416" spans="27:28" x14ac:dyDescent="0.25">
      <c r="AA416">
        <v>412</v>
      </c>
      <c r="AB416">
        <v>11.657</v>
      </c>
    </row>
    <row r="417" spans="27:28" x14ac:dyDescent="0.25">
      <c r="AA417">
        <v>413</v>
      </c>
      <c r="AB417">
        <v>7.5129999999999999</v>
      </c>
    </row>
    <row r="418" spans="27:28" x14ac:dyDescent="0.25">
      <c r="AA418">
        <v>414</v>
      </c>
      <c r="AB418">
        <v>8.0109999999999992</v>
      </c>
    </row>
    <row r="419" spans="27:28" x14ac:dyDescent="0.25">
      <c r="AA419">
        <v>415</v>
      </c>
      <c r="AB419">
        <v>10.222</v>
      </c>
    </row>
    <row r="420" spans="27:28" x14ac:dyDescent="0.25">
      <c r="AA420">
        <v>416</v>
      </c>
      <c r="AB420">
        <v>8.3680000000000003</v>
      </c>
    </row>
    <row r="421" spans="27:28" x14ac:dyDescent="0.25">
      <c r="AA421">
        <v>417</v>
      </c>
      <c r="AB421">
        <v>9.4130000000000003</v>
      </c>
    </row>
    <row r="422" spans="27:28" x14ac:dyDescent="0.25">
      <c r="AA422">
        <v>418</v>
      </c>
      <c r="AB422">
        <v>17.376999999999999</v>
      </c>
    </row>
    <row r="423" spans="27:28" x14ac:dyDescent="0.25">
      <c r="AA423">
        <v>419</v>
      </c>
      <c r="AB423">
        <v>14.644</v>
      </c>
    </row>
    <row r="424" spans="27:28" x14ac:dyDescent="0.25">
      <c r="AA424">
        <v>420</v>
      </c>
      <c r="AB424">
        <v>24.061</v>
      </c>
    </row>
    <row r="425" spans="27:28" x14ac:dyDescent="0.25">
      <c r="AA425">
        <v>421</v>
      </c>
      <c r="AB425">
        <v>22.042000000000002</v>
      </c>
    </row>
    <row r="426" spans="27:28" x14ac:dyDescent="0.25">
      <c r="AA426">
        <v>422</v>
      </c>
      <c r="AB426">
        <v>29.039000000000001</v>
      </c>
    </row>
    <row r="427" spans="27:28" x14ac:dyDescent="0.25">
      <c r="AA427">
        <v>423</v>
      </c>
      <c r="AB427">
        <v>46.173999999999999</v>
      </c>
    </row>
    <row r="428" spans="27:28" x14ac:dyDescent="0.25">
      <c r="AA428">
        <v>424</v>
      </c>
      <c r="AB428">
        <v>132.35300000000001</v>
      </c>
    </row>
    <row r="429" spans="27:28" x14ac:dyDescent="0.25">
      <c r="AA429">
        <v>425</v>
      </c>
      <c r="AB429">
        <v>39.344000000000001</v>
      </c>
    </row>
    <row r="430" spans="27:28" x14ac:dyDescent="0.25">
      <c r="AA430">
        <v>426</v>
      </c>
      <c r="AB430">
        <v>44.777999999999999</v>
      </c>
    </row>
    <row r="431" spans="27:28" x14ac:dyDescent="0.25">
      <c r="AA431">
        <v>427</v>
      </c>
      <c r="AB431">
        <v>15.901</v>
      </c>
    </row>
    <row r="432" spans="27:28" x14ac:dyDescent="0.25">
      <c r="AA432">
        <v>428</v>
      </c>
      <c r="AB432">
        <v>12.391</v>
      </c>
    </row>
    <row r="433" spans="27:28" x14ac:dyDescent="0.25">
      <c r="AA433">
        <v>429</v>
      </c>
      <c r="AB433">
        <v>7.1369999999999996</v>
      </c>
    </row>
    <row r="434" spans="27:28" x14ac:dyDescent="0.25">
      <c r="AA434">
        <v>430</v>
      </c>
      <c r="AB434">
        <v>12.974</v>
      </c>
    </row>
    <row r="435" spans="27:28" x14ac:dyDescent="0.25">
      <c r="AA435">
        <v>431</v>
      </c>
      <c r="AB435">
        <v>8.4060000000000006</v>
      </c>
    </row>
    <row r="436" spans="27:28" x14ac:dyDescent="0.25">
      <c r="AA436">
        <v>432</v>
      </c>
      <c r="AB436">
        <v>15.098000000000001</v>
      </c>
    </row>
    <row r="437" spans="27:28" x14ac:dyDescent="0.25">
      <c r="AA437">
        <v>433</v>
      </c>
      <c r="AB437">
        <v>10.018000000000001</v>
      </c>
    </row>
    <row r="438" spans="27:28" x14ac:dyDescent="0.25">
      <c r="AA438">
        <v>434</v>
      </c>
      <c r="AB438">
        <v>15.813000000000001</v>
      </c>
    </row>
    <row r="439" spans="27:28" x14ac:dyDescent="0.25">
      <c r="AA439">
        <v>435</v>
      </c>
      <c r="AB439">
        <v>12.019</v>
      </c>
    </row>
    <row r="440" spans="27:28" x14ac:dyDescent="0.25">
      <c r="AA440">
        <v>436</v>
      </c>
      <c r="AB440">
        <v>34.661999999999999</v>
      </c>
    </row>
    <row r="441" spans="27:28" x14ac:dyDescent="0.25">
      <c r="AA441">
        <v>437</v>
      </c>
      <c r="AB441">
        <v>23.449000000000002</v>
      </c>
    </row>
    <row r="442" spans="27:28" x14ac:dyDescent="0.25">
      <c r="AA442">
        <v>438</v>
      </c>
      <c r="AB442">
        <v>45.662999999999997</v>
      </c>
    </row>
    <row r="443" spans="27:28" x14ac:dyDescent="0.25">
      <c r="AA443">
        <v>439</v>
      </c>
      <c r="AB443">
        <v>28.701000000000001</v>
      </c>
    </row>
    <row r="444" spans="27:28" x14ac:dyDescent="0.25">
      <c r="AA444">
        <v>440</v>
      </c>
      <c r="AB444">
        <v>19.414999999999999</v>
      </c>
    </row>
    <row r="445" spans="27:28" x14ac:dyDescent="0.25">
      <c r="AA445">
        <v>441</v>
      </c>
      <c r="AB445">
        <v>0</v>
      </c>
    </row>
    <row r="446" spans="27:28" x14ac:dyDescent="0.25">
      <c r="AA446">
        <v>442</v>
      </c>
      <c r="AB446">
        <v>0</v>
      </c>
    </row>
    <row r="447" spans="27:28" x14ac:dyDescent="0.25">
      <c r="AA447">
        <v>443</v>
      </c>
      <c r="AB447">
        <v>0</v>
      </c>
    </row>
    <row r="448" spans="27:28" x14ac:dyDescent="0.25">
      <c r="AA448">
        <v>444</v>
      </c>
      <c r="AB448">
        <v>0</v>
      </c>
    </row>
    <row r="449" spans="27:28" x14ac:dyDescent="0.25">
      <c r="AA449">
        <v>445</v>
      </c>
      <c r="AB449">
        <v>0</v>
      </c>
    </row>
    <row r="450" spans="27:28" x14ac:dyDescent="0.25">
      <c r="AA450">
        <v>446</v>
      </c>
      <c r="AB450">
        <v>0</v>
      </c>
    </row>
    <row r="451" spans="27:28" x14ac:dyDescent="0.25">
      <c r="AA451">
        <v>447</v>
      </c>
      <c r="AB451">
        <v>0</v>
      </c>
    </row>
    <row r="452" spans="27:28" x14ac:dyDescent="0.25">
      <c r="AA452">
        <v>448</v>
      </c>
      <c r="AB452">
        <v>0</v>
      </c>
    </row>
    <row r="453" spans="27:28" x14ac:dyDescent="0.25">
      <c r="AA453">
        <v>449</v>
      </c>
      <c r="AB453">
        <v>0</v>
      </c>
    </row>
    <row r="454" spans="27:28" x14ac:dyDescent="0.25">
      <c r="AA454">
        <v>450</v>
      </c>
      <c r="AB454">
        <v>0</v>
      </c>
    </row>
    <row r="455" spans="27:28" x14ac:dyDescent="0.25">
      <c r="AA455">
        <v>451</v>
      </c>
      <c r="AB455">
        <v>0</v>
      </c>
    </row>
    <row r="456" spans="27:28" x14ac:dyDescent="0.25">
      <c r="AA456">
        <v>452</v>
      </c>
      <c r="AB456">
        <v>0.89800000000000002</v>
      </c>
    </row>
    <row r="457" spans="27:28" x14ac:dyDescent="0.25">
      <c r="AA457">
        <v>453</v>
      </c>
      <c r="AB457">
        <v>2.4430000000000001</v>
      </c>
    </row>
    <row r="458" spans="27:28" x14ac:dyDescent="0.25">
      <c r="AA458">
        <v>454</v>
      </c>
      <c r="AB458">
        <v>1.748</v>
      </c>
    </row>
    <row r="459" spans="27:28" x14ac:dyDescent="0.25">
      <c r="AA459">
        <v>455</v>
      </c>
      <c r="AB459">
        <v>0</v>
      </c>
    </row>
    <row r="460" spans="27:28" x14ac:dyDescent="0.25">
      <c r="AA460">
        <v>456</v>
      </c>
      <c r="AB460">
        <v>0</v>
      </c>
    </row>
    <row r="461" spans="27:28" x14ac:dyDescent="0.25">
      <c r="AA461">
        <v>457</v>
      </c>
      <c r="AB461">
        <v>14.031000000000001</v>
      </c>
    </row>
    <row r="462" spans="27:28" x14ac:dyDescent="0.25">
      <c r="AA462">
        <v>458</v>
      </c>
      <c r="AB462">
        <v>9.4190000000000005</v>
      </c>
    </row>
    <row r="463" spans="27:28" x14ac:dyDescent="0.25">
      <c r="AA463">
        <v>459</v>
      </c>
      <c r="AB463">
        <v>11.428000000000001</v>
      </c>
    </row>
    <row r="464" spans="27:28" x14ac:dyDescent="0.25">
      <c r="AA464">
        <v>460</v>
      </c>
      <c r="AB464">
        <v>7.7539999999999996</v>
      </c>
    </row>
    <row r="465" spans="27:28" x14ac:dyDescent="0.25">
      <c r="AA465">
        <v>461</v>
      </c>
      <c r="AB465">
        <v>0</v>
      </c>
    </row>
    <row r="466" spans="27:28" x14ac:dyDescent="0.25">
      <c r="AA466">
        <v>462</v>
      </c>
      <c r="AB466">
        <v>0</v>
      </c>
    </row>
    <row r="467" spans="27:28" x14ac:dyDescent="0.25">
      <c r="AA467">
        <v>463</v>
      </c>
      <c r="AB467">
        <v>0</v>
      </c>
    </row>
    <row r="468" spans="27:28" x14ac:dyDescent="0.25">
      <c r="AA468">
        <v>464</v>
      </c>
      <c r="AB468">
        <v>0</v>
      </c>
    </row>
    <row r="469" spans="27:28" x14ac:dyDescent="0.25">
      <c r="AA469">
        <v>465</v>
      </c>
      <c r="AB469">
        <v>0</v>
      </c>
    </row>
    <row r="470" spans="27:28" x14ac:dyDescent="0.25">
      <c r="AA470">
        <v>466</v>
      </c>
      <c r="AB470">
        <v>0</v>
      </c>
    </row>
    <row r="471" spans="27:28" x14ac:dyDescent="0.25">
      <c r="AA471">
        <v>467</v>
      </c>
      <c r="AB471">
        <v>0</v>
      </c>
    </row>
    <row r="472" spans="27:28" x14ac:dyDescent="0.25">
      <c r="AA472">
        <v>468</v>
      </c>
      <c r="AB472">
        <v>0</v>
      </c>
    </row>
    <row r="473" spans="27:28" x14ac:dyDescent="0.25">
      <c r="AA473">
        <v>469</v>
      </c>
      <c r="AB473">
        <v>48.707000000000001</v>
      </c>
    </row>
    <row r="474" spans="27:28" x14ac:dyDescent="0.25">
      <c r="AA474">
        <v>470</v>
      </c>
      <c r="AB474">
        <v>19.16</v>
      </c>
    </row>
    <row r="475" spans="27:28" x14ac:dyDescent="0.25">
      <c r="AA475">
        <v>471</v>
      </c>
      <c r="AB475">
        <v>17.82</v>
      </c>
    </row>
    <row r="476" spans="27:28" x14ac:dyDescent="0.25">
      <c r="AA476">
        <v>472</v>
      </c>
      <c r="AB476">
        <v>29.475000000000001</v>
      </c>
    </row>
    <row r="477" spans="27:28" x14ac:dyDescent="0.25">
      <c r="AA477">
        <v>473</v>
      </c>
      <c r="AB477">
        <v>0</v>
      </c>
    </row>
    <row r="478" spans="27:28" x14ac:dyDescent="0.25">
      <c r="AA478">
        <v>474</v>
      </c>
      <c r="AB478">
        <v>0</v>
      </c>
    </row>
    <row r="479" spans="27:28" x14ac:dyDescent="0.25">
      <c r="AA479">
        <v>475</v>
      </c>
      <c r="AB479">
        <v>0</v>
      </c>
    </row>
    <row r="480" spans="27:28" x14ac:dyDescent="0.25">
      <c r="AA480">
        <v>476</v>
      </c>
      <c r="AB480">
        <v>0</v>
      </c>
    </row>
    <row r="481" spans="27:28" x14ac:dyDescent="0.25">
      <c r="AA481">
        <v>477</v>
      </c>
      <c r="AB481">
        <v>0</v>
      </c>
    </row>
    <row r="482" spans="27:28" x14ac:dyDescent="0.25">
      <c r="AA482">
        <v>478</v>
      </c>
      <c r="AB482">
        <v>0</v>
      </c>
    </row>
    <row r="483" spans="27:28" x14ac:dyDescent="0.25">
      <c r="AA483">
        <v>479</v>
      </c>
      <c r="AB483">
        <v>0</v>
      </c>
    </row>
    <row r="484" spans="27:28" x14ac:dyDescent="0.25">
      <c r="AA484">
        <v>480</v>
      </c>
      <c r="AB484">
        <v>0</v>
      </c>
    </row>
    <row r="485" spans="27:28" x14ac:dyDescent="0.25">
      <c r="AA485">
        <v>481</v>
      </c>
      <c r="AB485">
        <v>0</v>
      </c>
    </row>
    <row r="486" spans="27:28" x14ac:dyDescent="0.25">
      <c r="AA486">
        <v>482</v>
      </c>
      <c r="AB486">
        <v>0</v>
      </c>
    </row>
    <row r="487" spans="27:28" x14ac:dyDescent="0.25">
      <c r="AA487">
        <v>483</v>
      </c>
      <c r="AB487">
        <v>0</v>
      </c>
    </row>
    <row r="488" spans="27:28" x14ac:dyDescent="0.25">
      <c r="AA488">
        <v>484</v>
      </c>
      <c r="AB488">
        <v>0</v>
      </c>
    </row>
    <row r="489" spans="27:28" x14ac:dyDescent="0.25">
      <c r="AA489">
        <v>485</v>
      </c>
      <c r="AB489">
        <v>0</v>
      </c>
    </row>
    <row r="490" spans="27:28" x14ac:dyDescent="0.25">
      <c r="AA490">
        <v>486</v>
      </c>
      <c r="AB490">
        <v>0</v>
      </c>
    </row>
    <row r="491" spans="27:28" x14ac:dyDescent="0.25">
      <c r="AA491">
        <v>487</v>
      </c>
      <c r="AB491">
        <v>0</v>
      </c>
    </row>
    <row r="492" spans="27:28" x14ac:dyDescent="0.25">
      <c r="AA492">
        <v>488</v>
      </c>
      <c r="AB492">
        <v>0</v>
      </c>
    </row>
    <row r="493" spans="27:28" x14ac:dyDescent="0.25">
      <c r="AA493">
        <v>489</v>
      </c>
      <c r="AB493">
        <v>0</v>
      </c>
    </row>
    <row r="494" spans="27:28" x14ac:dyDescent="0.25">
      <c r="AA494">
        <v>490</v>
      </c>
      <c r="AB494">
        <v>13.839</v>
      </c>
    </row>
    <row r="495" spans="27:28" x14ac:dyDescent="0.25">
      <c r="AA495">
        <v>491</v>
      </c>
      <c r="AB495">
        <v>13.3</v>
      </c>
    </row>
    <row r="496" spans="27:28" x14ac:dyDescent="0.25">
      <c r="AA496">
        <v>492</v>
      </c>
      <c r="AB496">
        <v>12.382</v>
      </c>
    </row>
    <row r="497" spans="27:28" x14ac:dyDescent="0.25">
      <c r="AA497">
        <v>493</v>
      </c>
      <c r="AB497">
        <v>6.5270000000000001</v>
      </c>
    </row>
    <row r="498" spans="27:28" x14ac:dyDescent="0.25">
      <c r="AA498">
        <v>494</v>
      </c>
      <c r="AB498">
        <v>0</v>
      </c>
    </row>
    <row r="499" spans="27:28" x14ac:dyDescent="0.25">
      <c r="AA499">
        <v>495</v>
      </c>
      <c r="AB499">
        <v>36.155000000000001</v>
      </c>
    </row>
    <row r="500" spans="27:28" x14ac:dyDescent="0.25">
      <c r="AA500">
        <v>496</v>
      </c>
      <c r="AB500">
        <v>26.236000000000001</v>
      </c>
    </row>
    <row r="501" spans="27:28" x14ac:dyDescent="0.25">
      <c r="AA501">
        <v>497</v>
      </c>
      <c r="AB501">
        <v>28.754000000000001</v>
      </c>
    </row>
    <row r="502" spans="27:28" x14ac:dyDescent="0.25">
      <c r="AA502">
        <v>498</v>
      </c>
      <c r="AB502">
        <v>0</v>
      </c>
    </row>
    <row r="503" spans="27:28" x14ac:dyDescent="0.25">
      <c r="AA503">
        <v>499</v>
      </c>
      <c r="AB503">
        <v>0</v>
      </c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42751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8.3756388019774326E-17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2.5126916405932301E-2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7" t="s">
        <v>327</v>
      </c>
      <c r="C3" s="87"/>
      <c r="D3" s="87"/>
      <c r="E3">
        <f>1.5*26/30</f>
        <v>1.3</v>
      </c>
      <c r="F3">
        <f>4.307*1.08/1.04</f>
        <v>4.4726538461538468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D4">
        <f>0.75*16.1/20</f>
        <v>0.60375000000000001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81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-1.4642254764454374</v>
      </c>
      <c r="Q5" s="13">
        <f>(P5-P$5)*$G$18*10000</f>
        <v>0</v>
      </c>
    </row>
    <row r="6" spans="1:17" x14ac:dyDescent="0.25">
      <c r="A6" t="s">
        <v>0</v>
      </c>
      <c r="C6" s="81"/>
      <c r="E6">
        <f>25*0.05</f>
        <v>1.25</v>
      </c>
      <c r="G6" s="5" t="s">
        <v>153</v>
      </c>
      <c r="H6" s="83">
        <v>4.479E+18</v>
      </c>
      <c r="I6" s="3" t="s">
        <v>155</v>
      </c>
      <c r="J6" s="17" t="s">
        <v>97</v>
      </c>
      <c r="K6" s="3">
        <f>C7+5</f>
        <v>505</v>
      </c>
      <c r="M6"/>
      <c r="O6" s="3">
        <f>O5+1</f>
        <v>1</v>
      </c>
      <c r="P6" s="13">
        <f t="shared" ref="P6:P69" si="0">$C$24*O6+$C$21</f>
        <v>-1.4005634992086793</v>
      </c>
      <c r="Q6" s="13">
        <f t="shared" ref="Q6:Q69" si="1">(P6-P$5)*$G$18*10000</f>
        <v>100</v>
      </c>
    </row>
    <row r="7" spans="1:17" x14ac:dyDescent="0.25">
      <c r="B7" t="s">
        <v>1</v>
      </c>
      <c r="C7" s="81">
        <v>500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0"/>
        <v>-1.3369015219719211</v>
      </c>
      <c r="Q7" s="13">
        <f t="shared" si="1"/>
        <v>200</v>
      </c>
    </row>
    <row r="8" spans="1:17" x14ac:dyDescent="0.25">
      <c r="B8" t="s">
        <v>2</v>
      </c>
      <c r="C8" s="81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-1.273239544735163</v>
      </c>
      <c r="Q8" s="13">
        <f t="shared" si="1"/>
        <v>300</v>
      </c>
    </row>
    <row r="9" spans="1:17" x14ac:dyDescent="0.25">
      <c r="B9" t="s">
        <v>3</v>
      </c>
      <c r="C9" s="81">
        <v>150</v>
      </c>
      <c r="E9" s="14">
        <f>E10*1000000000/I1</f>
        <v>1.2479678147990467</v>
      </c>
      <c r="F9" s="5" t="s">
        <v>209</v>
      </c>
      <c r="G9" s="6">
        <f>SQRT(G8/H6)</f>
        <v>19.72094404611769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-1.2095775674984048</v>
      </c>
      <c r="Q9" s="13">
        <f t="shared" si="1"/>
        <v>400</v>
      </c>
    </row>
    <row r="10" spans="1:17" x14ac:dyDescent="0.25">
      <c r="B10" t="s">
        <v>4</v>
      </c>
      <c r="C10" s="81">
        <v>250</v>
      </c>
      <c r="E10" s="14">
        <f>0.149/E16</f>
        <v>0.37413133870349496</v>
      </c>
      <c r="F10" s="5" t="s">
        <v>156</v>
      </c>
      <c r="G10" s="6">
        <f xml:space="preserve"> 56414.602*SQRT(H6)</f>
        <v>119393878322917.5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-1.1459155902616467</v>
      </c>
      <c r="Q10" s="13">
        <f t="shared" si="1"/>
        <v>500</v>
      </c>
    </row>
    <row r="11" spans="1:17" x14ac:dyDescent="0.25">
      <c r="B11" t="s">
        <v>5</v>
      </c>
      <c r="C11" s="81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-1.0822536130248885</v>
      </c>
      <c r="Q11" s="13">
        <f t="shared" si="1"/>
        <v>600</v>
      </c>
    </row>
    <row r="12" spans="1:17" x14ac:dyDescent="0.25">
      <c r="B12" t="s">
        <v>6</v>
      </c>
      <c r="C12" s="81">
        <v>5</v>
      </c>
      <c r="F12" s="5" t="s">
        <v>160</v>
      </c>
      <c r="G12" s="7">
        <f>SQRT(H6/G8)</f>
        <v>5.0707511651647434E-2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-1.0185916357881304</v>
      </c>
      <c r="Q12" s="13">
        <f t="shared" si="1"/>
        <v>700.00000000000011</v>
      </c>
    </row>
    <row r="13" spans="1:17" x14ac:dyDescent="0.25">
      <c r="B13" t="s">
        <v>7</v>
      </c>
      <c r="C13" s="81">
        <v>2</v>
      </c>
      <c r="F13" s="5" t="s">
        <v>161</v>
      </c>
      <c r="G13" s="6">
        <f>0.0001*G7*SQRT(G8/H6)</f>
        <v>1.5776755236894154E-3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-0.95492965855137224</v>
      </c>
      <c r="Q13" s="13">
        <f t="shared" si="1"/>
        <v>800</v>
      </c>
    </row>
    <row r="14" spans="1:17" x14ac:dyDescent="0.25">
      <c r="B14" t="s">
        <v>8</v>
      </c>
      <c r="C14" s="21">
        <f>G24</f>
        <v>2.8393070630564918</v>
      </c>
      <c r="D14" t="s">
        <v>139</v>
      </c>
      <c r="E14" s="14">
        <f>0.5*G14</f>
        <v>7.8883776184470769</v>
      </c>
      <c r="F14" s="5" t="s">
        <v>181</v>
      </c>
      <c r="G14" s="6">
        <f>10000*G13</f>
        <v>15.776755236894154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-0.89126768131461409</v>
      </c>
      <c r="Q14" s="13">
        <f t="shared" si="1"/>
        <v>900</v>
      </c>
    </row>
    <row r="15" spans="1:17" x14ac:dyDescent="0.25">
      <c r="B15" t="s">
        <v>9</v>
      </c>
      <c r="C15" s="81">
        <v>4</v>
      </c>
      <c r="D15" t="s">
        <v>138</v>
      </c>
      <c r="E15" s="14">
        <f>E14/16.7</f>
        <v>0.47235794122437585</v>
      </c>
      <c r="F15" s="5" t="s">
        <v>190</v>
      </c>
      <c r="G15" s="6">
        <f>2*PI()*1000000000000000/G10</f>
        <v>52.625690658827828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-0.82760570407785594</v>
      </c>
      <c r="Q15" s="13">
        <f t="shared" si="1"/>
        <v>1000</v>
      </c>
    </row>
    <row r="16" spans="1:17" x14ac:dyDescent="0.25">
      <c r="B16" t="s">
        <v>10</v>
      </c>
      <c r="C16" s="81">
        <v>15</v>
      </c>
      <c r="D16" t="s">
        <v>255</v>
      </c>
      <c r="E16" s="14">
        <f>0.0001*G16</f>
        <v>0.39825586521658607</v>
      </c>
      <c r="F16" s="5" t="s">
        <v>163</v>
      </c>
      <c r="G16" s="6">
        <f>2*PI()/G13</f>
        <v>3982.5586521658606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-0.76394372684109779</v>
      </c>
      <c r="Q16" s="13">
        <f t="shared" si="1"/>
        <v>1100</v>
      </c>
    </row>
    <row r="17" spans="2:17" x14ac:dyDescent="0.25">
      <c r="B17" t="s">
        <v>11</v>
      </c>
      <c r="C17" s="22">
        <f>G20</f>
        <v>7.9651173043317218</v>
      </c>
      <c r="D17" t="s">
        <v>140</v>
      </c>
      <c r="E17">
        <f>1/G17</f>
        <v>0.05</v>
      </c>
      <c r="F17" s="5" t="s">
        <v>165</v>
      </c>
      <c r="G17" s="3">
        <v>20</v>
      </c>
      <c r="H17" s="3" t="s">
        <v>166</v>
      </c>
      <c r="I17" s="1">
        <f>100*I16*G16</f>
        <v>-98.512570819974727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-0.70028174960433964</v>
      </c>
      <c r="Q17" s="13">
        <f t="shared" si="1"/>
        <v>1200</v>
      </c>
    </row>
    <row r="18" spans="2:17" x14ac:dyDescent="0.25">
      <c r="B18" t="s">
        <v>110</v>
      </c>
      <c r="C18" s="81">
        <v>7</v>
      </c>
      <c r="D18" t="s">
        <v>141</v>
      </c>
      <c r="E18" s="14">
        <f>10000*G18</f>
        <v>1570.7963267948962</v>
      </c>
      <c r="F18" s="5" t="s">
        <v>195</v>
      </c>
      <c r="G18" s="3">
        <f>0.0001*PI()*G17*G17/G7</f>
        <v>0.15707963267948963</v>
      </c>
      <c r="H18" s="3" t="s">
        <v>162</v>
      </c>
      <c r="I18">
        <f>0.5*100/G18</f>
        <v>318.30988618379075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-0.63661977236758149</v>
      </c>
      <c r="Q18" s="13">
        <f t="shared" si="1"/>
        <v>1300</v>
      </c>
    </row>
    <row r="19" spans="2:17" x14ac:dyDescent="0.25">
      <c r="B19" t="s">
        <v>12</v>
      </c>
      <c r="C19" s="23">
        <v>0.60375000000000001</v>
      </c>
      <c r="D19" t="s">
        <v>142</v>
      </c>
      <c r="E19">
        <f>SQRT(C19*0.7)</f>
        <v>0.65009614673523486</v>
      </c>
      <c r="F19" s="5" t="s">
        <v>196</v>
      </c>
      <c r="G19" s="6">
        <f>G18*G16</f>
        <v>625.57885020673666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-0.57295779513082334</v>
      </c>
      <c r="Q19" s="13">
        <f t="shared" si="1"/>
        <v>1400.0000000000002</v>
      </c>
    </row>
    <row r="20" spans="2:17" x14ac:dyDescent="0.25">
      <c r="B20" t="s">
        <v>254</v>
      </c>
      <c r="C20" s="81">
        <v>2</v>
      </c>
      <c r="D20" t="s">
        <v>143</v>
      </c>
      <c r="E20">
        <v>7.1294579999999996</v>
      </c>
      <c r="F20" s="5" t="s">
        <v>11</v>
      </c>
      <c r="G20" s="7">
        <f>0.0001*G17*G16</f>
        <v>7.9651173043317218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-0.50929581789406519</v>
      </c>
      <c r="Q20" s="13">
        <f t="shared" si="1"/>
        <v>1500</v>
      </c>
    </row>
    <row r="21" spans="2:17" x14ac:dyDescent="0.25">
      <c r="B21" t="s">
        <v>13</v>
      </c>
      <c r="C21" s="22">
        <f>-0.23/G$18</f>
        <v>-1.4642254764454374</v>
      </c>
      <c r="D21" t="s">
        <v>144</v>
      </c>
      <c r="E21" s="20">
        <f>10000*E20/G16</f>
        <v>17.90170245483451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-0.44563384065730705</v>
      </c>
      <c r="Q21" s="13">
        <f t="shared" si="1"/>
        <v>1600</v>
      </c>
    </row>
    <row r="22" spans="2:17" x14ac:dyDescent="0.25">
      <c r="B22" t="s">
        <v>14</v>
      </c>
      <c r="C22" s="81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-0.3819718634205489</v>
      </c>
      <c r="Q22" s="13">
        <f t="shared" si="1"/>
        <v>1700.0000000000002</v>
      </c>
    </row>
    <row r="23" spans="2:17" x14ac:dyDescent="0.25">
      <c r="B23" t="s">
        <v>15</v>
      </c>
      <c r="C23" s="22">
        <f>0.22/G$18</f>
        <v>1.4005634992086793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-0.31830988618379075</v>
      </c>
      <c r="Q23" s="13">
        <f t="shared" si="1"/>
        <v>1800</v>
      </c>
    </row>
    <row r="24" spans="2:17" x14ac:dyDescent="0.25">
      <c r="B24" t="s">
        <v>16</v>
      </c>
      <c r="C24" s="81">
        <f>(C23-C21)/45</f>
        <v>6.3661977236758149E-2</v>
      </c>
      <c r="D24" t="s">
        <v>146</v>
      </c>
      <c r="F24" s="5" t="s">
        <v>8</v>
      </c>
      <c r="G24" s="11">
        <f>0.000000000000001*G22*G10</f>
        <v>2.8393070630564918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-0.2546479089470326</v>
      </c>
      <c r="Q24" s="13">
        <f t="shared" si="1"/>
        <v>1900</v>
      </c>
    </row>
    <row r="25" spans="2:17" x14ac:dyDescent="0.25">
      <c r="B25" t="s">
        <v>17</v>
      </c>
      <c r="C25" s="81">
        <v>300</v>
      </c>
      <c r="D25">
        <f>3.21/2.92</f>
        <v>1.0993150684931507</v>
      </c>
      <c r="E25">
        <f>G25*375/600</f>
        <v>13.649566914410308</v>
      </c>
      <c r="F25" s="5" t="s">
        <v>175</v>
      </c>
      <c r="G25" s="11">
        <f>C14+C15+C16</f>
        <v>21.839307063056491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-0.19098593171027445</v>
      </c>
      <c r="Q25" s="13">
        <f t="shared" si="1"/>
        <v>2000</v>
      </c>
    </row>
    <row r="26" spans="2:17" x14ac:dyDescent="0.25">
      <c r="B26" t="s">
        <v>18</v>
      </c>
      <c r="C26" s="81">
        <v>6</v>
      </c>
      <c r="D26">
        <f>2*C19</f>
        <v>1.2075</v>
      </c>
      <c r="E26" s="12"/>
      <c r="F26" s="5" t="s">
        <v>178</v>
      </c>
      <c r="G26" s="11">
        <f>G20*C18</f>
        <v>55.755821130322055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-0.1273239544735163</v>
      </c>
      <c r="Q26" s="13">
        <f t="shared" si="1"/>
        <v>2100</v>
      </c>
    </row>
    <row r="27" spans="2:17" x14ac:dyDescent="0.25">
      <c r="B27" t="s">
        <v>19</v>
      </c>
      <c r="C27" s="81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54.837377099718239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-6.3661977236758149E-2</v>
      </c>
      <c r="Q27" s="13">
        <f t="shared" si="1"/>
        <v>2200</v>
      </c>
    </row>
    <row r="28" spans="2:17" x14ac:dyDescent="0.25">
      <c r="B28" t="s">
        <v>20</v>
      </c>
      <c r="C28" s="81">
        <v>20</v>
      </c>
      <c r="D28">
        <f>2.142311</f>
        <v>2.1423109999999999</v>
      </c>
      <c r="F28" s="5" t="s">
        <v>179</v>
      </c>
      <c r="G28" s="6">
        <f>G26*10000/G16</f>
        <v>140.00000000000003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0</v>
      </c>
      <c r="Q28" s="13">
        <f t="shared" si="1"/>
        <v>2300</v>
      </c>
    </row>
    <row r="29" spans="2:17" x14ac:dyDescent="0.25">
      <c r="B29" t="s">
        <v>21</v>
      </c>
      <c r="C29" s="81">
        <v>100</v>
      </c>
      <c r="D29">
        <f>D27/D28</f>
        <v>1.0559008472626059</v>
      </c>
      <c r="E29">
        <f>C14/G29</f>
        <v>65.004513532837336</v>
      </c>
      <c r="F29" s="5" t="s">
        <v>177</v>
      </c>
      <c r="G29" s="3">
        <f>G25/C7</f>
        <v>4.3678614126112986E-2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6.3661977236758149E-2</v>
      </c>
      <c r="Q29" s="13">
        <f t="shared" si="1"/>
        <v>2400</v>
      </c>
    </row>
    <row r="30" spans="2:17" x14ac:dyDescent="0.25">
      <c r="B30" t="s">
        <v>22</v>
      </c>
      <c r="C30" s="22">
        <f>G12</f>
        <v>5.0707511651647434E-2</v>
      </c>
      <c r="D30" t="s">
        <v>147</v>
      </c>
      <c r="F30" s="5" t="s">
        <v>180</v>
      </c>
      <c r="G30" s="6">
        <f>10000*G29/G16</f>
        <v>0.10967475419943649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0.1273239544735163</v>
      </c>
      <c r="Q30" s="13">
        <f t="shared" si="1"/>
        <v>2500</v>
      </c>
    </row>
    <row r="31" spans="2:17" x14ac:dyDescent="0.25">
      <c r="B31" t="s">
        <v>23</v>
      </c>
      <c r="C31" s="81">
        <v>2</v>
      </c>
      <c r="D31">
        <f>D29^2</f>
        <v>1.1149265992498891</v>
      </c>
      <c r="E31" s="8">
        <f>C17/G31</f>
        <v>57.142857142857139</v>
      </c>
      <c r="F31" s="5" t="s">
        <v>182</v>
      </c>
      <c r="G31" s="3">
        <f>G26/C8</f>
        <v>0.13938955282580515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0.19098593171027445</v>
      </c>
      <c r="Q31" s="13">
        <f t="shared" si="1"/>
        <v>2600</v>
      </c>
    </row>
    <row r="32" spans="2:17" x14ac:dyDescent="0.25">
      <c r="B32" t="s">
        <v>24</v>
      </c>
      <c r="C32" s="81">
        <v>0.5</v>
      </c>
      <c r="D32">
        <f>D31*0.6</f>
        <v>0.66895595954993348</v>
      </c>
      <c r="F32" s="5" t="s">
        <v>183</v>
      </c>
      <c r="G32" s="6">
        <f>G31*10000/G16</f>
        <v>0.35000000000000003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0.2546479089470326</v>
      </c>
      <c r="Q32" s="13">
        <f t="shared" si="1"/>
        <v>2700</v>
      </c>
    </row>
    <row r="33" spans="2:17" x14ac:dyDescent="0.25">
      <c r="B33" t="s">
        <v>25</v>
      </c>
      <c r="C33" s="81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0.31830988618379075</v>
      </c>
      <c r="Q33" s="13">
        <f t="shared" si="1"/>
        <v>2800.0000000000005</v>
      </c>
    </row>
    <row r="34" spans="2:17" x14ac:dyDescent="0.25">
      <c r="B34" t="s">
        <v>26</v>
      </c>
      <c r="C34" s="81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0.3819718634205489</v>
      </c>
      <c r="Q34" s="13">
        <f t="shared" si="1"/>
        <v>2900</v>
      </c>
    </row>
    <row r="35" spans="2:17" x14ac:dyDescent="0.25">
      <c r="B35" t="s">
        <v>27</v>
      </c>
      <c r="C35" s="81">
        <v>3</v>
      </c>
      <c r="D35" t="s">
        <v>129</v>
      </c>
      <c r="F35" s="5" t="s">
        <v>187</v>
      </c>
      <c r="G35" s="13">
        <f>G22*G17*G17*0.000000000000000001*G33/(225.38*225.38)</f>
        <v>0.90060091454078139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0.44563384065730705</v>
      </c>
      <c r="Q35" s="13">
        <f t="shared" si="1"/>
        <v>3000</v>
      </c>
    </row>
    <row r="36" spans="2:17" x14ac:dyDescent="0.25">
      <c r="B36" t="s">
        <v>28</v>
      </c>
      <c r="C36" s="81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0.50929581789406519</v>
      </c>
      <c r="Q36" s="13">
        <f t="shared" si="1"/>
        <v>3100</v>
      </c>
    </row>
    <row r="37" spans="2:17" x14ac:dyDescent="0.25">
      <c r="B37" t="s">
        <v>29</v>
      </c>
      <c r="C37" s="81">
        <v>10</v>
      </c>
      <c r="F37" s="5" t="s">
        <v>192</v>
      </c>
      <c r="G37" s="6">
        <f>0.000000000000001*G36*G10</f>
        <v>11.93938783229175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0.57295779513082334</v>
      </c>
      <c r="Q37" s="13">
        <f t="shared" si="1"/>
        <v>3200</v>
      </c>
    </row>
    <row r="38" spans="2:17" x14ac:dyDescent="0.25">
      <c r="B38" t="s">
        <v>30</v>
      </c>
      <c r="C38" s="81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0.63661977236758127</v>
      </c>
      <c r="Q38" s="13">
        <f t="shared" si="1"/>
        <v>3299.9999999999995</v>
      </c>
    </row>
    <row r="39" spans="2:17" x14ac:dyDescent="0.25">
      <c r="B39" t="s">
        <v>31</v>
      </c>
      <c r="C39" s="81">
        <v>0.125</v>
      </c>
      <c r="F39" s="5" t="s">
        <v>194</v>
      </c>
      <c r="G39" s="6">
        <f>0.0001*G38*G16</f>
        <v>3.9825586521658609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0.70028174960433964</v>
      </c>
      <c r="Q39" s="13">
        <f t="shared" si="1"/>
        <v>3400.0000000000005</v>
      </c>
    </row>
    <row r="40" spans="2:17" x14ac:dyDescent="0.25">
      <c r="B40" t="s">
        <v>32</v>
      </c>
      <c r="C40" s="81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0.76394372684109801</v>
      </c>
      <c r="Q40" s="13">
        <f t="shared" si="1"/>
        <v>3500.0000000000005</v>
      </c>
    </row>
    <row r="41" spans="2:17" x14ac:dyDescent="0.25">
      <c r="B41" t="s">
        <v>33</v>
      </c>
      <c r="C41" s="81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0.82760570407785594</v>
      </c>
      <c r="Q41" s="13">
        <f t="shared" si="1"/>
        <v>3600</v>
      </c>
    </row>
    <row r="42" spans="2:17" x14ac:dyDescent="0.25">
      <c r="B42" t="s">
        <v>34</v>
      </c>
      <c r="C42" s="81">
        <v>1000</v>
      </c>
      <c r="F42" s="5" t="s">
        <v>201</v>
      </c>
      <c r="G42" s="6">
        <f>2*G41*G41*(0.5*PI()+C15-C89)/G19</f>
        <v>-6.9563824106104901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0.89126768131461387</v>
      </c>
      <c r="Q42" s="13">
        <f t="shared" si="1"/>
        <v>3700</v>
      </c>
    </row>
    <row r="43" spans="2:17" x14ac:dyDescent="0.25">
      <c r="B43" t="s">
        <v>35</v>
      </c>
      <c r="C43" s="81">
        <v>1</v>
      </c>
      <c r="F43" s="5" t="s">
        <v>203</v>
      </c>
      <c r="G43" s="6">
        <f>0.5*G41*G41*G13</f>
        <v>0.1189544898151878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0.95492965855137224</v>
      </c>
      <c r="Q43" s="13">
        <f t="shared" si="1"/>
        <v>3800</v>
      </c>
    </row>
    <row r="44" spans="2:17" x14ac:dyDescent="0.25">
      <c r="B44" t="s">
        <v>36</v>
      </c>
      <c r="C44" s="81">
        <v>1</v>
      </c>
      <c r="F44" s="5" t="s">
        <v>203</v>
      </c>
      <c r="G44" s="6">
        <f>G43/G18</f>
        <v>0.7572878022824665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1.0185916357881306</v>
      </c>
      <c r="Q44" s="13">
        <f t="shared" si="1"/>
        <v>3900.0000000000009</v>
      </c>
    </row>
    <row r="45" spans="2:17" x14ac:dyDescent="0.25">
      <c r="B45" t="s">
        <v>213</v>
      </c>
      <c r="C45" s="81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1.0822536130248885</v>
      </c>
      <c r="Q45" s="13">
        <f t="shared" si="1"/>
        <v>4000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0.75728780228246662</v>
      </c>
      <c r="H46" s="3"/>
      <c r="I46"/>
      <c r="J46"/>
      <c r="K46" s="3"/>
      <c r="M46"/>
      <c r="O46" s="3">
        <f t="shared" si="2"/>
        <v>41</v>
      </c>
      <c r="P46" s="13">
        <f t="shared" si="0"/>
        <v>1.1459155902616465</v>
      </c>
      <c r="Q46" s="13">
        <f t="shared" si="1"/>
        <v>4100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1.2095775674984048</v>
      </c>
      <c r="Q47" s="13">
        <f t="shared" si="1"/>
        <v>4200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1.2732395447351632</v>
      </c>
      <c r="Q48" s="13">
        <f t="shared" si="1"/>
        <v>4300.0000000000009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1.3369015219719211</v>
      </c>
      <c r="Q49" s="13">
        <f t="shared" si="1"/>
        <v>4400</v>
      </c>
    </row>
    <row r="50" spans="1:17" x14ac:dyDescent="0.25">
      <c r="B50" t="s">
        <v>37</v>
      </c>
      <c r="C50" s="81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1.4005634992086791</v>
      </c>
      <c r="Q50" s="13">
        <f t="shared" si="1"/>
        <v>4500</v>
      </c>
    </row>
    <row r="51" spans="1:17" x14ac:dyDescent="0.25">
      <c r="B51" t="s">
        <v>38</v>
      </c>
      <c r="C51" s="81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1.4642254764454374</v>
      </c>
      <c r="Q51" s="13">
        <f t="shared" si="1"/>
        <v>4600</v>
      </c>
    </row>
    <row r="52" spans="1:17" x14ac:dyDescent="0.25">
      <c r="B52" t="s">
        <v>39</v>
      </c>
      <c r="C52" s="81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1.5278874536821958</v>
      </c>
      <c r="Q52" s="13">
        <f t="shared" si="1"/>
        <v>4700</v>
      </c>
    </row>
    <row r="53" spans="1:17" x14ac:dyDescent="0.25">
      <c r="B53" t="s">
        <v>40</v>
      </c>
      <c r="C53" s="81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1.5915494309189537</v>
      </c>
      <c r="Q53" s="13">
        <f t="shared" si="1"/>
        <v>4800</v>
      </c>
    </row>
    <row r="54" spans="1:17" x14ac:dyDescent="0.25">
      <c r="B54" t="s">
        <v>41</v>
      </c>
      <c r="C54" s="81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1.6552114081557117</v>
      </c>
      <c r="Q54" s="13">
        <f t="shared" si="1"/>
        <v>4900</v>
      </c>
    </row>
    <row r="55" spans="1:17" x14ac:dyDescent="0.25">
      <c r="B55" t="s">
        <v>42</v>
      </c>
      <c r="C55" s="81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1.71887338539247</v>
      </c>
      <c r="Q55" s="13">
        <f t="shared" si="1"/>
        <v>5000</v>
      </c>
    </row>
    <row r="56" spans="1:17" x14ac:dyDescent="0.25">
      <c r="A56" t="s">
        <v>43</v>
      </c>
      <c r="C56" s="81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1.7825353626292284</v>
      </c>
      <c r="Q56" s="13">
        <f t="shared" si="1"/>
        <v>5100</v>
      </c>
    </row>
    <row r="57" spans="1:17" x14ac:dyDescent="0.25">
      <c r="C57" s="81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1.8461973398659863</v>
      </c>
      <c r="Q57" s="13">
        <f t="shared" si="1"/>
        <v>5200</v>
      </c>
    </row>
    <row r="58" spans="1:17" x14ac:dyDescent="0.25">
      <c r="A58" t="s">
        <v>44</v>
      </c>
      <c r="C58" s="81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1.9098593171027443</v>
      </c>
      <c r="Q58" s="13">
        <f t="shared" si="1"/>
        <v>5300</v>
      </c>
    </row>
    <row r="59" spans="1:17" x14ac:dyDescent="0.25">
      <c r="B59" t="s">
        <v>45</v>
      </c>
      <c r="C59" s="81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1.9735212943395026</v>
      </c>
      <c r="Q59" s="13">
        <f t="shared" si="1"/>
        <v>5400</v>
      </c>
    </row>
    <row r="60" spans="1:17" x14ac:dyDescent="0.25">
      <c r="B60" t="s">
        <v>210</v>
      </c>
      <c r="C60" s="81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2.0371832715762608</v>
      </c>
      <c r="Q60" s="13">
        <f t="shared" si="1"/>
        <v>5500</v>
      </c>
    </row>
    <row r="61" spans="1:17" x14ac:dyDescent="0.25">
      <c r="B61" t="s">
        <v>48</v>
      </c>
      <c r="C61" s="81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2.1008452488130187</v>
      </c>
      <c r="Q61" s="13">
        <f t="shared" si="1"/>
        <v>5600.0000000000009</v>
      </c>
    </row>
    <row r="62" spans="1:17" x14ac:dyDescent="0.25">
      <c r="B62" t="s">
        <v>214</v>
      </c>
      <c r="C62" s="81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2.1645072260497766</v>
      </c>
      <c r="Q62" s="13">
        <f t="shared" si="1"/>
        <v>5699.9999999999991</v>
      </c>
    </row>
    <row r="63" spans="1:17" x14ac:dyDescent="0.25">
      <c r="B63" t="s">
        <v>49</v>
      </c>
      <c r="C63" s="81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2.2281692032865354</v>
      </c>
      <c r="Q63" s="13">
        <f t="shared" si="1"/>
        <v>5800.0000000000009</v>
      </c>
    </row>
    <row r="64" spans="1:17" x14ac:dyDescent="0.25">
      <c r="B64" t="s">
        <v>50</v>
      </c>
      <c r="C64" s="81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2.2918311805232934</v>
      </c>
      <c r="Q64" s="13">
        <f t="shared" si="1"/>
        <v>5900.0000000000009</v>
      </c>
    </row>
    <row r="65" spans="1:17" x14ac:dyDescent="0.25">
      <c r="B65" t="s">
        <v>51</v>
      </c>
      <c r="C65" s="81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2.3554931577600513</v>
      </c>
      <c r="Q65" s="13">
        <f t="shared" si="1"/>
        <v>6000</v>
      </c>
    </row>
    <row r="66" spans="1:17" x14ac:dyDescent="0.25">
      <c r="B66" t="s">
        <v>52</v>
      </c>
      <c r="C66" s="81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2.4191551349968092</v>
      </c>
      <c r="Q66" s="13">
        <f t="shared" si="1"/>
        <v>6100</v>
      </c>
    </row>
    <row r="67" spans="1:17" x14ac:dyDescent="0.25">
      <c r="B67" t="s">
        <v>53</v>
      </c>
      <c r="C67" s="81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2.482817112233568</v>
      </c>
      <c r="Q67" s="13">
        <f t="shared" si="1"/>
        <v>6200.0000000000009</v>
      </c>
    </row>
    <row r="68" spans="1:17" x14ac:dyDescent="0.25">
      <c r="B68" t="s">
        <v>54</v>
      </c>
      <c r="C68" s="81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2.546479089470326</v>
      </c>
      <c r="Q68" s="13">
        <f t="shared" si="1"/>
        <v>6300</v>
      </c>
    </row>
    <row r="69" spans="1:17" x14ac:dyDescent="0.25">
      <c r="B69" t="s">
        <v>55</v>
      </c>
      <c r="C69" s="81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2.6101410667070839</v>
      </c>
      <c r="Q69" s="13">
        <f t="shared" si="1"/>
        <v>6400</v>
      </c>
    </row>
    <row r="70" spans="1:17" x14ac:dyDescent="0.25">
      <c r="B70" t="s">
        <v>56</v>
      </c>
      <c r="C70" s="81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2.6738030439438418</v>
      </c>
      <c r="Q70" s="13">
        <f t="shared" ref="Q70:Q133" si="4">(P70-P$5)*$G$18*10000</f>
        <v>6500</v>
      </c>
    </row>
    <row r="71" spans="1:17" x14ac:dyDescent="0.25">
      <c r="B71" t="s">
        <v>57</v>
      </c>
      <c r="C71" s="81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2.7374650211805998</v>
      </c>
      <c r="Q71" s="13">
        <f t="shared" si="4"/>
        <v>6599.9999999999991</v>
      </c>
    </row>
    <row r="72" spans="1:17" x14ac:dyDescent="0.25">
      <c r="B72" t="s">
        <v>58</v>
      </c>
      <c r="C72" s="81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2.8011269984173586</v>
      </c>
      <c r="Q72" s="13">
        <f t="shared" si="4"/>
        <v>6700</v>
      </c>
    </row>
    <row r="73" spans="1:17" x14ac:dyDescent="0.25">
      <c r="B73" t="s">
        <v>59</v>
      </c>
      <c r="C73" s="81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2.8647889756541165</v>
      </c>
      <c r="Q73" s="13">
        <f t="shared" si="4"/>
        <v>6800.0000000000009</v>
      </c>
    </row>
    <row r="74" spans="1:17" x14ac:dyDescent="0.25">
      <c r="A74" t="s">
        <v>43</v>
      </c>
      <c r="C74" s="81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2.9284509528908744</v>
      </c>
      <c r="Q74" s="13">
        <f t="shared" si="4"/>
        <v>6899.9999999999991</v>
      </c>
    </row>
    <row r="75" spans="1:17" x14ac:dyDescent="0.25">
      <c r="C75" s="81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2.9921129301276332</v>
      </c>
      <c r="Q75" s="13">
        <f t="shared" si="4"/>
        <v>7000.0000000000009</v>
      </c>
    </row>
    <row r="76" spans="1:17" x14ac:dyDescent="0.25">
      <c r="A76" t="s">
        <v>60</v>
      </c>
      <c r="C76" s="81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3.0557749073643912</v>
      </c>
      <c r="Q76" s="13">
        <f t="shared" si="4"/>
        <v>7100.0000000000009</v>
      </c>
    </row>
    <row r="77" spans="1:17" x14ac:dyDescent="0.25">
      <c r="B77" t="s">
        <v>136</v>
      </c>
      <c r="C77" s="81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3.1194368846011491</v>
      </c>
      <c r="Q77" s="13">
        <f t="shared" si="4"/>
        <v>7200</v>
      </c>
    </row>
    <row r="78" spans="1:17" x14ac:dyDescent="0.25">
      <c r="A78" t="s">
        <v>43</v>
      </c>
      <c r="C78" s="81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3.183098861837907</v>
      </c>
      <c r="Q78" s="13">
        <f t="shared" si="4"/>
        <v>7300</v>
      </c>
    </row>
    <row r="79" spans="1:17" x14ac:dyDescent="0.25">
      <c r="C79" s="81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3.246760839074665</v>
      </c>
      <c r="Q79" s="13">
        <f t="shared" si="4"/>
        <v>7400</v>
      </c>
    </row>
    <row r="80" spans="1:17" x14ac:dyDescent="0.25">
      <c r="A80" t="s">
        <v>61</v>
      </c>
      <c r="C80" s="81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3.3104228163114238</v>
      </c>
      <c r="Q80" s="13">
        <f t="shared" si="4"/>
        <v>7500</v>
      </c>
    </row>
    <row r="81" spans="2:17" x14ac:dyDescent="0.25">
      <c r="C81" s="81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3.3740847935481817</v>
      </c>
      <c r="Q81" s="13">
        <f t="shared" si="4"/>
        <v>7600</v>
      </c>
    </row>
    <row r="82" spans="2:17" x14ac:dyDescent="0.25">
      <c r="B82" t="s">
        <v>62</v>
      </c>
      <c r="C82" s="81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3.4377467707849396</v>
      </c>
      <c r="Q82" s="13">
        <f t="shared" si="4"/>
        <v>7700</v>
      </c>
    </row>
    <row r="83" spans="2:17" x14ac:dyDescent="0.25">
      <c r="B83" t="s">
        <v>63</v>
      </c>
      <c r="C83" s="81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3.5014087480216984</v>
      </c>
      <c r="Q83" s="13">
        <f t="shared" si="4"/>
        <v>7800.0000000000018</v>
      </c>
    </row>
    <row r="84" spans="2:17" x14ac:dyDescent="0.25">
      <c r="B84" t="s">
        <v>64</v>
      </c>
      <c r="C84" s="81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3.5650707252584564</v>
      </c>
      <c r="Q84" s="13">
        <f t="shared" si="4"/>
        <v>7900</v>
      </c>
    </row>
    <row r="85" spans="2:17" x14ac:dyDescent="0.25">
      <c r="B85" t="s">
        <v>65</v>
      </c>
      <c r="C85" s="81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3.6287327024952143</v>
      </c>
      <c r="Q85" s="13">
        <f t="shared" si="4"/>
        <v>8000</v>
      </c>
    </row>
    <row r="86" spans="2:17" x14ac:dyDescent="0.25">
      <c r="B86" t="s">
        <v>211</v>
      </c>
      <c r="C86" s="81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3.6923946797319722</v>
      </c>
      <c r="Q86" s="13">
        <f t="shared" si="4"/>
        <v>8099.9999999999991</v>
      </c>
    </row>
    <row r="87" spans="2:17" x14ac:dyDescent="0.25">
      <c r="B87" t="s">
        <v>66</v>
      </c>
      <c r="C87" s="81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3.7560566569687301</v>
      </c>
      <c r="Q87" s="13">
        <f t="shared" si="4"/>
        <v>8200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3.819718634205489</v>
      </c>
      <c r="Q88" s="13">
        <f t="shared" si="4"/>
        <v>8300</v>
      </c>
    </row>
    <row r="89" spans="2:17" x14ac:dyDescent="0.25">
      <c r="B89" t="s">
        <v>68</v>
      </c>
      <c r="C89" s="81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3.8833806114422469</v>
      </c>
      <c r="Q89" s="13">
        <f t="shared" si="4"/>
        <v>8400</v>
      </c>
    </row>
    <row r="90" spans="2:17" x14ac:dyDescent="0.25">
      <c r="B90" t="s">
        <v>69</v>
      </c>
      <c r="C90" s="81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3.9470425886790048</v>
      </c>
      <c r="Q90" s="13">
        <f t="shared" si="4"/>
        <v>8500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4.0107045659157636</v>
      </c>
      <c r="Q91" s="13">
        <f t="shared" si="4"/>
        <v>8600.0000000000018</v>
      </c>
    </row>
    <row r="92" spans="2:17" x14ac:dyDescent="0.25">
      <c r="B92" t="s">
        <v>71</v>
      </c>
      <c r="C92" s="81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4.0743665431525216</v>
      </c>
      <c r="Q92" s="13">
        <f t="shared" si="4"/>
        <v>8700.0000000000018</v>
      </c>
    </row>
    <row r="93" spans="2:17" x14ac:dyDescent="0.25">
      <c r="B93" t="s">
        <v>72</v>
      </c>
      <c r="C93" s="81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4.1380285203892795</v>
      </c>
      <c r="Q93" s="13">
        <f t="shared" si="4"/>
        <v>8800</v>
      </c>
    </row>
    <row r="94" spans="2:17" x14ac:dyDescent="0.25">
      <c r="B94" t="s">
        <v>191</v>
      </c>
      <c r="C94" s="81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4.2016904976260374</v>
      </c>
      <c r="Q94" s="13">
        <f t="shared" si="4"/>
        <v>8900</v>
      </c>
    </row>
    <row r="95" spans="2:17" x14ac:dyDescent="0.25">
      <c r="B95" t="s">
        <v>73</v>
      </c>
      <c r="C95" s="21">
        <f>C21</f>
        <v>-1.4642254764454374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4.2653524748627953</v>
      </c>
      <c r="Q95" s="13">
        <f t="shared" si="4"/>
        <v>9000</v>
      </c>
    </row>
    <row r="96" spans="2:17" x14ac:dyDescent="0.25">
      <c r="B96" t="s">
        <v>215</v>
      </c>
      <c r="C96" s="81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4.3290144520995542</v>
      </c>
      <c r="Q96" s="13">
        <f t="shared" si="4"/>
        <v>9100</v>
      </c>
    </row>
    <row r="97" spans="2:17" x14ac:dyDescent="0.25">
      <c r="B97" t="s">
        <v>216</v>
      </c>
      <c r="C97" s="81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4.3926764293363121</v>
      </c>
      <c r="Q97" s="13">
        <f t="shared" si="4"/>
        <v>9200</v>
      </c>
    </row>
    <row r="98" spans="2:17" x14ac:dyDescent="0.25">
      <c r="B98" t="s">
        <v>74</v>
      </c>
      <c r="C98" s="81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4.45633840657307</v>
      </c>
      <c r="Q98" s="13">
        <f t="shared" si="4"/>
        <v>9300</v>
      </c>
    </row>
    <row r="99" spans="2:17" x14ac:dyDescent="0.25">
      <c r="B99" t="s">
        <v>75</v>
      </c>
      <c r="C99" s="81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4.5200003838098288</v>
      </c>
      <c r="Q99" s="13">
        <f t="shared" si="4"/>
        <v>9400</v>
      </c>
    </row>
    <row r="100" spans="2:17" x14ac:dyDescent="0.25">
      <c r="B100" t="s">
        <v>76</v>
      </c>
      <c r="C100" s="81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4.5836623610465868</v>
      </c>
      <c r="Q100" s="13">
        <f t="shared" si="4"/>
        <v>9500</v>
      </c>
    </row>
    <row r="101" spans="2:17" x14ac:dyDescent="0.25">
      <c r="B101" t="s">
        <v>77</v>
      </c>
      <c r="C101" s="81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4.6473243382833447</v>
      </c>
      <c r="Q101" s="13">
        <f t="shared" si="4"/>
        <v>9600</v>
      </c>
    </row>
    <row r="102" spans="2:17" x14ac:dyDescent="0.25">
      <c r="B102" t="s">
        <v>78</v>
      </c>
      <c r="C102" s="81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4.7109863155201026</v>
      </c>
      <c r="Q102" s="13">
        <f t="shared" si="4"/>
        <v>9700</v>
      </c>
    </row>
    <row r="103" spans="2:17" x14ac:dyDescent="0.25">
      <c r="B103" t="s">
        <v>79</v>
      </c>
      <c r="C103" s="81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4.7746482927568605</v>
      </c>
      <c r="Q103" s="13">
        <f t="shared" si="4"/>
        <v>9800</v>
      </c>
    </row>
    <row r="104" spans="2:17" x14ac:dyDescent="0.25">
      <c r="B104" t="s">
        <v>80</v>
      </c>
      <c r="C104" s="24">
        <f>C95</f>
        <v>-1.4642254764454374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4.8383102699936194</v>
      </c>
      <c r="Q104" s="13">
        <f t="shared" si="4"/>
        <v>9900.0000000000018</v>
      </c>
    </row>
    <row r="105" spans="2:17" x14ac:dyDescent="0.25">
      <c r="B105" t="s">
        <v>81</v>
      </c>
      <c r="C105" s="81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4.9019722472303773</v>
      </c>
      <c r="Q105" s="13">
        <f t="shared" si="4"/>
        <v>10000</v>
      </c>
    </row>
    <row r="106" spans="2:17" x14ac:dyDescent="0.25">
      <c r="B106" t="s">
        <v>82</v>
      </c>
      <c r="C106" s="81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4.9656342244671352</v>
      </c>
      <c r="Q106" s="13">
        <f t="shared" si="4"/>
        <v>10100</v>
      </c>
    </row>
    <row r="107" spans="2:17" x14ac:dyDescent="0.25">
      <c r="B107" t="s">
        <v>83</v>
      </c>
      <c r="C107" s="81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5.029296201703894</v>
      </c>
      <c r="Q107" s="13">
        <f t="shared" si="4"/>
        <v>10200</v>
      </c>
    </row>
    <row r="108" spans="2:17" x14ac:dyDescent="0.25">
      <c r="B108" t="s">
        <v>84</v>
      </c>
      <c r="C108" s="81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5.0929581789406519</v>
      </c>
      <c r="Q108" s="13">
        <f t="shared" si="4"/>
        <v>10300</v>
      </c>
    </row>
    <row r="109" spans="2:17" x14ac:dyDescent="0.25">
      <c r="B109" t="s">
        <v>85</v>
      </c>
      <c r="C109" s="81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5.1566201561774099</v>
      </c>
      <c r="Q109" s="13">
        <f t="shared" si="4"/>
        <v>10400</v>
      </c>
    </row>
    <row r="110" spans="2:17" x14ac:dyDescent="0.25">
      <c r="B110" t="s">
        <v>86</v>
      </c>
      <c r="C110" s="81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5.2202821334141678</v>
      </c>
      <c r="Q110" s="13">
        <f t="shared" si="4"/>
        <v>10500</v>
      </c>
    </row>
    <row r="111" spans="2:17" x14ac:dyDescent="0.25">
      <c r="B111" t="s">
        <v>87</v>
      </c>
      <c r="C111" s="81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5.2839441106509257</v>
      </c>
      <c r="Q111" s="13">
        <f t="shared" si="4"/>
        <v>10600</v>
      </c>
    </row>
    <row r="112" spans="2:17" x14ac:dyDescent="0.25">
      <c r="B112" t="s">
        <v>43</v>
      </c>
      <c r="C112" s="81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5.3476060878876845</v>
      </c>
      <c r="Q112" s="13">
        <f t="shared" si="4"/>
        <v>10700</v>
      </c>
    </row>
    <row r="113" spans="3:17" x14ac:dyDescent="0.25">
      <c r="C113" s="81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5.4112680651244425</v>
      </c>
      <c r="Q113" s="13">
        <f t="shared" si="4"/>
        <v>10800</v>
      </c>
    </row>
    <row r="114" spans="3:17" x14ac:dyDescent="0.25">
      <c r="C114" s="81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5.4749300423612004</v>
      </c>
      <c r="Q114" s="13">
        <f t="shared" si="4"/>
        <v>10900</v>
      </c>
    </row>
    <row r="115" spans="3:17" x14ac:dyDescent="0.25">
      <c r="C115" s="81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5.5385920195979592</v>
      </c>
      <c r="Q115" s="13">
        <f t="shared" si="4"/>
        <v>11000</v>
      </c>
    </row>
    <row r="116" spans="3:17" x14ac:dyDescent="0.25">
      <c r="C116" s="81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5.6022539968347171</v>
      </c>
      <c r="Q116" s="13">
        <f t="shared" si="4"/>
        <v>11100.000000000002</v>
      </c>
    </row>
    <row r="117" spans="3:17" x14ac:dyDescent="0.25">
      <c r="C117" s="81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5.6659159740714751</v>
      </c>
      <c r="Q117" s="13">
        <f t="shared" si="4"/>
        <v>11200.000000000002</v>
      </c>
    </row>
    <row r="118" spans="3:17" x14ac:dyDescent="0.25">
      <c r="C118" s="81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5.729577951308233</v>
      </c>
      <c r="Q118" s="13">
        <f t="shared" si="4"/>
        <v>11299.999999999998</v>
      </c>
    </row>
    <row r="119" spans="3:17" x14ac:dyDescent="0.25">
      <c r="C119" s="81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5.7932399285449909</v>
      </c>
      <c r="Q119" s="13">
        <f t="shared" si="4"/>
        <v>11399.999999999998</v>
      </c>
    </row>
    <row r="120" spans="3:17" x14ac:dyDescent="0.25">
      <c r="C120" s="81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5.8569019057817497</v>
      </c>
      <c r="Q120" s="13">
        <f t="shared" si="4"/>
        <v>11500.000000000002</v>
      </c>
    </row>
    <row r="121" spans="3:17" x14ac:dyDescent="0.25">
      <c r="C121" s="81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5.9205638830185077</v>
      </c>
      <c r="Q121" s="13">
        <f t="shared" si="4"/>
        <v>11600</v>
      </c>
    </row>
    <row r="122" spans="3:17" x14ac:dyDescent="0.25">
      <c r="C122" s="81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5.9842258602552656</v>
      </c>
      <c r="Q122" s="13">
        <f t="shared" si="4"/>
        <v>11700</v>
      </c>
    </row>
    <row r="123" spans="3:17" x14ac:dyDescent="0.25">
      <c r="C123" s="81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6.0478878374920244</v>
      </c>
      <c r="Q123" s="13">
        <f t="shared" si="4"/>
        <v>11800.000000000002</v>
      </c>
    </row>
    <row r="124" spans="3:17" x14ac:dyDescent="0.25">
      <c r="C124" s="81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6.1115498147287823</v>
      </c>
      <c r="Q124" s="13">
        <f t="shared" si="4"/>
        <v>11900.000000000002</v>
      </c>
    </row>
    <row r="125" spans="3:17" x14ac:dyDescent="0.25">
      <c r="C125" s="81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6.1752117919655403</v>
      </c>
      <c r="Q125" s="13">
        <f t="shared" si="4"/>
        <v>12000</v>
      </c>
    </row>
    <row r="126" spans="3:17" x14ac:dyDescent="0.25">
      <c r="C126" s="81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6.2388737692022982</v>
      </c>
      <c r="Q126" s="13">
        <f t="shared" si="4"/>
        <v>12100</v>
      </c>
    </row>
    <row r="127" spans="3:17" x14ac:dyDescent="0.25">
      <c r="C127" s="81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6.3025357464390561</v>
      </c>
      <c r="Q127" s="13">
        <f t="shared" si="4"/>
        <v>12200</v>
      </c>
    </row>
    <row r="128" spans="3:17" x14ac:dyDescent="0.25">
      <c r="C128" s="81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6.3661977236758149</v>
      </c>
      <c r="Q128" s="13">
        <f t="shared" si="4"/>
        <v>12300</v>
      </c>
    </row>
    <row r="129" spans="3:17" x14ac:dyDescent="0.25">
      <c r="C129" s="81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6.4298597009125729</v>
      </c>
      <c r="Q129" s="13">
        <f t="shared" si="4"/>
        <v>12400</v>
      </c>
    </row>
    <row r="130" spans="3:17" x14ac:dyDescent="0.25">
      <c r="C130" s="81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6.4935216781493308</v>
      </c>
      <c r="Q130" s="13">
        <f t="shared" si="4"/>
        <v>12500</v>
      </c>
    </row>
    <row r="131" spans="3:17" x14ac:dyDescent="0.25">
      <c r="C131" s="81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6.5571836553860896</v>
      </c>
      <c r="Q131" s="13">
        <f t="shared" si="4"/>
        <v>12600</v>
      </c>
    </row>
    <row r="132" spans="3:17" x14ac:dyDescent="0.25">
      <c r="C132" s="81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6.6208456326228466</v>
      </c>
      <c r="Q132" s="13">
        <f t="shared" si="4"/>
        <v>12700</v>
      </c>
    </row>
    <row r="133" spans="3:17" x14ac:dyDescent="0.25">
      <c r="C133" s="81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6.6845076098596055</v>
      </c>
      <c r="Q133" s="13">
        <f t="shared" si="4"/>
        <v>12800</v>
      </c>
    </row>
    <row r="134" spans="3:17" x14ac:dyDescent="0.25">
      <c r="C134" s="81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6.7481695870963643</v>
      </c>
      <c r="Q134" s="13">
        <f t="shared" ref="Q134:Q159" si="7">(P134-P$5)*$G$18*10000</f>
        <v>12900</v>
      </c>
    </row>
    <row r="135" spans="3:17" x14ac:dyDescent="0.25">
      <c r="C135" s="81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6.8118315643331213</v>
      </c>
      <c r="Q135" s="13">
        <f t="shared" si="7"/>
        <v>13000</v>
      </c>
    </row>
    <row r="136" spans="3:17" x14ac:dyDescent="0.25">
      <c r="C136" s="81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6.8754935415698801</v>
      </c>
      <c r="Q136" s="13">
        <f t="shared" si="7"/>
        <v>13100</v>
      </c>
    </row>
    <row r="137" spans="3:17" x14ac:dyDescent="0.25">
      <c r="C137" s="81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6.9391555188066372</v>
      </c>
      <c r="Q137" s="13">
        <f t="shared" si="7"/>
        <v>13199.999999999998</v>
      </c>
    </row>
    <row r="138" spans="3:17" x14ac:dyDescent="0.25">
      <c r="C138" s="81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7.002817496043396</v>
      </c>
      <c r="Q138" s="13">
        <f t="shared" si="7"/>
        <v>13300</v>
      </c>
    </row>
    <row r="139" spans="3:17" x14ac:dyDescent="0.25">
      <c r="C139" s="81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7.0664794732801548</v>
      </c>
      <c r="Q139" s="13">
        <f t="shared" si="7"/>
        <v>13400</v>
      </c>
    </row>
    <row r="140" spans="3:17" x14ac:dyDescent="0.25">
      <c r="C140" s="81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7.1301414505169118</v>
      </c>
      <c r="Q140" s="13">
        <f t="shared" si="7"/>
        <v>13499.999999999998</v>
      </c>
    </row>
    <row r="141" spans="3:17" x14ac:dyDescent="0.25">
      <c r="C141" s="81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7.1938034277536707</v>
      </c>
      <c r="Q141" s="13">
        <f t="shared" si="7"/>
        <v>13600.000000000002</v>
      </c>
    </row>
    <row r="142" spans="3:17" x14ac:dyDescent="0.25">
      <c r="C142" s="81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7.2574654049904295</v>
      </c>
      <c r="Q142" s="13">
        <f t="shared" si="7"/>
        <v>13700.000000000002</v>
      </c>
    </row>
    <row r="143" spans="3:17" x14ac:dyDescent="0.25">
      <c r="C143" s="81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7.3211273822271865</v>
      </c>
      <c r="Q143" s="13">
        <f t="shared" si="7"/>
        <v>13799.999999999998</v>
      </c>
    </row>
    <row r="144" spans="3:17" x14ac:dyDescent="0.25">
      <c r="C144" s="81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7.3847893594639453</v>
      </c>
      <c r="Q144" s="13">
        <f t="shared" si="7"/>
        <v>13900.000000000002</v>
      </c>
    </row>
    <row r="145" spans="3:17" x14ac:dyDescent="0.25">
      <c r="C145" s="81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7.4484513367007041</v>
      </c>
      <c r="Q145" s="13">
        <f t="shared" si="7"/>
        <v>14000.000000000002</v>
      </c>
    </row>
    <row r="146" spans="3:17" x14ac:dyDescent="0.25">
      <c r="C146" s="81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7.5121133139374612</v>
      </c>
      <c r="Q146" s="13">
        <f t="shared" si="7"/>
        <v>14100</v>
      </c>
    </row>
    <row r="147" spans="3:17" x14ac:dyDescent="0.25">
      <c r="C147" s="81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7.57577529117422</v>
      </c>
      <c r="Q147" s="13">
        <f t="shared" si="7"/>
        <v>14200.000000000002</v>
      </c>
    </row>
    <row r="148" spans="3:17" x14ac:dyDescent="0.25">
      <c r="C148" s="81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7.639437268410977</v>
      </c>
      <c r="Q148" s="13">
        <f t="shared" si="7"/>
        <v>14300</v>
      </c>
    </row>
    <row r="149" spans="3:17" x14ac:dyDescent="0.25">
      <c r="C149" s="81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7.7030992456477358</v>
      </c>
      <c r="Q149" s="13">
        <f t="shared" si="7"/>
        <v>14400</v>
      </c>
    </row>
    <row r="150" spans="3:17" x14ac:dyDescent="0.25">
      <c r="C150" s="81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7.7667612228844947</v>
      </c>
      <c r="Q150" s="13">
        <f t="shared" si="7"/>
        <v>14500.000000000002</v>
      </c>
    </row>
    <row r="151" spans="3:17" x14ac:dyDescent="0.25">
      <c r="C151" s="81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7.8304232001212517</v>
      </c>
      <c r="Q151" s="13">
        <f t="shared" si="7"/>
        <v>14600</v>
      </c>
    </row>
    <row r="152" spans="3:17" x14ac:dyDescent="0.25">
      <c r="C152" s="81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7.8940851773580105</v>
      </c>
      <c r="Q152" s="13">
        <f t="shared" si="7"/>
        <v>14700</v>
      </c>
    </row>
    <row r="153" spans="3:17" x14ac:dyDescent="0.25">
      <c r="C153" s="81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7.9577471545947676</v>
      </c>
      <c r="Q153" s="13">
        <f t="shared" si="7"/>
        <v>14800</v>
      </c>
    </row>
    <row r="154" spans="3:17" x14ac:dyDescent="0.25">
      <c r="C154" s="81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8.0214091318315273</v>
      </c>
      <c r="Q154" s="13">
        <f t="shared" si="7"/>
        <v>14900</v>
      </c>
    </row>
    <row r="155" spans="3:17" x14ac:dyDescent="0.25">
      <c r="C155" s="81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8.0850711090682861</v>
      </c>
      <c r="Q155" s="13">
        <f t="shared" si="7"/>
        <v>15000</v>
      </c>
    </row>
    <row r="156" spans="3:17" x14ac:dyDescent="0.25">
      <c r="C156" s="81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8.1487330863050431</v>
      </c>
      <c r="Q156" s="13">
        <f t="shared" si="7"/>
        <v>15100</v>
      </c>
    </row>
    <row r="157" spans="3:17" x14ac:dyDescent="0.25">
      <c r="C157" s="81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8.2123950635418019</v>
      </c>
      <c r="Q157" s="13">
        <f t="shared" si="7"/>
        <v>15200</v>
      </c>
    </row>
    <row r="158" spans="3:17" x14ac:dyDescent="0.25">
      <c r="C158" s="81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8.2760570407785607</v>
      </c>
      <c r="Q158" s="13">
        <f t="shared" si="7"/>
        <v>15300</v>
      </c>
    </row>
    <row r="159" spans="3:17" x14ac:dyDescent="0.25">
      <c r="C159" s="81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8.3397190180153178</v>
      </c>
      <c r="Q159" s="13">
        <f t="shared" si="7"/>
        <v>15400</v>
      </c>
    </row>
    <row r="160" spans="3:17" x14ac:dyDescent="0.25">
      <c r="C160" s="81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81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81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81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81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81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81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81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81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81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81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81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81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81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81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81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81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81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81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81"/>
      <c r="F179" s="5"/>
      <c r="G179" s="3"/>
      <c r="H179" s="3"/>
      <c r="I179"/>
      <c r="J179"/>
      <c r="K179" s="3"/>
      <c r="M179"/>
    </row>
    <row r="180" spans="3:13" x14ac:dyDescent="0.25">
      <c r="C180" s="81"/>
      <c r="F180" s="5"/>
      <c r="G180" s="3"/>
      <c r="H180" s="3"/>
      <c r="I180"/>
      <c r="J180"/>
      <c r="K180" s="3"/>
      <c r="M180"/>
    </row>
    <row r="181" spans="3:13" x14ac:dyDescent="0.25">
      <c r="C181" s="81"/>
      <c r="F181" s="5"/>
      <c r="G181" s="3"/>
      <c r="H181" s="3"/>
      <c r="I181"/>
      <c r="J181"/>
      <c r="K181" s="3"/>
      <c r="M181"/>
    </row>
    <row r="182" spans="3:13" x14ac:dyDescent="0.25">
      <c r="C182" s="81"/>
      <c r="F182" s="5"/>
      <c r="G182" s="3"/>
      <c r="H182" s="3"/>
      <c r="I182"/>
      <c r="J182"/>
      <c r="K182" s="3"/>
      <c r="M182"/>
    </row>
    <row r="183" spans="3:13" x14ac:dyDescent="0.25">
      <c r="C183" s="81"/>
      <c r="F183" s="5"/>
      <c r="G183" s="3"/>
      <c r="H183" s="3"/>
      <c r="I183"/>
      <c r="J183"/>
      <c r="K183" s="3"/>
      <c r="M183"/>
    </row>
    <row r="184" spans="3:13" x14ac:dyDescent="0.25">
      <c r="C184" s="81"/>
      <c r="F184" s="5"/>
      <c r="G184" s="3"/>
      <c r="H184" s="3"/>
      <c r="I184"/>
      <c r="J184"/>
      <c r="K184" s="3"/>
      <c r="M184"/>
    </row>
    <row r="185" spans="3:13" x14ac:dyDescent="0.25">
      <c r="C185" s="81"/>
      <c r="F185" s="5"/>
      <c r="G185" s="3"/>
      <c r="H185" s="3"/>
      <c r="I185"/>
      <c r="J185"/>
      <c r="K185" s="3"/>
      <c r="M185"/>
    </row>
    <row r="186" spans="3:13" x14ac:dyDescent="0.25">
      <c r="C186" s="81"/>
      <c r="F186" s="5"/>
      <c r="G186" s="3"/>
      <c r="H186" s="3"/>
      <c r="I186"/>
      <c r="J186"/>
      <c r="K186" s="3"/>
      <c r="M186"/>
    </row>
    <row r="187" spans="3:13" x14ac:dyDescent="0.25">
      <c r="C187" s="81"/>
      <c r="F187" s="5"/>
      <c r="G187" s="3"/>
      <c r="H187" s="3"/>
      <c r="I187"/>
      <c r="J187"/>
      <c r="K187" s="3"/>
      <c r="M187"/>
    </row>
    <row r="188" spans="3:13" x14ac:dyDescent="0.25">
      <c r="C188" s="81"/>
      <c r="F188" s="5"/>
      <c r="G188" s="3"/>
      <c r="H188" s="3"/>
      <c r="I188"/>
      <c r="J188"/>
      <c r="K188" s="3"/>
      <c r="M188"/>
    </row>
    <row r="189" spans="3:13" x14ac:dyDescent="0.25">
      <c r="C189" s="81"/>
      <c r="F189" s="5"/>
      <c r="G189" s="3"/>
      <c r="H189" s="3"/>
      <c r="I189"/>
      <c r="J189"/>
      <c r="K189" s="3"/>
      <c r="M189"/>
    </row>
    <row r="190" spans="3:13" x14ac:dyDescent="0.25">
      <c r="C190" s="81"/>
      <c r="F190" s="5"/>
      <c r="G190" s="3"/>
      <c r="H190" s="3"/>
      <c r="I190"/>
      <c r="J190"/>
      <c r="K190" s="3"/>
      <c r="M190"/>
    </row>
    <row r="191" spans="3:13" x14ac:dyDescent="0.25">
      <c r="C191" s="81"/>
      <c r="F191" s="5"/>
      <c r="G191" s="3"/>
      <c r="H191" s="3"/>
      <c r="I191"/>
      <c r="J191"/>
      <c r="K191" s="3"/>
      <c r="M191"/>
    </row>
    <row r="192" spans="3:13" x14ac:dyDescent="0.25">
      <c r="C192" s="81"/>
      <c r="F192" s="5"/>
      <c r="G192" s="3"/>
      <c r="H192" s="3"/>
      <c r="I192"/>
      <c r="J192"/>
      <c r="K192" s="3"/>
      <c r="M192"/>
    </row>
    <row r="193" spans="3:13" x14ac:dyDescent="0.25">
      <c r="C193" s="81"/>
      <c r="F193" s="5"/>
      <c r="G193" s="3"/>
      <c r="H193" s="3"/>
      <c r="I193"/>
      <c r="J193"/>
      <c r="K193" s="3"/>
      <c r="M193"/>
    </row>
    <row r="194" spans="3:13" x14ac:dyDescent="0.25">
      <c r="C194" s="81"/>
      <c r="F194" s="5"/>
      <c r="G194" s="3"/>
      <c r="H194" s="3"/>
      <c r="I194"/>
      <c r="J194"/>
      <c r="K194" s="3"/>
      <c r="M194"/>
    </row>
    <row r="195" spans="3:13" x14ac:dyDescent="0.25">
      <c r="C195" s="81"/>
      <c r="F195" s="5"/>
      <c r="G195" s="3"/>
      <c r="H195" s="3"/>
      <c r="I195"/>
      <c r="J195"/>
      <c r="K195" s="3"/>
      <c r="M195"/>
    </row>
    <row r="196" spans="3:13" x14ac:dyDescent="0.25">
      <c r="C196" s="81"/>
      <c r="F196" s="5"/>
      <c r="G196" s="3"/>
      <c r="H196" s="3"/>
      <c r="I196"/>
      <c r="J196"/>
      <c r="K196" s="3"/>
      <c r="M196"/>
    </row>
    <row r="197" spans="3:13" x14ac:dyDescent="0.25">
      <c r="C197" s="81"/>
      <c r="F197" s="5"/>
      <c r="G197" s="3"/>
      <c r="H197" s="3"/>
      <c r="I197"/>
      <c r="J197"/>
      <c r="K197" s="3"/>
      <c r="M197"/>
    </row>
    <row r="198" spans="3:13" x14ac:dyDescent="0.25">
      <c r="C198" s="81"/>
      <c r="F198" s="5"/>
      <c r="G198" s="3"/>
      <c r="H198" s="3"/>
      <c r="I198"/>
      <c r="J198"/>
      <c r="K198" s="3"/>
      <c r="M198"/>
    </row>
    <row r="199" spans="3:13" x14ac:dyDescent="0.25">
      <c r="C199" s="81"/>
      <c r="F199" s="5"/>
      <c r="G199" s="3"/>
      <c r="H199" s="3"/>
      <c r="I199"/>
      <c r="J199"/>
      <c r="K199" s="3"/>
      <c r="M199"/>
    </row>
    <row r="200" spans="3:13" x14ac:dyDescent="0.25">
      <c r="C200" s="81"/>
      <c r="F200" s="5"/>
      <c r="G200" s="3"/>
      <c r="H200" s="3"/>
      <c r="I200"/>
      <c r="J200"/>
      <c r="K200" s="3"/>
      <c r="M200"/>
    </row>
    <row r="201" spans="3:13" x14ac:dyDescent="0.25">
      <c r="C201" s="81"/>
      <c r="F201" s="5"/>
      <c r="G201" s="3"/>
      <c r="H201" s="3"/>
      <c r="I201"/>
      <c r="J201"/>
      <c r="K201" s="3"/>
      <c r="M201"/>
    </row>
    <row r="202" spans="3:13" x14ac:dyDescent="0.25">
      <c r="C202" s="81"/>
      <c r="F202" s="5"/>
      <c r="G202" s="3"/>
      <c r="H202" s="3"/>
      <c r="I202"/>
      <c r="J202"/>
      <c r="K202" s="3"/>
      <c r="M202"/>
    </row>
    <row r="203" spans="3:13" x14ac:dyDescent="0.25">
      <c r="C203" s="81"/>
      <c r="F203" s="5"/>
      <c r="G203" s="3"/>
      <c r="H203" s="3"/>
      <c r="I203"/>
      <c r="J203"/>
      <c r="K203" s="3"/>
      <c r="M203"/>
    </row>
    <row r="204" spans="3:13" x14ac:dyDescent="0.25">
      <c r="C204" s="81"/>
      <c r="F204" s="5"/>
      <c r="G204" s="3"/>
      <c r="H204" s="3"/>
      <c r="I204"/>
      <c r="J204"/>
      <c r="K204" s="3"/>
      <c r="M204"/>
    </row>
    <row r="205" spans="3:13" x14ac:dyDescent="0.25">
      <c r="C205" s="81"/>
      <c r="F205" s="5"/>
      <c r="G205" s="3"/>
      <c r="H205" s="3"/>
      <c r="I205"/>
      <c r="J205"/>
      <c r="K205" s="3"/>
      <c r="M205"/>
    </row>
    <row r="206" spans="3:13" x14ac:dyDescent="0.25">
      <c r="C206" s="81"/>
      <c r="F206" s="5"/>
      <c r="G206" s="3"/>
      <c r="H206" s="3"/>
      <c r="I206"/>
      <c r="J206"/>
      <c r="K206" s="3"/>
      <c r="M206"/>
    </row>
    <row r="207" spans="3:13" x14ac:dyDescent="0.25">
      <c r="C207" s="81"/>
      <c r="F207" s="5"/>
      <c r="G207" s="3"/>
      <c r="H207" s="3"/>
      <c r="I207"/>
      <c r="J207"/>
      <c r="K207" s="3"/>
      <c r="M207"/>
    </row>
    <row r="208" spans="3:13" x14ac:dyDescent="0.25">
      <c r="C208" s="81"/>
      <c r="F208" s="5"/>
      <c r="G208" s="3"/>
      <c r="H208" s="3"/>
      <c r="I208"/>
      <c r="J208"/>
      <c r="K208" s="3"/>
      <c r="M208"/>
    </row>
    <row r="209" spans="3:13" x14ac:dyDescent="0.25">
      <c r="C209" s="81"/>
      <c r="F209" s="5"/>
      <c r="G209" s="3"/>
      <c r="H209" s="3"/>
      <c r="I209"/>
      <c r="J209"/>
      <c r="K209" s="3"/>
      <c r="M209"/>
    </row>
    <row r="210" spans="3:13" x14ac:dyDescent="0.25">
      <c r="C210" s="81"/>
      <c r="F210" s="5"/>
      <c r="G210" s="3"/>
      <c r="H210" s="3"/>
      <c r="I210"/>
      <c r="J210"/>
      <c r="K210" s="3"/>
      <c r="M210"/>
    </row>
    <row r="211" spans="3:13" x14ac:dyDescent="0.25">
      <c r="C211" s="81"/>
      <c r="F211" s="5"/>
      <c r="G211" s="3"/>
      <c r="H211" s="3"/>
      <c r="I211"/>
      <c r="J211"/>
      <c r="K211" s="3"/>
      <c r="M211"/>
    </row>
    <row r="212" spans="3:13" x14ac:dyDescent="0.25">
      <c r="C212" s="81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24.570312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42751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6.1453526276896926E-17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1.8436057883069078E-2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7" t="s">
        <v>327</v>
      </c>
      <c r="C3" s="87"/>
      <c r="D3" s="87"/>
      <c r="E3" s="8">
        <f>1.04*8</f>
        <v>8.32</v>
      </c>
      <c r="F3">
        <f>4.307*1.08/1.04</f>
        <v>4.4726538461538468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D4">
        <f>0.75*16.1/20</f>
        <v>0.60375000000000001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82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-1.9648000381700748</v>
      </c>
      <c r="Q5" s="13">
        <f>(P5-P$5)*$G$18*10000</f>
        <v>0</v>
      </c>
    </row>
    <row r="6" spans="1:17" x14ac:dyDescent="0.25">
      <c r="A6" t="s">
        <v>0</v>
      </c>
      <c r="C6" s="82"/>
      <c r="E6">
        <f>25*0.05</f>
        <v>1.25</v>
      </c>
      <c r="G6" s="5" t="s">
        <v>153</v>
      </c>
      <c r="H6" s="83">
        <v>8.32E+18</v>
      </c>
      <c r="I6" s="3" t="s">
        <v>155</v>
      </c>
      <c r="J6" s="17" t="s">
        <v>97</v>
      </c>
      <c r="K6" s="3">
        <f>C7+5</f>
        <v>505</v>
      </c>
      <c r="M6"/>
      <c r="O6" s="3">
        <f>O5+1</f>
        <v>1</v>
      </c>
      <c r="P6" s="13">
        <f t="shared" ref="P6:P69" si="0">$C$24*O6+$C$21</f>
        <v>-1.8665600362615711</v>
      </c>
      <c r="Q6" s="13">
        <f t="shared" ref="Q6:Q69" si="1">(P6-P$5)*$G$18*10000</f>
        <v>99.999999999999943</v>
      </c>
    </row>
    <row r="7" spans="1:17" x14ac:dyDescent="0.25">
      <c r="B7" t="s">
        <v>1</v>
      </c>
      <c r="C7" s="82">
        <v>500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0"/>
        <v>-1.7683200343530672</v>
      </c>
      <c r="Q7" s="13">
        <f t="shared" si="1"/>
        <v>200.00000000000011</v>
      </c>
    </row>
    <row r="8" spans="1:17" x14ac:dyDescent="0.25">
      <c r="B8" t="s">
        <v>2</v>
      </c>
      <c r="C8" s="82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-1.6700800324445635</v>
      </c>
      <c r="Q8" s="13">
        <f t="shared" si="1"/>
        <v>300.00000000000006</v>
      </c>
    </row>
    <row r="9" spans="1:17" x14ac:dyDescent="0.25">
      <c r="B9" t="s">
        <v>3</v>
      </c>
      <c r="C9" s="82">
        <v>150</v>
      </c>
      <c r="E9" s="14">
        <f>E10*1000000000/I1</f>
        <v>0.91565580503983057</v>
      </c>
      <c r="F9" s="5" t="s">
        <v>209</v>
      </c>
      <c r="G9" s="6">
        <f>SQRT(G8/H6)</f>
        <v>14.469601445291328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-1.5718400305360598</v>
      </c>
      <c r="Q9" s="13">
        <f t="shared" si="1"/>
        <v>400</v>
      </c>
    </row>
    <row r="10" spans="1:17" x14ac:dyDescent="0.25">
      <c r="B10" t="s">
        <v>4</v>
      </c>
      <c r="C10" s="82">
        <v>250</v>
      </c>
      <c r="E10" s="14">
        <f>0.149/E16</f>
        <v>0.27450670447485959</v>
      </c>
      <c r="F10" s="5" t="s">
        <v>156</v>
      </c>
      <c r="G10" s="6">
        <f xml:space="preserve"> 56414.602*SQRT(H6)</f>
        <v>162724592156714.66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-1.4736000286275561</v>
      </c>
      <c r="Q10" s="13">
        <f t="shared" si="1"/>
        <v>499.99999999999994</v>
      </c>
    </row>
    <row r="11" spans="1:17" x14ac:dyDescent="0.25">
      <c r="B11" t="s">
        <v>5</v>
      </c>
      <c r="C11" s="82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-1.3753600267190524</v>
      </c>
      <c r="Q11" s="13">
        <f t="shared" si="1"/>
        <v>599.99999999999989</v>
      </c>
    </row>
    <row r="12" spans="1:17" x14ac:dyDescent="0.25">
      <c r="B12" t="s">
        <v>6</v>
      </c>
      <c r="C12" s="82">
        <v>5</v>
      </c>
      <c r="F12" s="5" t="s">
        <v>160</v>
      </c>
      <c r="G12" s="7">
        <f>SQRT(H6/G8)</f>
        <v>6.9110403889211358E-2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-1.2771200248105485</v>
      </c>
      <c r="Q12" s="13">
        <f t="shared" si="1"/>
        <v>700.00000000000011</v>
      </c>
    </row>
    <row r="13" spans="1:17" x14ac:dyDescent="0.25">
      <c r="B13" t="s">
        <v>7</v>
      </c>
      <c r="C13" s="82">
        <v>2</v>
      </c>
      <c r="F13" s="5" t="s">
        <v>161</v>
      </c>
      <c r="G13" s="6">
        <f>0.0001*G7*SQRT(G8/H6)</f>
        <v>1.1575681156233064E-3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-1.1788800229020449</v>
      </c>
      <c r="Q13" s="13">
        <f t="shared" si="1"/>
        <v>800</v>
      </c>
    </row>
    <row r="14" spans="1:17" x14ac:dyDescent="0.25">
      <c r="B14" t="s">
        <v>8</v>
      </c>
      <c r="C14" s="21">
        <f>G24</f>
        <v>3.2547405508774361</v>
      </c>
      <c r="D14" t="s">
        <v>139</v>
      </c>
      <c r="E14" s="14">
        <f>0.5*G14</f>
        <v>5.7878405781165316</v>
      </c>
      <c r="F14" s="5" t="s">
        <v>181</v>
      </c>
      <c r="G14" s="6">
        <f>10000*G13</f>
        <v>11.575681156233063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-1.0806400209935412</v>
      </c>
      <c r="Q14" s="13">
        <f t="shared" si="1"/>
        <v>900</v>
      </c>
    </row>
    <row r="15" spans="1:17" x14ac:dyDescent="0.25">
      <c r="B15" t="s">
        <v>9</v>
      </c>
      <c r="C15" s="82">
        <v>7</v>
      </c>
      <c r="D15" t="s">
        <v>138</v>
      </c>
      <c r="E15" s="14">
        <f>E14/16.7</f>
        <v>0.34657728012673844</v>
      </c>
      <c r="F15" s="5" t="s">
        <v>190</v>
      </c>
      <c r="G15" s="6">
        <f>2*PI()*1000000000000000/G10</f>
        <v>38.612389337737341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-0.98240001908503738</v>
      </c>
      <c r="Q15" s="13">
        <f t="shared" si="1"/>
        <v>1000</v>
      </c>
    </row>
    <row r="16" spans="1:17" x14ac:dyDescent="0.25">
      <c r="B16" t="s">
        <v>10</v>
      </c>
      <c r="C16" s="82">
        <v>15</v>
      </c>
      <c r="D16" t="s">
        <v>255</v>
      </c>
      <c r="E16" s="14">
        <f>0.0001*G16</f>
        <v>0.54279184286242455</v>
      </c>
      <c r="F16" s="5" t="s">
        <v>163</v>
      </c>
      <c r="G16" s="6">
        <f>2*PI()/G13</f>
        <v>5427.9184286242453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-0.88416001717653359</v>
      </c>
      <c r="Q16" s="13">
        <f t="shared" si="1"/>
        <v>1100</v>
      </c>
    </row>
    <row r="17" spans="2:17" x14ac:dyDescent="0.25">
      <c r="B17" t="s">
        <v>11</v>
      </c>
      <c r="C17" s="22">
        <f>G20</f>
        <v>8.738948670085037</v>
      </c>
      <c r="D17" t="s">
        <v>140</v>
      </c>
      <c r="E17">
        <f>1/G17</f>
        <v>6.2111801242236017E-2</v>
      </c>
      <c r="F17" s="5" t="s">
        <v>165</v>
      </c>
      <c r="G17" s="3">
        <v>16.100000000000001</v>
      </c>
      <c r="H17" s="3" t="s">
        <v>166</v>
      </c>
      <c r="I17" s="1">
        <f>100*I16*G16</f>
        <v>-134.26499025044933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-0.7859200152680299</v>
      </c>
      <c r="Q17" s="13">
        <f t="shared" si="1"/>
        <v>1200</v>
      </c>
    </row>
    <row r="18" spans="2:17" x14ac:dyDescent="0.25">
      <c r="B18" t="s">
        <v>110</v>
      </c>
      <c r="C18" s="82">
        <v>7</v>
      </c>
      <c r="D18" t="s">
        <v>141</v>
      </c>
      <c r="E18" s="14">
        <f>10000*G18</f>
        <v>1017.9152896712628</v>
      </c>
      <c r="F18" s="5" t="s">
        <v>195</v>
      </c>
      <c r="G18" s="3">
        <f>0.0001*PI()*G17*G17/G7</f>
        <v>0.10179152896712629</v>
      </c>
      <c r="H18" s="3" t="s">
        <v>162</v>
      </c>
      <c r="I18">
        <f>0.5*100/G18</f>
        <v>491.20000954251867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-0.68768001335952622</v>
      </c>
      <c r="Q18" s="13">
        <f t="shared" si="1"/>
        <v>1300</v>
      </c>
    </row>
    <row r="19" spans="2:17" x14ac:dyDescent="0.25">
      <c r="B19" t="s">
        <v>12</v>
      </c>
      <c r="C19" s="23">
        <f>1.15/2</f>
        <v>0.57499999999999996</v>
      </c>
      <c r="D19" t="s">
        <v>142</v>
      </c>
      <c r="E19">
        <f>SQRT(C19*0.7)</f>
        <v>0.63442887702247597</v>
      </c>
      <c r="F19" s="5" t="s">
        <v>196</v>
      </c>
      <c r="G19" s="6">
        <f>G18*G16</f>
        <v>552.51611595850352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-0.58944001145102232</v>
      </c>
      <c r="Q19" s="13">
        <f t="shared" si="1"/>
        <v>1400.0000000000002</v>
      </c>
    </row>
    <row r="20" spans="2:17" x14ac:dyDescent="0.25">
      <c r="B20" t="s">
        <v>254</v>
      </c>
      <c r="C20" s="82">
        <v>2</v>
      </c>
      <c r="D20" t="s">
        <v>143</v>
      </c>
      <c r="E20">
        <v>7.1294579999999996</v>
      </c>
      <c r="F20" s="5" t="s">
        <v>11</v>
      </c>
      <c r="G20" s="7">
        <f>0.0001*G17*G16</f>
        <v>8.738948670085037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-0.49120000954251863</v>
      </c>
      <c r="Q20" s="13">
        <f t="shared" si="1"/>
        <v>1500</v>
      </c>
    </row>
    <row r="21" spans="2:17" x14ac:dyDescent="0.25">
      <c r="B21" t="s">
        <v>13</v>
      </c>
      <c r="C21" s="22">
        <f>-0.2/G$18</f>
        <v>-1.9648000381700748</v>
      </c>
      <c r="D21" t="s">
        <v>144</v>
      </c>
      <c r="E21" s="20">
        <f>10000*E20/G16</f>
        <v>13.134792082361903</v>
      </c>
      <c r="F21" s="5" t="s">
        <v>168</v>
      </c>
      <c r="G21" s="3">
        <v>23.55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-0.39296000763401495</v>
      </c>
      <c r="Q21" s="13">
        <f t="shared" si="1"/>
        <v>1600</v>
      </c>
    </row>
    <row r="22" spans="2:17" x14ac:dyDescent="0.25">
      <c r="B22" t="s">
        <v>14</v>
      </c>
      <c r="C22" s="82">
        <v>5000000</v>
      </c>
      <c r="D22" t="s">
        <v>128</v>
      </c>
      <c r="F22" s="5" t="s">
        <v>170</v>
      </c>
      <c r="G22" s="9">
        <f>G21/SQRT(2*LN(2))</f>
        <v>20.001528396782849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-0.29472000572551127</v>
      </c>
      <c r="Q22" s="13">
        <f t="shared" si="1"/>
        <v>1699.9999999999998</v>
      </c>
    </row>
    <row r="23" spans="2:17" x14ac:dyDescent="0.25">
      <c r="B23" t="s">
        <v>15</v>
      </c>
      <c r="C23" s="22">
        <f>0.15/G$18</f>
        <v>1.4736000286275559</v>
      </c>
      <c r="D23" t="s">
        <v>145</v>
      </c>
      <c r="F23" s="5" t="s">
        <v>173</v>
      </c>
      <c r="G23" s="10">
        <f>I$1*0.000000000000001*1000000*G21</f>
        <v>7.060112385900001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-0.19648000381700759</v>
      </c>
      <c r="Q23" s="13">
        <f t="shared" si="1"/>
        <v>1800</v>
      </c>
    </row>
    <row r="24" spans="2:17" x14ac:dyDescent="0.25">
      <c r="B24" t="s">
        <v>16</v>
      </c>
      <c r="C24" s="82">
        <f>(C23-C21)/35</f>
        <v>9.8240001908503738E-2</v>
      </c>
      <c r="D24" t="s">
        <v>146</v>
      </c>
      <c r="F24" s="5" t="s">
        <v>8</v>
      </c>
      <c r="G24" s="11">
        <f>0.000000000000001*G22*G10</f>
        <v>3.2547405508774361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-9.8240001908503682E-2</v>
      </c>
      <c r="Q24" s="13">
        <f t="shared" si="1"/>
        <v>1900</v>
      </c>
    </row>
    <row r="25" spans="2:17" x14ac:dyDescent="0.25">
      <c r="B25" t="s">
        <v>17</v>
      </c>
      <c r="C25" s="82">
        <v>300</v>
      </c>
      <c r="D25">
        <f>3.21/2.92</f>
        <v>1.0993150684931507</v>
      </c>
      <c r="E25">
        <f>G25*375/600</f>
        <v>15.784212844298397</v>
      </c>
      <c r="F25" s="5" t="s">
        <v>175</v>
      </c>
      <c r="G25" s="11">
        <f>C14+C15+C16</f>
        <v>25.254740550877436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0</v>
      </c>
      <c r="Q25" s="13">
        <f t="shared" si="1"/>
        <v>2000</v>
      </c>
    </row>
    <row r="26" spans="2:17" x14ac:dyDescent="0.25">
      <c r="B26" t="s">
        <v>18</v>
      </c>
      <c r="C26" s="82">
        <v>6</v>
      </c>
      <c r="D26">
        <f>2*C19</f>
        <v>1.1499999999999999</v>
      </c>
      <c r="E26" s="12"/>
      <c r="F26" s="5" t="s">
        <v>178</v>
      </c>
      <c r="G26" s="11">
        <f>G20*C18</f>
        <v>61.172640690595259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9.8240001908503904E-2</v>
      </c>
      <c r="Q26" s="13">
        <f t="shared" si="1"/>
        <v>2100</v>
      </c>
    </row>
    <row r="27" spans="2:17" x14ac:dyDescent="0.25">
      <c r="B27" t="s">
        <v>19</v>
      </c>
      <c r="C27" s="82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46.527487254959496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0.19648000381700759</v>
      </c>
      <c r="Q27" s="13">
        <f t="shared" si="1"/>
        <v>2200</v>
      </c>
    </row>
    <row r="28" spans="2:17" x14ac:dyDescent="0.25">
      <c r="B28" t="s">
        <v>20</v>
      </c>
      <c r="C28" s="82">
        <v>20</v>
      </c>
      <c r="D28">
        <f>2.142311</f>
        <v>2.1423109999999999</v>
      </c>
      <c r="F28" s="5" t="s">
        <v>179</v>
      </c>
      <c r="G28" s="6">
        <f>G26*10000/G16</f>
        <v>112.70000000000003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0.29472000572551127</v>
      </c>
      <c r="Q28" s="13">
        <f t="shared" si="1"/>
        <v>2300</v>
      </c>
    </row>
    <row r="29" spans="2:17" x14ac:dyDescent="0.25">
      <c r="B29" t="s">
        <v>21</v>
      </c>
      <c r="C29" s="82">
        <v>100</v>
      </c>
      <c r="D29">
        <f>D27/D28</f>
        <v>1.0559008472626059</v>
      </c>
      <c r="E29">
        <f>C14/G29</f>
        <v>64.438210012899049</v>
      </c>
      <c r="F29" s="5" t="s">
        <v>177</v>
      </c>
      <c r="G29" s="3">
        <f>G25/C7</f>
        <v>5.050948110175487E-2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0.39296000763401495</v>
      </c>
      <c r="Q29" s="13">
        <f t="shared" si="1"/>
        <v>2400</v>
      </c>
    </row>
    <row r="30" spans="2:17" x14ac:dyDescent="0.25">
      <c r="B30" t="s">
        <v>22</v>
      </c>
      <c r="C30" s="22">
        <f>G12</f>
        <v>6.9110403889211358E-2</v>
      </c>
      <c r="D30" t="s">
        <v>147</v>
      </c>
      <c r="F30" s="5" t="s">
        <v>180</v>
      </c>
      <c r="G30" s="6">
        <f>10000*G29/G16</f>
        <v>9.3054974509918995E-2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0.49120000954251863</v>
      </c>
      <c r="Q30" s="13">
        <f t="shared" si="1"/>
        <v>2500</v>
      </c>
    </row>
    <row r="31" spans="2:17" x14ac:dyDescent="0.25">
      <c r="B31" t="s">
        <v>23</v>
      </c>
      <c r="C31" s="82">
        <v>2</v>
      </c>
      <c r="D31">
        <f>D29^2</f>
        <v>1.1149265992498891</v>
      </c>
      <c r="E31" s="8">
        <f>C17/G31</f>
        <v>57.142857142857146</v>
      </c>
      <c r="F31" s="5" t="s">
        <v>182</v>
      </c>
      <c r="G31" s="3">
        <f>G26/C8</f>
        <v>0.15293160172648815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0.58944001145102232</v>
      </c>
      <c r="Q31" s="13">
        <f t="shared" si="1"/>
        <v>2600</v>
      </c>
    </row>
    <row r="32" spans="2:17" x14ac:dyDescent="0.25">
      <c r="B32" t="s">
        <v>24</v>
      </c>
      <c r="C32" s="82">
        <v>0.5</v>
      </c>
      <c r="D32">
        <f>D31*0.6</f>
        <v>0.66895595954993348</v>
      </c>
      <c r="F32" s="5" t="s">
        <v>183</v>
      </c>
      <c r="G32" s="6">
        <f>G31*10000/G16</f>
        <v>0.28175000000000011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0.687680013359526</v>
      </c>
      <c r="Q32" s="13">
        <f t="shared" si="1"/>
        <v>2699.9999999999995</v>
      </c>
    </row>
    <row r="33" spans="2:17" x14ac:dyDescent="0.25">
      <c r="B33" t="s">
        <v>25</v>
      </c>
      <c r="C33" s="82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0.78592001526803013</v>
      </c>
      <c r="Q33" s="13">
        <f t="shared" si="1"/>
        <v>2800.0000000000005</v>
      </c>
    </row>
    <row r="34" spans="2:17" x14ac:dyDescent="0.25">
      <c r="B34" t="s">
        <v>26</v>
      </c>
      <c r="C34" s="82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0.88416001717653381</v>
      </c>
      <c r="Q34" s="13">
        <f t="shared" si="1"/>
        <v>2900.0000000000005</v>
      </c>
    </row>
    <row r="35" spans="2:17" x14ac:dyDescent="0.25">
      <c r="B35" t="s">
        <v>27</v>
      </c>
      <c r="C35" s="82">
        <v>3</v>
      </c>
      <c r="D35" t="s">
        <v>129</v>
      </c>
      <c r="F35" s="5" t="s">
        <v>187</v>
      </c>
      <c r="G35" s="13">
        <f>G22*G17*G17*0.000000000000000001*G33/(225.38*225.38)</f>
        <v>0.49085930089452062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0.98240001908503749</v>
      </c>
      <c r="Q35" s="13">
        <f t="shared" si="1"/>
        <v>3000</v>
      </c>
    </row>
    <row r="36" spans="2:17" x14ac:dyDescent="0.25">
      <c r="B36" t="s">
        <v>28</v>
      </c>
      <c r="C36" s="82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1.0806400209935412</v>
      </c>
      <c r="Q36" s="13">
        <f t="shared" si="1"/>
        <v>3100</v>
      </c>
    </row>
    <row r="37" spans="2:17" x14ac:dyDescent="0.25">
      <c r="B37" t="s">
        <v>29</v>
      </c>
      <c r="C37" s="82">
        <v>10</v>
      </c>
      <c r="F37" s="5" t="s">
        <v>192</v>
      </c>
      <c r="G37" s="6">
        <f>0.000000000000001*G36*G10</f>
        <v>16.272459215671468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1.1788800229020449</v>
      </c>
      <c r="Q37" s="13">
        <f t="shared" si="1"/>
        <v>3200</v>
      </c>
    </row>
    <row r="38" spans="2:17" x14ac:dyDescent="0.25">
      <c r="B38" t="s">
        <v>30</v>
      </c>
      <c r="C38" s="82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1.2771200248105485</v>
      </c>
      <c r="Q38" s="13">
        <f t="shared" si="1"/>
        <v>3300</v>
      </c>
    </row>
    <row r="39" spans="2:17" x14ac:dyDescent="0.25">
      <c r="B39" t="s">
        <v>31</v>
      </c>
      <c r="C39" s="82">
        <v>0.125</v>
      </c>
      <c r="F39" s="5" t="s">
        <v>194</v>
      </c>
      <c r="G39" s="6">
        <f>0.0001*G38*G16</f>
        <v>5.4279184286242455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1.3753600267190522</v>
      </c>
      <c r="Q39" s="13">
        <f t="shared" si="1"/>
        <v>3399.9999999999995</v>
      </c>
    </row>
    <row r="40" spans="2:17" x14ac:dyDescent="0.25">
      <c r="B40" t="s">
        <v>32</v>
      </c>
      <c r="C40" s="82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1.4736000286275559</v>
      </c>
      <c r="Q40" s="13">
        <f t="shared" si="1"/>
        <v>3500</v>
      </c>
    </row>
    <row r="41" spans="2:17" x14ac:dyDescent="0.25">
      <c r="B41" t="s">
        <v>33</v>
      </c>
      <c r="C41" s="82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1.5718400305360596</v>
      </c>
      <c r="Q41" s="13">
        <f t="shared" si="1"/>
        <v>3600</v>
      </c>
    </row>
    <row r="42" spans="2:17" x14ac:dyDescent="0.25">
      <c r="B42" t="s">
        <v>34</v>
      </c>
      <c r="C42" s="82">
        <v>1000</v>
      </c>
      <c r="F42" s="5" t="s">
        <v>201</v>
      </c>
      <c r="G42" s="6">
        <f>2*G41*G41*(0.5*PI()+C15-C89)/G19</f>
        <v>-6.2387008880281236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1.6700800324445637</v>
      </c>
      <c r="Q42" s="13">
        <f t="shared" si="1"/>
        <v>3700</v>
      </c>
    </row>
    <row r="43" spans="2:17" x14ac:dyDescent="0.25">
      <c r="B43" t="s">
        <v>35</v>
      </c>
      <c r="C43" s="82">
        <v>1</v>
      </c>
      <c r="F43" s="5" t="s">
        <v>203</v>
      </c>
      <c r="G43" s="6">
        <f>0.5*G41*G41*G13</f>
        <v>8.7278988963643361E-2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1.7683200343530674</v>
      </c>
      <c r="Q43" s="13">
        <f t="shared" si="1"/>
        <v>3800</v>
      </c>
    </row>
    <row r="44" spans="2:17" x14ac:dyDescent="0.25">
      <c r="B44" t="s">
        <v>36</v>
      </c>
      <c r="C44" s="82">
        <v>1</v>
      </c>
      <c r="F44" s="5" t="s">
        <v>203</v>
      </c>
      <c r="G44" s="6">
        <f>G43/G18</f>
        <v>0.85742880423606005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1.8665600362615711</v>
      </c>
      <c r="Q44" s="13">
        <f t="shared" si="1"/>
        <v>3900</v>
      </c>
    </row>
    <row r="45" spans="2:17" x14ac:dyDescent="0.25">
      <c r="B45" t="s">
        <v>213</v>
      </c>
      <c r="C45" s="82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1.9648000381700748</v>
      </c>
      <c r="Q45" s="13">
        <f t="shared" si="1"/>
        <v>4000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0.85742880423606005</v>
      </c>
      <c r="H46" s="3"/>
      <c r="I46"/>
      <c r="J46"/>
      <c r="K46" s="3"/>
      <c r="M46"/>
      <c r="O46" s="3">
        <f t="shared" si="2"/>
        <v>41</v>
      </c>
      <c r="P46" s="13">
        <f t="shared" si="0"/>
        <v>2.0630400400785787</v>
      </c>
      <c r="Q46" s="13">
        <f t="shared" si="1"/>
        <v>4100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2.1612800419870828</v>
      </c>
      <c r="Q47" s="13">
        <f t="shared" si="1"/>
        <v>4200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2.259520043895586</v>
      </c>
      <c r="Q48" s="13">
        <f t="shared" si="1"/>
        <v>4300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2.3577600458040902</v>
      </c>
      <c r="Q49" s="13">
        <f t="shared" si="1"/>
        <v>4400</v>
      </c>
    </row>
    <row r="50" spans="1:17" x14ac:dyDescent="0.25">
      <c r="B50" t="s">
        <v>37</v>
      </c>
      <c r="C50" s="82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2.4560000477125934</v>
      </c>
      <c r="Q50" s="13">
        <f t="shared" si="1"/>
        <v>4500</v>
      </c>
    </row>
    <row r="51" spans="1:17" x14ac:dyDescent="0.25">
      <c r="B51" t="s">
        <v>38</v>
      </c>
      <c r="C51" s="82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2.5542400496210975</v>
      </c>
      <c r="Q51" s="13">
        <f t="shared" si="1"/>
        <v>4600</v>
      </c>
    </row>
    <row r="52" spans="1:17" x14ac:dyDescent="0.25">
      <c r="B52" t="s">
        <v>39</v>
      </c>
      <c r="C52" s="82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2.6524800515296008</v>
      </c>
      <c r="Q52" s="13">
        <f t="shared" si="1"/>
        <v>4700</v>
      </c>
    </row>
    <row r="53" spans="1:17" x14ac:dyDescent="0.25">
      <c r="B53" t="s">
        <v>40</v>
      </c>
      <c r="C53" s="82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2.7507200534381049</v>
      </c>
      <c r="Q53" s="13">
        <f t="shared" si="1"/>
        <v>4800</v>
      </c>
    </row>
    <row r="54" spans="1:17" x14ac:dyDescent="0.25">
      <c r="B54" t="s">
        <v>41</v>
      </c>
      <c r="C54" s="82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2.848960055346609</v>
      </c>
      <c r="Q54" s="13">
        <f t="shared" si="1"/>
        <v>4900.0000000000009</v>
      </c>
    </row>
    <row r="55" spans="1:17" x14ac:dyDescent="0.25">
      <c r="B55" t="s">
        <v>42</v>
      </c>
      <c r="C55" s="82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2.9472000572551122</v>
      </c>
      <c r="Q55" s="13">
        <f t="shared" si="1"/>
        <v>5000</v>
      </c>
    </row>
    <row r="56" spans="1:17" x14ac:dyDescent="0.25">
      <c r="A56" t="s">
        <v>43</v>
      </c>
      <c r="C56" s="82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3.0454400591636164</v>
      </c>
      <c r="Q56" s="13">
        <f t="shared" si="1"/>
        <v>5100</v>
      </c>
    </row>
    <row r="57" spans="1:17" x14ac:dyDescent="0.25">
      <c r="C57" s="82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3.1436800610721196</v>
      </c>
      <c r="Q57" s="13">
        <f t="shared" si="1"/>
        <v>5200</v>
      </c>
    </row>
    <row r="58" spans="1:17" x14ac:dyDescent="0.25">
      <c r="A58" t="s">
        <v>44</v>
      </c>
      <c r="C58" s="82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3.2419200629806237</v>
      </c>
      <c r="Q58" s="13">
        <f t="shared" si="1"/>
        <v>5300</v>
      </c>
    </row>
    <row r="59" spans="1:17" x14ac:dyDescent="0.25">
      <c r="B59" t="s">
        <v>45</v>
      </c>
      <c r="C59" s="82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3.340160064889127</v>
      </c>
      <c r="Q59" s="13">
        <f t="shared" si="1"/>
        <v>5399.9999999999991</v>
      </c>
    </row>
    <row r="60" spans="1:17" x14ac:dyDescent="0.25">
      <c r="B60" t="s">
        <v>210</v>
      </c>
      <c r="C60" s="82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3.4384000667976311</v>
      </c>
      <c r="Q60" s="13">
        <f t="shared" si="1"/>
        <v>5500</v>
      </c>
    </row>
    <row r="61" spans="1:17" x14ac:dyDescent="0.25">
      <c r="B61" t="s">
        <v>48</v>
      </c>
      <c r="C61" s="82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3.5366400687061352</v>
      </c>
      <c r="Q61" s="13">
        <f t="shared" si="1"/>
        <v>5600.0000000000009</v>
      </c>
    </row>
    <row r="62" spans="1:17" x14ac:dyDescent="0.25">
      <c r="B62" t="s">
        <v>214</v>
      </c>
      <c r="C62" s="82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3.6348800706146385</v>
      </c>
      <c r="Q62" s="13">
        <f t="shared" si="1"/>
        <v>5699.9999999999991</v>
      </c>
    </row>
    <row r="63" spans="1:17" x14ac:dyDescent="0.25">
      <c r="B63" t="s">
        <v>49</v>
      </c>
      <c r="C63" s="82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3.7331200725231426</v>
      </c>
      <c r="Q63" s="13">
        <f t="shared" si="1"/>
        <v>5800.0000000000009</v>
      </c>
    </row>
    <row r="64" spans="1:17" x14ac:dyDescent="0.25">
      <c r="B64" t="s">
        <v>50</v>
      </c>
      <c r="C64" s="82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3.8313600744316458</v>
      </c>
      <c r="Q64" s="13">
        <f t="shared" si="1"/>
        <v>5900</v>
      </c>
    </row>
    <row r="65" spans="1:17" x14ac:dyDescent="0.25">
      <c r="B65" t="s">
        <v>51</v>
      </c>
      <c r="C65" s="82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3.92960007634015</v>
      </c>
      <c r="Q65" s="13">
        <f t="shared" si="1"/>
        <v>6000</v>
      </c>
    </row>
    <row r="66" spans="1:17" x14ac:dyDescent="0.25">
      <c r="B66" t="s">
        <v>52</v>
      </c>
      <c r="C66" s="82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4.0278400782486532</v>
      </c>
      <c r="Q66" s="13">
        <f t="shared" si="1"/>
        <v>6100</v>
      </c>
    </row>
    <row r="67" spans="1:17" x14ac:dyDescent="0.25">
      <c r="B67" t="s">
        <v>53</v>
      </c>
      <c r="C67" s="82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4.1260800801571573</v>
      </c>
      <c r="Q67" s="13">
        <f t="shared" si="1"/>
        <v>6200</v>
      </c>
    </row>
    <row r="68" spans="1:17" x14ac:dyDescent="0.25">
      <c r="B68" t="s">
        <v>54</v>
      </c>
      <c r="C68" s="82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4.2243200820656606</v>
      </c>
      <c r="Q68" s="13">
        <f t="shared" si="1"/>
        <v>6300</v>
      </c>
    </row>
    <row r="69" spans="1:17" x14ac:dyDescent="0.25">
      <c r="B69" t="s">
        <v>55</v>
      </c>
      <c r="C69" s="82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4.3225600839741647</v>
      </c>
      <c r="Q69" s="13">
        <f t="shared" si="1"/>
        <v>6400</v>
      </c>
    </row>
    <row r="70" spans="1:17" x14ac:dyDescent="0.25">
      <c r="B70" t="s">
        <v>56</v>
      </c>
      <c r="C70" s="82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4.4208000858826688</v>
      </c>
      <c r="Q70" s="13">
        <f t="shared" ref="Q70:Q133" si="4">(P70-P$5)*$G$18*10000</f>
        <v>6500</v>
      </c>
    </row>
    <row r="71" spans="1:17" x14ac:dyDescent="0.25">
      <c r="B71" t="s">
        <v>57</v>
      </c>
      <c r="C71" s="82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4.5190400877911721</v>
      </c>
      <c r="Q71" s="13">
        <f t="shared" si="4"/>
        <v>6600</v>
      </c>
    </row>
    <row r="72" spans="1:17" x14ac:dyDescent="0.25">
      <c r="B72" t="s">
        <v>58</v>
      </c>
      <c r="C72" s="82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4.6172800896996762</v>
      </c>
      <c r="Q72" s="13">
        <f t="shared" si="4"/>
        <v>6700</v>
      </c>
    </row>
    <row r="73" spans="1:17" x14ac:dyDescent="0.25">
      <c r="B73" t="s">
        <v>59</v>
      </c>
      <c r="C73" s="82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4.7155200916081794</v>
      </c>
      <c r="Q73" s="13">
        <f t="shared" si="4"/>
        <v>6799.9999999999991</v>
      </c>
    </row>
    <row r="74" spans="1:17" x14ac:dyDescent="0.25">
      <c r="A74" t="s">
        <v>43</v>
      </c>
      <c r="C74" s="82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4.8137600935166835</v>
      </c>
      <c r="Q74" s="13">
        <f t="shared" si="4"/>
        <v>6900.0000000000009</v>
      </c>
    </row>
    <row r="75" spans="1:17" x14ac:dyDescent="0.25">
      <c r="C75" s="82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4.9120000954251868</v>
      </c>
      <c r="Q75" s="13">
        <f t="shared" si="4"/>
        <v>7000</v>
      </c>
    </row>
    <row r="76" spans="1:17" x14ac:dyDescent="0.25">
      <c r="A76" t="s">
        <v>60</v>
      </c>
      <c r="C76" s="82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5.0102400973336909</v>
      </c>
      <c r="Q76" s="13">
        <f t="shared" si="4"/>
        <v>7100</v>
      </c>
    </row>
    <row r="77" spans="1:17" x14ac:dyDescent="0.25">
      <c r="B77" t="s">
        <v>136</v>
      </c>
      <c r="C77" s="82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5.1084800992421942</v>
      </c>
      <c r="Q77" s="13">
        <f t="shared" si="4"/>
        <v>7200</v>
      </c>
    </row>
    <row r="78" spans="1:17" x14ac:dyDescent="0.25">
      <c r="A78" t="s">
        <v>43</v>
      </c>
      <c r="C78" s="82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5.2067201011506983</v>
      </c>
      <c r="Q78" s="13">
        <f t="shared" si="4"/>
        <v>7300</v>
      </c>
    </row>
    <row r="79" spans="1:17" x14ac:dyDescent="0.25">
      <c r="C79" s="82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5.3049601030592024</v>
      </c>
      <c r="Q79" s="13">
        <f t="shared" si="4"/>
        <v>7400</v>
      </c>
    </row>
    <row r="80" spans="1:17" x14ac:dyDescent="0.25">
      <c r="A80" t="s">
        <v>61</v>
      </c>
      <c r="C80" s="82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5.4032001049677056</v>
      </c>
      <c r="Q80" s="13">
        <f t="shared" si="4"/>
        <v>7500</v>
      </c>
    </row>
    <row r="81" spans="2:17" x14ac:dyDescent="0.25">
      <c r="C81" s="82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5.5014401068762098</v>
      </c>
      <c r="Q81" s="13">
        <f t="shared" si="4"/>
        <v>7600</v>
      </c>
    </row>
    <row r="82" spans="2:17" x14ac:dyDescent="0.25">
      <c r="B82" t="s">
        <v>62</v>
      </c>
      <c r="C82" s="82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5.599680108784713</v>
      </c>
      <c r="Q82" s="13">
        <f t="shared" si="4"/>
        <v>7700</v>
      </c>
    </row>
    <row r="83" spans="2:17" x14ac:dyDescent="0.25">
      <c r="B83" t="s">
        <v>63</v>
      </c>
      <c r="C83" s="82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5.6979201106932171</v>
      </c>
      <c r="Q83" s="13">
        <f t="shared" si="4"/>
        <v>7800</v>
      </c>
    </row>
    <row r="84" spans="2:17" x14ac:dyDescent="0.25">
      <c r="B84" t="s">
        <v>64</v>
      </c>
      <c r="C84" s="82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5.7961601126017204</v>
      </c>
      <c r="Q84" s="13">
        <f t="shared" si="4"/>
        <v>7899.9999999999991</v>
      </c>
    </row>
    <row r="85" spans="2:17" x14ac:dyDescent="0.25">
      <c r="B85" t="s">
        <v>65</v>
      </c>
      <c r="C85" s="82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5.8944001145102245</v>
      </c>
      <c r="Q85" s="13">
        <f t="shared" si="4"/>
        <v>8000</v>
      </c>
    </row>
    <row r="86" spans="2:17" x14ac:dyDescent="0.25">
      <c r="B86" t="s">
        <v>211</v>
      </c>
      <c r="C86" s="82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5.9926401164187286</v>
      </c>
      <c r="Q86" s="13">
        <f t="shared" si="4"/>
        <v>8100.0000000000009</v>
      </c>
    </row>
    <row r="87" spans="2:17" x14ac:dyDescent="0.25">
      <c r="B87" t="s">
        <v>66</v>
      </c>
      <c r="C87" s="82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6.0908801183272319</v>
      </c>
      <c r="Q87" s="13">
        <f t="shared" si="4"/>
        <v>8200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6.189120120235736</v>
      </c>
      <c r="Q88" s="13">
        <f t="shared" si="4"/>
        <v>8300</v>
      </c>
    </row>
    <row r="89" spans="2:17" x14ac:dyDescent="0.25">
      <c r="B89" t="s">
        <v>68</v>
      </c>
      <c r="C89" s="82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6.2873601221442401</v>
      </c>
      <c r="Q89" s="13">
        <f t="shared" si="4"/>
        <v>8400</v>
      </c>
    </row>
    <row r="90" spans="2:17" x14ac:dyDescent="0.25">
      <c r="B90" t="s">
        <v>69</v>
      </c>
      <c r="C90" s="82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6.3856001240527425</v>
      </c>
      <c r="Q90" s="13">
        <f t="shared" si="4"/>
        <v>8500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6.4838401259612466</v>
      </c>
      <c r="Q91" s="13">
        <f t="shared" si="4"/>
        <v>8600</v>
      </c>
    </row>
    <row r="92" spans="2:17" x14ac:dyDescent="0.25">
      <c r="B92" t="s">
        <v>71</v>
      </c>
      <c r="C92" s="82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6.5820801278697507</v>
      </c>
      <c r="Q92" s="13">
        <f t="shared" si="4"/>
        <v>8700</v>
      </c>
    </row>
    <row r="93" spans="2:17" x14ac:dyDescent="0.25">
      <c r="B93" t="s">
        <v>72</v>
      </c>
      <c r="C93" s="82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6.6803201297782548</v>
      </c>
      <c r="Q93" s="13">
        <f t="shared" si="4"/>
        <v>8800</v>
      </c>
    </row>
    <row r="94" spans="2:17" x14ac:dyDescent="0.25">
      <c r="B94" t="s">
        <v>191</v>
      </c>
      <c r="C94" s="82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6.778560131686759</v>
      </c>
      <c r="Q94" s="13">
        <f t="shared" si="4"/>
        <v>8900.0000000000018</v>
      </c>
    </row>
    <row r="95" spans="2:17" x14ac:dyDescent="0.25">
      <c r="B95" t="s">
        <v>73</v>
      </c>
      <c r="C95" s="21">
        <f>C21</f>
        <v>-1.9648000381700748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6.8768001335952613</v>
      </c>
      <c r="Q95" s="13">
        <f t="shared" si="4"/>
        <v>9000</v>
      </c>
    </row>
    <row r="96" spans="2:17" x14ac:dyDescent="0.25">
      <c r="B96" t="s">
        <v>215</v>
      </c>
      <c r="C96" s="82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6.9750401355037654</v>
      </c>
      <c r="Q96" s="13">
        <f t="shared" si="4"/>
        <v>9100</v>
      </c>
    </row>
    <row r="97" spans="2:17" x14ac:dyDescent="0.25">
      <c r="B97" t="s">
        <v>216</v>
      </c>
      <c r="C97" s="82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7.0732801374122696</v>
      </c>
      <c r="Q97" s="13">
        <f t="shared" si="4"/>
        <v>9200</v>
      </c>
    </row>
    <row r="98" spans="2:17" x14ac:dyDescent="0.25">
      <c r="B98" t="s">
        <v>74</v>
      </c>
      <c r="C98" s="82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7.1715201393207737</v>
      </c>
      <c r="Q98" s="13">
        <f t="shared" si="4"/>
        <v>9300</v>
      </c>
    </row>
    <row r="99" spans="2:17" x14ac:dyDescent="0.25">
      <c r="B99" t="s">
        <v>75</v>
      </c>
      <c r="C99" s="82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7.2697601412292761</v>
      </c>
      <c r="Q99" s="13">
        <f t="shared" si="4"/>
        <v>9400</v>
      </c>
    </row>
    <row r="100" spans="2:17" x14ac:dyDescent="0.25">
      <c r="B100" t="s">
        <v>76</v>
      </c>
      <c r="C100" s="82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7.3680001431377802</v>
      </c>
      <c r="Q100" s="13">
        <f t="shared" si="4"/>
        <v>9500</v>
      </c>
    </row>
    <row r="101" spans="2:17" x14ac:dyDescent="0.25">
      <c r="B101" t="s">
        <v>77</v>
      </c>
      <c r="C101" s="82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7.4662401450462843</v>
      </c>
      <c r="Q101" s="13">
        <f t="shared" si="4"/>
        <v>9600</v>
      </c>
    </row>
    <row r="102" spans="2:17" x14ac:dyDescent="0.25">
      <c r="B102" t="s">
        <v>78</v>
      </c>
      <c r="C102" s="82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7.5644801469547884</v>
      </c>
      <c r="Q102" s="13">
        <f t="shared" si="4"/>
        <v>9700</v>
      </c>
    </row>
    <row r="103" spans="2:17" x14ac:dyDescent="0.25">
      <c r="B103" t="s">
        <v>79</v>
      </c>
      <c r="C103" s="82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7.6627201488632926</v>
      </c>
      <c r="Q103" s="13">
        <f t="shared" si="4"/>
        <v>9800.0000000000018</v>
      </c>
    </row>
    <row r="104" spans="2:17" x14ac:dyDescent="0.25">
      <c r="B104" t="s">
        <v>80</v>
      </c>
      <c r="C104" s="24">
        <f>C95</f>
        <v>-1.9648000381700748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7.7609601507717949</v>
      </c>
      <c r="Q104" s="13">
        <f t="shared" si="4"/>
        <v>9900</v>
      </c>
    </row>
    <row r="105" spans="2:17" x14ac:dyDescent="0.25">
      <c r="B105" t="s">
        <v>81</v>
      </c>
      <c r="C105" s="82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7.859200152680299</v>
      </c>
      <c r="Q105" s="13">
        <f t="shared" si="4"/>
        <v>10000</v>
      </c>
    </row>
    <row r="106" spans="2:17" x14ac:dyDescent="0.25">
      <c r="B106" t="s">
        <v>82</v>
      </c>
      <c r="C106" s="82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7.9574401545888032</v>
      </c>
      <c r="Q106" s="13">
        <f t="shared" si="4"/>
        <v>10100</v>
      </c>
    </row>
    <row r="107" spans="2:17" x14ac:dyDescent="0.25">
      <c r="B107" t="s">
        <v>83</v>
      </c>
      <c r="C107" s="82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8.0556801564973064</v>
      </c>
      <c r="Q107" s="13">
        <f t="shared" si="4"/>
        <v>10200</v>
      </c>
    </row>
    <row r="108" spans="2:17" x14ac:dyDescent="0.25">
      <c r="B108" t="s">
        <v>84</v>
      </c>
      <c r="C108" s="82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8.1539201584058087</v>
      </c>
      <c r="Q108" s="13">
        <f t="shared" si="4"/>
        <v>10300</v>
      </c>
    </row>
    <row r="109" spans="2:17" x14ac:dyDescent="0.25">
      <c r="B109" t="s">
        <v>85</v>
      </c>
      <c r="C109" s="82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8.2521601603143129</v>
      </c>
      <c r="Q109" s="13">
        <f t="shared" si="4"/>
        <v>10400</v>
      </c>
    </row>
    <row r="110" spans="2:17" x14ac:dyDescent="0.25">
      <c r="B110" t="s">
        <v>86</v>
      </c>
      <c r="C110" s="82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8.350400162222817</v>
      </c>
      <c r="Q110" s="13">
        <f t="shared" si="4"/>
        <v>10500</v>
      </c>
    </row>
    <row r="111" spans="2:17" x14ac:dyDescent="0.25">
      <c r="B111" t="s">
        <v>87</v>
      </c>
      <c r="C111" s="82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8.4486401641313211</v>
      </c>
      <c r="Q111" s="13">
        <f t="shared" si="4"/>
        <v>10600</v>
      </c>
    </row>
    <row r="112" spans="2:17" x14ac:dyDescent="0.25">
      <c r="B112" t="s">
        <v>43</v>
      </c>
      <c r="C112" s="82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8.5468801660398253</v>
      </c>
      <c r="Q112" s="13">
        <f t="shared" si="4"/>
        <v>10700</v>
      </c>
    </row>
    <row r="113" spans="3:17" x14ac:dyDescent="0.25">
      <c r="C113" s="82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8.6451201679483276</v>
      </c>
      <c r="Q113" s="13">
        <f t="shared" si="4"/>
        <v>10799.999999999998</v>
      </c>
    </row>
    <row r="114" spans="3:17" x14ac:dyDescent="0.25">
      <c r="C114" s="82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8.7433601698568317</v>
      </c>
      <c r="Q114" s="13">
        <f t="shared" si="4"/>
        <v>10900</v>
      </c>
    </row>
    <row r="115" spans="3:17" x14ac:dyDescent="0.25">
      <c r="C115" s="82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8.8416001717653359</v>
      </c>
      <c r="Q115" s="13">
        <f t="shared" si="4"/>
        <v>11000</v>
      </c>
    </row>
    <row r="116" spans="3:17" x14ac:dyDescent="0.25">
      <c r="C116" s="82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8.93984017367384</v>
      </c>
      <c r="Q116" s="13">
        <f t="shared" si="4"/>
        <v>11100.000000000002</v>
      </c>
    </row>
    <row r="117" spans="3:17" x14ac:dyDescent="0.25">
      <c r="C117" s="82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9.0380801755823441</v>
      </c>
      <c r="Q117" s="13">
        <f t="shared" si="4"/>
        <v>11200.000000000002</v>
      </c>
    </row>
    <row r="118" spans="3:17" x14ac:dyDescent="0.25">
      <c r="C118" s="82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9.1363201774908465</v>
      </c>
      <c r="Q118" s="13">
        <f t="shared" si="4"/>
        <v>11299.999999999998</v>
      </c>
    </row>
    <row r="119" spans="3:17" x14ac:dyDescent="0.25">
      <c r="C119" s="82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9.2345601793993506</v>
      </c>
      <c r="Q119" s="13">
        <f t="shared" si="4"/>
        <v>11399.999999999998</v>
      </c>
    </row>
    <row r="120" spans="3:17" x14ac:dyDescent="0.25">
      <c r="C120" s="82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9.3328001813078547</v>
      </c>
      <c r="Q120" s="13">
        <f t="shared" si="4"/>
        <v>11500.000000000002</v>
      </c>
    </row>
    <row r="121" spans="3:17" x14ac:dyDescent="0.25">
      <c r="C121" s="82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9.4310401832163588</v>
      </c>
      <c r="Q121" s="13">
        <f t="shared" si="4"/>
        <v>11600.000000000002</v>
      </c>
    </row>
    <row r="122" spans="3:17" x14ac:dyDescent="0.25">
      <c r="C122" s="82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9.5292801851248612</v>
      </c>
      <c r="Q122" s="13">
        <f t="shared" si="4"/>
        <v>11700</v>
      </c>
    </row>
    <row r="123" spans="3:17" x14ac:dyDescent="0.25">
      <c r="C123" s="82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9.6275201870333653</v>
      </c>
      <c r="Q123" s="13">
        <f t="shared" si="4"/>
        <v>11800</v>
      </c>
    </row>
    <row r="124" spans="3:17" x14ac:dyDescent="0.25">
      <c r="C124" s="82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9.7257601889418694</v>
      </c>
      <c r="Q124" s="13">
        <f t="shared" si="4"/>
        <v>11900</v>
      </c>
    </row>
    <row r="125" spans="3:17" x14ac:dyDescent="0.25">
      <c r="C125" s="82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9.8240001908503736</v>
      </c>
      <c r="Q125" s="13">
        <f t="shared" si="4"/>
        <v>12000</v>
      </c>
    </row>
    <row r="126" spans="3:17" x14ac:dyDescent="0.25">
      <c r="C126" s="82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9.9222401927588777</v>
      </c>
      <c r="Q126" s="13">
        <f t="shared" si="4"/>
        <v>12100.000000000002</v>
      </c>
    </row>
    <row r="127" spans="3:17" x14ac:dyDescent="0.25">
      <c r="C127" s="82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10.02048019466738</v>
      </c>
      <c r="Q127" s="13">
        <f t="shared" si="4"/>
        <v>12200</v>
      </c>
    </row>
    <row r="128" spans="3:17" x14ac:dyDescent="0.25">
      <c r="C128" s="82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10.118720196575884</v>
      </c>
      <c r="Q128" s="13">
        <f t="shared" si="4"/>
        <v>12300</v>
      </c>
    </row>
    <row r="129" spans="3:17" x14ac:dyDescent="0.25">
      <c r="C129" s="82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10.216960198484388</v>
      </c>
      <c r="Q129" s="13">
        <f t="shared" si="4"/>
        <v>12400</v>
      </c>
    </row>
    <row r="130" spans="3:17" x14ac:dyDescent="0.25">
      <c r="C130" s="82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10.315200200392892</v>
      </c>
      <c r="Q130" s="13">
        <f t="shared" si="4"/>
        <v>12500</v>
      </c>
    </row>
    <row r="131" spans="3:17" x14ac:dyDescent="0.25">
      <c r="C131" s="82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10.413440202301395</v>
      </c>
      <c r="Q131" s="13">
        <f t="shared" si="4"/>
        <v>12600</v>
      </c>
    </row>
    <row r="132" spans="3:17" x14ac:dyDescent="0.25">
      <c r="C132" s="82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10.511680204209899</v>
      </c>
      <c r="Q132" s="13">
        <f t="shared" si="4"/>
        <v>12700</v>
      </c>
    </row>
    <row r="133" spans="3:17" x14ac:dyDescent="0.25">
      <c r="C133" s="82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10.609920206118403</v>
      </c>
      <c r="Q133" s="13">
        <f t="shared" si="4"/>
        <v>12800</v>
      </c>
    </row>
    <row r="134" spans="3:17" x14ac:dyDescent="0.25">
      <c r="C134" s="82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10.708160208026907</v>
      </c>
      <c r="Q134" s="13">
        <f t="shared" ref="Q134:Q159" si="7">(P134-P$5)*$G$18*10000</f>
        <v>12900</v>
      </c>
    </row>
    <row r="135" spans="3:17" x14ac:dyDescent="0.25">
      <c r="C135" s="82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10.806400209935411</v>
      </c>
      <c r="Q135" s="13">
        <f t="shared" si="7"/>
        <v>13000</v>
      </c>
    </row>
    <row r="136" spans="3:17" x14ac:dyDescent="0.25">
      <c r="C136" s="82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10.904640211843914</v>
      </c>
      <c r="Q136" s="13">
        <f t="shared" si="7"/>
        <v>13100</v>
      </c>
    </row>
    <row r="137" spans="3:17" x14ac:dyDescent="0.25">
      <c r="C137" s="82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11.002880213752418</v>
      </c>
      <c r="Q137" s="13">
        <f t="shared" si="7"/>
        <v>13200</v>
      </c>
    </row>
    <row r="138" spans="3:17" x14ac:dyDescent="0.25">
      <c r="C138" s="82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11.101120215660922</v>
      </c>
      <c r="Q138" s="13">
        <f t="shared" si="7"/>
        <v>13300</v>
      </c>
    </row>
    <row r="139" spans="3:17" x14ac:dyDescent="0.25">
      <c r="C139" s="82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11.199360217569426</v>
      </c>
      <c r="Q139" s="13">
        <f t="shared" si="7"/>
        <v>13400</v>
      </c>
    </row>
    <row r="140" spans="3:17" x14ac:dyDescent="0.25">
      <c r="C140" s="82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11.297600219477928</v>
      </c>
      <c r="Q140" s="13">
        <f t="shared" si="7"/>
        <v>13499.999999999998</v>
      </c>
    </row>
    <row r="141" spans="3:17" x14ac:dyDescent="0.25">
      <c r="C141" s="82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11.395840221386432</v>
      </c>
      <c r="Q141" s="13">
        <f t="shared" si="7"/>
        <v>13599.999999999998</v>
      </c>
    </row>
    <row r="142" spans="3:17" x14ac:dyDescent="0.25">
      <c r="C142" s="82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11.494080223294937</v>
      </c>
      <c r="Q142" s="13">
        <f t="shared" si="7"/>
        <v>13700.000000000002</v>
      </c>
    </row>
    <row r="143" spans="3:17" x14ac:dyDescent="0.25">
      <c r="C143" s="82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11.592320225203441</v>
      </c>
      <c r="Q143" s="13">
        <f t="shared" si="7"/>
        <v>13800.000000000002</v>
      </c>
    </row>
    <row r="144" spans="3:17" x14ac:dyDescent="0.25">
      <c r="C144" s="82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11.690560227111945</v>
      </c>
      <c r="Q144" s="13">
        <f t="shared" si="7"/>
        <v>13900.000000000002</v>
      </c>
    </row>
    <row r="145" spans="3:17" x14ac:dyDescent="0.25">
      <c r="C145" s="82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11.788800229020447</v>
      </c>
      <c r="Q145" s="13">
        <f t="shared" si="7"/>
        <v>14000</v>
      </c>
    </row>
    <row r="146" spans="3:17" x14ac:dyDescent="0.25">
      <c r="C146" s="82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11.887040230928951</v>
      </c>
      <c r="Q146" s="13">
        <f t="shared" si="7"/>
        <v>14100</v>
      </c>
    </row>
    <row r="147" spans="3:17" x14ac:dyDescent="0.25">
      <c r="C147" s="82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11.985280232837455</v>
      </c>
      <c r="Q147" s="13">
        <f t="shared" si="7"/>
        <v>14200</v>
      </c>
    </row>
    <row r="148" spans="3:17" x14ac:dyDescent="0.25">
      <c r="C148" s="82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12.08352023474596</v>
      </c>
      <c r="Q148" s="13">
        <f t="shared" si="7"/>
        <v>14300.000000000002</v>
      </c>
    </row>
    <row r="149" spans="3:17" x14ac:dyDescent="0.25">
      <c r="C149" s="82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12.181760236654462</v>
      </c>
      <c r="Q149" s="13">
        <f t="shared" si="7"/>
        <v>14400</v>
      </c>
    </row>
    <row r="150" spans="3:17" x14ac:dyDescent="0.25">
      <c r="C150" s="82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12.280000238562966</v>
      </c>
      <c r="Q150" s="13">
        <f t="shared" si="7"/>
        <v>14500</v>
      </c>
    </row>
    <row r="151" spans="3:17" x14ac:dyDescent="0.25">
      <c r="C151" s="82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12.37824024047147</v>
      </c>
      <c r="Q151" s="13">
        <f t="shared" si="7"/>
        <v>14600</v>
      </c>
    </row>
    <row r="152" spans="3:17" x14ac:dyDescent="0.25">
      <c r="C152" s="82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12.476480242379974</v>
      </c>
      <c r="Q152" s="13">
        <f t="shared" si="7"/>
        <v>14700</v>
      </c>
    </row>
    <row r="153" spans="3:17" x14ac:dyDescent="0.25">
      <c r="C153" s="82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12.574720244288478</v>
      </c>
      <c r="Q153" s="13">
        <f t="shared" si="7"/>
        <v>14800</v>
      </c>
    </row>
    <row r="154" spans="3:17" x14ac:dyDescent="0.25">
      <c r="C154" s="82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12.672960246196981</v>
      </c>
      <c r="Q154" s="13">
        <f t="shared" si="7"/>
        <v>14900</v>
      </c>
    </row>
    <row r="155" spans="3:17" x14ac:dyDescent="0.25">
      <c r="C155" s="82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12.771200248105485</v>
      </c>
      <c r="Q155" s="13">
        <f t="shared" si="7"/>
        <v>15000</v>
      </c>
    </row>
    <row r="156" spans="3:17" x14ac:dyDescent="0.25">
      <c r="C156" s="82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12.869440250013989</v>
      </c>
      <c r="Q156" s="13">
        <f t="shared" si="7"/>
        <v>15100</v>
      </c>
    </row>
    <row r="157" spans="3:17" x14ac:dyDescent="0.25">
      <c r="C157" s="82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12.967680251922493</v>
      </c>
      <c r="Q157" s="13">
        <f t="shared" si="7"/>
        <v>15200</v>
      </c>
    </row>
    <row r="158" spans="3:17" x14ac:dyDescent="0.25">
      <c r="C158" s="82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13.065920253830997</v>
      </c>
      <c r="Q158" s="13">
        <f t="shared" si="7"/>
        <v>15300</v>
      </c>
    </row>
    <row r="159" spans="3:17" x14ac:dyDescent="0.25">
      <c r="C159" s="82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13.1641602557395</v>
      </c>
      <c r="Q159" s="13">
        <f t="shared" si="7"/>
        <v>15400</v>
      </c>
    </row>
    <row r="160" spans="3:17" x14ac:dyDescent="0.25">
      <c r="C160" s="82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82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82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82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82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82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82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82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82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82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82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82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82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82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82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82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82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82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82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82"/>
      <c r="F179" s="5"/>
      <c r="G179" s="3"/>
      <c r="H179" s="3"/>
      <c r="I179"/>
      <c r="J179"/>
      <c r="K179" s="3"/>
      <c r="M179"/>
    </row>
    <row r="180" spans="3:13" x14ac:dyDescent="0.25">
      <c r="C180" s="82"/>
      <c r="F180" s="5"/>
      <c r="G180" s="3"/>
      <c r="H180" s="3"/>
      <c r="I180"/>
      <c r="J180"/>
      <c r="K180" s="3"/>
      <c r="M180"/>
    </row>
    <row r="181" spans="3:13" x14ac:dyDescent="0.25">
      <c r="C181" s="82"/>
      <c r="F181" s="5"/>
      <c r="G181" s="3"/>
      <c r="H181" s="3"/>
      <c r="I181"/>
      <c r="J181"/>
      <c r="K181" s="3"/>
      <c r="M181"/>
    </row>
    <row r="182" spans="3:13" x14ac:dyDescent="0.25">
      <c r="C182" s="82"/>
      <c r="F182" s="5"/>
      <c r="G182" s="3"/>
      <c r="H182" s="3"/>
      <c r="I182"/>
      <c r="J182"/>
      <c r="K182" s="3"/>
      <c r="M182"/>
    </row>
    <row r="183" spans="3:13" x14ac:dyDescent="0.25">
      <c r="C183" s="82"/>
      <c r="F183" s="5"/>
      <c r="G183" s="3"/>
      <c r="H183" s="3"/>
      <c r="I183"/>
      <c r="J183"/>
      <c r="K183" s="3"/>
      <c r="M183"/>
    </row>
    <row r="184" spans="3:13" x14ac:dyDescent="0.25">
      <c r="C184" s="82"/>
      <c r="F184" s="5"/>
      <c r="G184" s="3"/>
      <c r="H184" s="3"/>
      <c r="I184"/>
      <c r="J184"/>
      <c r="K184" s="3"/>
      <c r="M184"/>
    </row>
    <row r="185" spans="3:13" x14ac:dyDescent="0.25">
      <c r="C185" s="82"/>
      <c r="F185" s="5"/>
      <c r="G185" s="3"/>
      <c r="H185" s="3"/>
      <c r="I185"/>
      <c r="J185"/>
      <c r="K185" s="3"/>
      <c r="M185"/>
    </row>
    <row r="186" spans="3:13" x14ac:dyDescent="0.25">
      <c r="C186" s="82"/>
      <c r="F186" s="5"/>
      <c r="G186" s="3"/>
      <c r="H186" s="3"/>
      <c r="I186"/>
      <c r="J186"/>
      <c r="K186" s="3"/>
      <c r="M186"/>
    </row>
    <row r="187" spans="3:13" x14ac:dyDescent="0.25">
      <c r="C187" s="82"/>
      <c r="F187" s="5"/>
      <c r="G187" s="3"/>
      <c r="H187" s="3"/>
      <c r="I187"/>
      <c r="J187"/>
      <c r="K187" s="3"/>
      <c r="M187"/>
    </row>
    <row r="188" spans="3:13" x14ac:dyDescent="0.25">
      <c r="C188" s="82"/>
      <c r="F188" s="5"/>
      <c r="G188" s="3"/>
      <c r="H188" s="3"/>
      <c r="I188"/>
      <c r="J188"/>
      <c r="K188" s="3"/>
      <c r="M188"/>
    </row>
    <row r="189" spans="3:13" x14ac:dyDescent="0.25">
      <c r="C189" s="82"/>
      <c r="F189" s="5"/>
      <c r="G189" s="3"/>
      <c r="H189" s="3"/>
      <c r="I189"/>
      <c r="J189"/>
      <c r="K189" s="3"/>
      <c r="M189"/>
    </row>
    <row r="190" spans="3:13" x14ac:dyDescent="0.25">
      <c r="C190" s="82"/>
      <c r="F190" s="5"/>
      <c r="G190" s="3"/>
      <c r="H190" s="3"/>
      <c r="I190"/>
      <c r="J190"/>
      <c r="K190" s="3"/>
      <c r="M190"/>
    </row>
    <row r="191" spans="3:13" x14ac:dyDescent="0.25">
      <c r="C191" s="82"/>
      <c r="F191" s="5"/>
      <c r="G191" s="3"/>
      <c r="H191" s="3"/>
      <c r="I191"/>
      <c r="J191"/>
      <c r="K191" s="3"/>
      <c r="M191"/>
    </row>
    <row r="192" spans="3:13" x14ac:dyDescent="0.25">
      <c r="C192" s="82"/>
      <c r="F192" s="5"/>
      <c r="G192" s="3"/>
      <c r="H192" s="3"/>
      <c r="I192"/>
      <c r="J192"/>
      <c r="K192" s="3"/>
      <c r="M192"/>
    </row>
    <row r="193" spans="3:13" x14ac:dyDescent="0.25">
      <c r="C193" s="82"/>
      <c r="F193" s="5"/>
      <c r="G193" s="3"/>
      <c r="H193" s="3"/>
      <c r="I193"/>
      <c r="J193"/>
      <c r="K193" s="3"/>
      <c r="M193"/>
    </row>
    <row r="194" spans="3:13" x14ac:dyDescent="0.25">
      <c r="C194" s="82"/>
      <c r="F194" s="5"/>
      <c r="G194" s="3"/>
      <c r="H194" s="3"/>
      <c r="I194"/>
      <c r="J194"/>
      <c r="K194" s="3"/>
      <c r="M194"/>
    </row>
    <row r="195" spans="3:13" x14ac:dyDescent="0.25">
      <c r="C195" s="82"/>
      <c r="F195" s="5"/>
      <c r="G195" s="3"/>
      <c r="H195" s="3"/>
      <c r="I195"/>
      <c r="J195"/>
      <c r="K195" s="3"/>
      <c r="M195"/>
    </row>
    <row r="196" spans="3:13" x14ac:dyDescent="0.25">
      <c r="C196" s="82"/>
      <c r="F196" s="5"/>
      <c r="G196" s="3"/>
      <c r="H196" s="3"/>
      <c r="I196"/>
      <c r="J196"/>
      <c r="K196" s="3"/>
      <c r="M196"/>
    </row>
    <row r="197" spans="3:13" x14ac:dyDescent="0.25">
      <c r="C197" s="82"/>
      <c r="F197" s="5"/>
      <c r="G197" s="3"/>
      <c r="H197" s="3"/>
      <c r="I197"/>
      <c r="J197"/>
      <c r="K197" s="3"/>
      <c r="M197"/>
    </row>
    <row r="198" spans="3:13" x14ac:dyDescent="0.25">
      <c r="C198" s="82"/>
      <c r="F198" s="5"/>
      <c r="G198" s="3"/>
      <c r="H198" s="3"/>
      <c r="I198"/>
      <c r="J198"/>
      <c r="K198" s="3"/>
      <c r="M198"/>
    </row>
    <row r="199" spans="3:13" x14ac:dyDescent="0.25">
      <c r="C199" s="82"/>
      <c r="F199" s="5"/>
      <c r="G199" s="3"/>
      <c r="H199" s="3"/>
      <c r="I199"/>
      <c r="J199"/>
      <c r="K199" s="3"/>
      <c r="M199"/>
    </row>
    <row r="200" spans="3:13" x14ac:dyDescent="0.25">
      <c r="C200" s="82"/>
      <c r="F200" s="5"/>
      <c r="G200" s="3"/>
      <c r="H200" s="3"/>
      <c r="I200"/>
      <c r="J200"/>
      <c r="K200" s="3"/>
      <c r="M200"/>
    </row>
    <row r="201" spans="3:13" x14ac:dyDescent="0.25">
      <c r="C201" s="82"/>
      <c r="F201" s="5"/>
      <c r="G201" s="3"/>
      <c r="H201" s="3"/>
      <c r="I201"/>
      <c r="J201"/>
      <c r="K201" s="3"/>
      <c r="M201"/>
    </row>
    <row r="202" spans="3:13" x14ac:dyDescent="0.25">
      <c r="C202" s="82"/>
      <c r="F202" s="5"/>
      <c r="G202" s="3"/>
      <c r="H202" s="3"/>
      <c r="I202"/>
      <c r="J202"/>
      <c r="K202" s="3"/>
      <c r="M202"/>
    </row>
    <row r="203" spans="3:13" x14ac:dyDescent="0.25">
      <c r="C203" s="82"/>
      <c r="F203" s="5"/>
      <c r="G203" s="3"/>
      <c r="H203" s="3"/>
      <c r="I203"/>
      <c r="J203"/>
      <c r="K203" s="3"/>
      <c r="M203"/>
    </row>
    <row r="204" spans="3:13" x14ac:dyDescent="0.25">
      <c r="C204" s="82"/>
      <c r="F204" s="5"/>
      <c r="G204" s="3"/>
      <c r="H204" s="3"/>
      <c r="I204"/>
      <c r="J204"/>
      <c r="K204" s="3"/>
      <c r="M204"/>
    </row>
    <row r="205" spans="3:13" x14ac:dyDescent="0.25">
      <c r="C205" s="82"/>
      <c r="F205" s="5"/>
      <c r="G205" s="3"/>
      <c r="H205" s="3"/>
      <c r="I205"/>
      <c r="J205"/>
      <c r="K205" s="3"/>
      <c r="M205"/>
    </row>
    <row r="206" spans="3:13" x14ac:dyDescent="0.25">
      <c r="C206" s="82"/>
      <c r="F206" s="5"/>
      <c r="G206" s="3"/>
      <c r="H206" s="3"/>
      <c r="I206"/>
      <c r="J206"/>
      <c r="K206" s="3"/>
      <c r="M206"/>
    </row>
    <row r="207" spans="3:13" x14ac:dyDescent="0.25">
      <c r="C207" s="82"/>
      <c r="F207" s="5"/>
      <c r="G207" s="3"/>
      <c r="H207" s="3"/>
      <c r="I207"/>
      <c r="J207"/>
      <c r="K207" s="3"/>
      <c r="M207"/>
    </row>
    <row r="208" spans="3:13" x14ac:dyDescent="0.25">
      <c r="C208" s="82"/>
      <c r="F208" s="5"/>
      <c r="G208" s="3"/>
      <c r="H208" s="3"/>
      <c r="I208"/>
      <c r="J208"/>
      <c r="K208" s="3"/>
      <c r="M208"/>
    </row>
    <row r="209" spans="3:13" x14ac:dyDescent="0.25">
      <c r="C209" s="82"/>
      <c r="F209" s="5"/>
      <c r="G209" s="3"/>
      <c r="H209" s="3"/>
      <c r="I209"/>
      <c r="J209"/>
      <c r="K209" s="3"/>
      <c r="M209"/>
    </row>
    <row r="210" spans="3:13" x14ac:dyDescent="0.25">
      <c r="C210" s="82"/>
      <c r="F210" s="5"/>
      <c r="G210" s="3"/>
      <c r="H210" s="3"/>
      <c r="I210"/>
      <c r="J210"/>
      <c r="K210" s="3"/>
      <c r="M210"/>
    </row>
    <row r="211" spans="3:13" x14ac:dyDescent="0.25">
      <c r="C211" s="82"/>
      <c r="F211" s="5"/>
      <c r="G211" s="3"/>
      <c r="H211" s="3"/>
      <c r="I211"/>
      <c r="J211"/>
      <c r="K211" s="3"/>
      <c r="M211"/>
    </row>
    <row r="212" spans="3:13" x14ac:dyDescent="0.25">
      <c r="C212" s="82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topLeftCell="A10" workbookViewId="0">
      <selection activeCell="A10"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24.570312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42760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6.1453526276896926E-17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1.8436057883069078E-2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7" t="s">
        <v>328</v>
      </c>
      <c r="C3" s="87"/>
      <c r="D3" s="87"/>
      <c r="E3" s="8">
        <f>1.04*8</f>
        <v>8.32</v>
      </c>
      <c r="F3">
        <f>4.307*1.08/1.04</f>
        <v>4.4726538461538468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D4">
        <f>0.75*16.1/20</f>
        <v>0.60375000000000001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84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-1.9648000381700748</v>
      </c>
      <c r="Q5" s="13">
        <f>(P5-P$5)*$G$18*10000</f>
        <v>0</v>
      </c>
    </row>
    <row r="6" spans="1:17" x14ac:dyDescent="0.25">
      <c r="A6" t="s">
        <v>0</v>
      </c>
      <c r="C6" s="84"/>
      <c r="E6">
        <f>25*0.05</f>
        <v>1.25</v>
      </c>
      <c r="G6" s="5" t="s">
        <v>153</v>
      </c>
      <c r="H6" s="83">
        <v>8.32E+18</v>
      </c>
      <c r="I6" s="3" t="s">
        <v>155</v>
      </c>
      <c r="J6" s="17" t="s">
        <v>97</v>
      </c>
      <c r="K6" s="3">
        <f>C7+5</f>
        <v>505</v>
      </c>
      <c r="M6"/>
      <c r="O6" s="3">
        <f>O5+1</f>
        <v>1</v>
      </c>
      <c r="P6" s="13">
        <f t="shared" ref="P6:P69" si="0">$C$24*O6+$C$21</f>
        <v>-1.9156800372158229</v>
      </c>
      <c r="Q6" s="13">
        <f t="shared" ref="Q6:Q69" si="1">(P6-P$5)*$G$18*10000</f>
        <v>49.999999999999972</v>
      </c>
    </row>
    <row r="7" spans="1:17" x14ac:dyDescent="0.25">
      <c r="B7" t="s">
        <v>1</v>
      </c>
      <c r="C7" s="84">
        <v>500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0"/>
        <v>-1.8665600362615711</v>
      </c>
      <c r="Q7" s="13">
        <f t="shared" si="1"/>
        <v>99.999999999999943</v>
      </c>
    </row>
    <row r="8" spans="1:17" x14ac:dyDescent="0.25">
      <c r="B8" t="s">
        <v>2</v>
      </c>
      <c r="C8" s="84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-1.8174400353073192</v>
      </c>
      <c r="Q8" s="13">
        <f t="shared" si="1"/>
        <v>149.99999999999991</v>
      </c>
    </row>
    <row r="9" spans="1:17" x14ac:dyDescent="0.25">
      <c r="B9" t="s">
        <v>3</v>
      </c>
      <c r="C9" s="84">
        <v>150</v>
      </c>
      <c r="E9" s="14">
        <f>E10*1000000000/I1</f>
        <v>0.91565580503983057</v>
      </c>
      <c r="F9" s="5" t="s">
        <v>209</v>
      </c>
      <c r="G9" s="6">
        <f>SQRT(G8/H6)</f>
        <v>14.469601445291328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-1.7683200343530672</v>
      </c>
      <c r="Q9" s="13">
        <f t="shared" si="1"/>
        <v>200.00000000000011</v>
      </c>
    </row>
    <row r="10" spans="1:17" x14ac:dyDescent="0.25">
      <c r="B10" t="s">
        <v>4</v>
      </c>
      <c r="C10" s="84">
        <v>250</v>
      </c>
      <c r="E10" s="14">
        <f>0.149/E16</f>
        <v>0.27450670447485959</v>
      </c>
      <c r="F10" s="5" t="s">
        <v>156</v>
      </c>
      <c r="G10" s="6">
        <f xml:space="preserve"> 56414.602*SQRT(H6)</f>
        <v>162724592156714.66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-1.7192000333988153</v>
      </c>
      <c r="Q10" s="13">
        <f t="shared" si="1"/>
        <v>250.00000000000009</v>
      </c>
    </row>
    <row r="11" spans="1:17" x14ac:dyDescent="0.25">
      <c r="B11" t="s">
        <v>5</v>
      </c>
      <c r="C11" s="84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-1.6700800324445635</v>
      </c>
      <c r="Q11" s="13">
        <f t="shared" si="1"/>
        <v>300.00000000000006</v>
      </c>
    </row>
    <row r="12" spans="1:17" x14ac:dyDescent="0.25">
      <c r="B12" t="s">
        <v>6</v>
      </c>
      <c r="C12" s="84">
        <v>5</v>
      </c>
      <c r="F12" s="5" t="s">
        <v>160</v>
      </c>
      <c r="G12" s="7">
        <f>SQRT(H6/G8)</f>
        <v>6.9110403889211358E-2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-1.6209600314903116</v>
      </c>
      <c r="Q12" s="13">
        <f t="shared" si="1"/>
        <v>350.00000000000006</v>
      </c>
    </row>
    <row r="13" spans="1:17" x14ac:dyDescent="0.25">
      <c r="B13" t="s">
        <v>7</v>
      </c>
      <c r="C13" s="84">
        <v>2</v>
      </c>
      <c r="F13" s="5" t="s">
        <v>161</v>
      </c>
      <c r="G13" s="6">
        <f>0.0001*G7*SQRT(G8/H6)</f>
        <v>1.1575681156233064E-3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-1.5718400305360598</v>
      </c>
      <c r="Q13" s="13">
        <f t="shared" si="1"/>
        <v>400</v>
      </c>
    </row>
    <row r="14" spans="1:17" x14ac:dyDescent="0.25">
      <c r="B14" t="s">
        <v>8</v>
      </c>
      <c r="C14" s="21">
        <f>G24</f>
        <v>3.2547405508774361</v>
      </c>
      <c r="D14" t="s">
        <v>139</v>
      </c>
      <c r="E14" s="14">
        <f>0.5*G14</f>
        <v>5.7878405781165316</v>
      </c>
      <c r="F14" s="5" t="s">
        <v>181</v>
      </c>
      <c r="G14" s="6">
        <f>10000*G13</f>
        <v>11.575681156233063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-1.522720029581808</v>
      </c>
      <c r="Q14" s="13">
        <f t="shared" si="1"/>
        <v>450</v>
      </c>
    </row>
    <row r="15" spans="1:17" x14ac:dyDescent="0.25">
      <c r="B15" t="s">
        <v>9</v>
      </c>
      <c r="C15" s="84">
        <v>7</v>
      </c>
      <c r="D15" t="s">
        <v>138</v>
      </c>
      <c r="E15" s="14">
        <f>E14/16.7</f>
        <v>0.34657728012673844</v>
      </c>
      <c r="F15" s="5" t="s">
        <v>190</v>
      </c>
      <c r="G15" s="6">
        <f>2*PI()*1000000000000000/G10</f>
        <v>38.612389337737341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-1.4736000286275561</v>
      </c>
      <c r="Q15" s="13">
        <f t="shared" si="1"/>
        <v>499.99999999999994</v>
      </c>
    </row>
    <row r="16" spans="1:17" x14ac:dyDescent="0.25">
      <c r="B16" t="s">
        <v>10</v>
      </c>
      <c r="C16" s="84">
        <v>15</v>
      </c>
      <c r="D16" t="s">
        <v>255</v>
      </c>
      <c r="E16" s="14">
        <f>0.0001*G16</f>
        <v>0.54279184286242455</v>
      </c>
      <c r="F16" s="5" t="s">
        <v>163</v>
      </c>
      <c r="G16" s="6">
        <f>2*PI()/G13</f>
        <v>5427.9184286242453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-1.4244800276733041</v>
      </c>
      <c r="Q16" s="13">
        <f t="shared" si="1"/>
        <v>550.00000000000011</v>
      </c>
    </row>
    <row r="17" spans="2:17" x14ac:dyDescent="0.25">
      <c r="B17" t="s">
        <v>11</v>
      </c>
      <c r="C17" s="22">
        <f>G20</f>
        <v>8.738948670085037</v>
      </c>
      <c r="D17" t="s">
        <v>140</v>
      </c>
      <c r="E17">
        <f>1/G17</f>
        <v>6.2111801242236017E-2</v>
      </c>
      <c r="F17" s="5" t="s">
        <v>165</v>
      </c>
      <c r="G17" s="3">
        <v>16.100000000000001</v>
      </c>
      <c r="H17" s="3" t="s">
        <v>166</v>
      </c>
      <c r="I17" s="1">
        <f>100*I16*G16</f>
        <v>-134.26499025044933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-1.3753600267190524</v>
      </c>
      <c r="Q17" s="13">
        <f t="shared" si="1"/>
        <v>599.99999999999989</v>
      </c>
    </row>
    <row r="18" spans="2:17" x14ac:dyDescent="0.25">
      <c r="B18" t="s">
        <v>110</v>
      </c>
      <c r="C18" s="84">
        <v>7</v>
      </c>
      <c r="D18" t="s">
        <v>141</v>
      </c>
      <c r="E18" s="14">
        <f>10000*G18</f>
        <v>1017.9152896712628</v>
      </c>
      <c r="F18" s="5" t="s">
        <v>195</v>
      </c>
      <c r="G18" s="3">
        <f>0.0001*PI()*G17*G17/G7</f>
        <v>0.10179152896712629</v>
      </c>
      <c r="H18" s="3" t="s">
        <v>162</v>
      </c>
      <c r="I18">
        <f>0.5*100/G18</f>
        <v>491.20000954251867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-1.3262400257648004</v>
      </c>
      <c r="Q18" s="13">
        <f t="shared" si="1"/>
        <v>650</v>
      </c>
    </row>
    <row r="19" spans="2:17" x14ac:dyDescent="0.25">
      <c r="B19" t="s">
        <v>12</v>
      </c>
      <c r="C19" s="23">
        <f>1.15/2</f>
        <v>0.57499999999999996</v>
      </c>
      <c r="D19" t="s">
        <v>142</v>
      </c>
      <c r="E19">
        <f>SQRT(C19*0.7)</f>
        <v>0.63442887702247597</v>
      </c>
      <c r="F19" s="5" t="s">
        <v>196</v>
      </c>
      <c r="G19" s="6">
        <f>G18*G16</f>
        <v>552.51611595850352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-1.2771200248105485</v>
      </c>
      <c r="Q19" s="13">
        <f t="shared" si="1"/>
        <v>700.00000000000011</v>
      </c>
    </row>
    <row r="20" spans="2:17" x14ac:dyDescent="0.25">
      <c r="B20" t="s">
        <v>254</v>
      </c>
      <c r="C20" s="84">
        <v>2</v>
      </c>
      <c r="D20" t="s">
        <v>143</v>
      </c>
      <c r="E20">
        <v>7.1294579999999996</v>
      </c>
      <c r="F20" s="5" t="s">
        <v>11</v>
      </c>
      <c r="G20" s="7">
        <f>0.0001*G17*G16</f>
        <v>8.738948670085037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-1.2280000238562967</v>
      </c>
      <c r="Q20" s="13">
        <f t="shared" si="1"/>
        <v>750</v>
      </c>
    </row>
    <row r="21" spans="2:17" x14ac:dyDescent="0.25">
      <c r="B21" t="s">
        <v>13</v>
      </c>
      <c r="C21" s="22">
        <f>-0.2/G$18</f>
        <v>-1.9648000381700748</v>
      </c>
      <c r="D21" t="s">
        <v>144</v>
      </c>
      <c r="E21" s="20">
        <f>10000*E20/G16</f>
        <v>13.134792082361903</v>
      </c>
      <c r="F21" s="5" t="s">
        <v>168</v>
      </c>
      <c r="G21" s="3">
        <v>23.55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-1.1788800229020449</v>
      </c>
      <c r="Q21" s="13">
        <f t="shared" si="1"/>
        <v>800</v>
      </c>
    </row>
    <row r="22" spans="2:17" x14ac:dyDescent="0.25">
      <c r="B22" t="s">
        <v>14</v>
      </c>
      <c r="C22" s="84">
        <v>5000000</v>
      </c>
      <c r="D22" t="s">
        <v>128</v>
      </c>
      <c r="F22" s="5" t="s">
        <v>170</v>
      </c>
      <c r="G22" s="9">
        <f>G21/SQRT(2*LN(2))</f>
        <v>20.001528396782849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-1.129760021947793</v>
      </c>
      <c r="Q22" s="13">
        <f t="shared" si="1"/>
        <v>849.99999999999989</v>
      </c>
    </row>
    <row r="23" spans="2:17" x14ac:dyDescent="0.25">
      <c r="B23" t="s">
        <v>15</v>
      </c>
      <c r="C23" s="22">
        <f>0.125/G$18</f>
        <v>1.2280000238562967</v>
      </c>
      <c r="D23" t="s">
        <v>145</v>
      </c>
      <c r="F23" s="5" t="s">
        <v>173</v>
      </c>
      <c r="G23" s="10">
        <f>I$1*0.000000000000001*1000000*G21</f>
        <v>7.060112385900001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-1.0806400209935412</v>
      </c>
      <c r="Q23" s="13">
        <f t="shared" si="1"/>
        <v>900</v>
      </c>
    </row>
    <row r="24" spans="2:17" x14ac:dyDescent="0.25">
      <c r="B24" t="s">
        <v>16</v>
      </c>
      <c r="C24" s="84">
        <f>(C23-C21)/65</f>
        <v>4.9120000954251869E-2</v>
      </c>
      <c r="D24" t="s">
        <v>146</v>
      </c>
      <c r="F24" s="5" t="s">
        <v>8</v>
      </c>
      <c r="G24" s="11">
        <f>0.000000000000001*G22*G10</f>
        <v>3.2547405508774361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-1.0315200200392893</v>
      </c>
      <c r="Q24" s="13">
        <f t="shared" si="1"/>
        <v>949.99999999999989</v>
      </c>
    </row>
    <row r="25" spans="2:17" x14ac:dyDescent="0.25">
      <c r="B25" t="s">
        <v>17</v>
      </c>
      <c r="C25" s="84">
        <v>300</v>
      </c>
      <c r="D25">
        <f>3.21/2.92</f>
        <v>1.0993150684931507</v>
      </c>
      <c r="E25">
        <f>G25*375/600</f>
        <v>15.784212844298397</v>
      </c>
      <c r="F25" s="5" t="s">
        <v>175</v>
      </c>
      <c r="G25" s="11">
        <f>C14+C15+C16</f>
        <v>25.254740550877436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-0.98240001908503738</v>
      </c>
      <c r="Q25" s="13">
        <f t="shared" si="1"/>
        <v>1000</v>
      </c>
    </row>
    <row r="26" spans="2:17" x14ac:dyDescent="0.25">
      <c r="B26" t="s">
        <v>18</v>
      </c>
      <c r="C26" s="84">
        <v>6</v>
      </c>
      <c r="D26">
        <f>2*C19</f>
        <v>1.1499999999999999</v>
      </c>
      <c r="E26" s="12"/>
      <c r="F26" s="5" t="s">
        <v>178</v>
      </c>
      <c r="G26" s="11">
        <f>G20*C18</f>
        <v>61.172640690595259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-0.93328001813078543</v>
      </c>
      <c r="Q26" s="13">
        <f t="shared" si="1"/>
        <v>1050</v>
      </c>
    </row>
    <row r="27" spans="2:17" x14ac:dyDescent="0.25">
      <c r="B27" t="s">
        <v>19</v>
      </c>
      <c r="C27" s="84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46.527487254959496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-0.88416001717653359</v>
      </c>
      <c r="Q27" s="13">
        <f t="shared" si="1"/>
        <v>1100</v>
      </c>
    </row>
    <row r="28" spans="2:17" x14ac:dyDescent="0.25">
      <c r="B28" t="s">
        <v>20</v>
      </c>
      <c r="C28" s="84">
        <v>20</v>
      </c>
      <c r="D28">
        <f>2.142311</f>
        <v>2.1423109999999999</v>
      </c>
      <c r="F28" s="5" t="s">
        <v>179</v>
      </c>
      <c r="G28" s="6">
        <f>G26*10000/G16</f>
        <v>112.70000000000003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-0.83504001622228174</v>
      </c>
      <c r="Q28" s="13">
        <f t="shared" si="1"/>
        <v>1150</v>
      </c>
    </row>
    <row r="29" spans="2:17" x14ac:dyDescent="0.25">
      <c r="B29" t="s">
        <v>21</v>
      </c>
      <c r="C29" s="84">
        <v>100</v>
      </c>
      <c r="D29">
        <f>D27/D28</f>
        <v>1.0559008472626059</v>
      </c>
      <c r="E29">
        <f>C14/G29</f>
        <v>64.438210012899049</v>
      </c>
      <c r="F29" s="5" t="s">
        <v>177</v>
      </c>
      <c r="G29" s="3">
        <f>G25/C7</f>
        <v>5.050948110175487E-2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-0.7859200152680299</v>
      </c>
      <c r="Q29" s="13">
        <f t="shared" si="1"/>
        <v>1200</v>
      </c>
    </row>
    <row r="30" spans="2:17" x14ac:dyDescent="0.25">
      <c r="B30" t="s">
        <v>22</v>
      </c>
      <c r="C30" s="22">
        <f>G12</f>
        <v>6.9110403889211358E-2</v>
      </c>
      <c r="D30" t="s">
        <v>147</v>
      </c>
      <c r="F30" s="5" t="s">
        <v>180</v>
      </c>
      <c r="G30" s="6">
        <f>10000*G29/G16</f>
        <v>9.3054974509918995E-2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-0.73680001431377806</v>
      </c>
      <c r="Q30" s="13">
        <f t="shared" si="1"/>
        <v>1250</v>
      </c>
    </row>
    <row r="31" spans="2:17" x14ac:dyDescent="0.25">
      <c r="B31" t="s">
        <v>23</v>
      </c>
      <c r="C31" s="84">
        <v>2</v>
      </c>
      <c r="D31">
        <f>D29^2</f>
        <v>1.1149265992498891</v>
      </c>
      <c r="E31" s="8">
        <f>C17/G31</f>
        <v>57.142857142857146</v>
      </c>
      <c r="F31" s="5" t="s">
        <v>182</v>
      </c>
      <c r="G31" s="3">
        <f>G26/C8</f>
        <v>0.15293160172648815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-0.68768001335952622</v>
      </c>
      <c r="Q31" s="13">
        <f t="shared" si="1"/>
        <v>1300</v>
      </c>
    </row>
    <row r="32" spans="2:17" x14ac:dyDescent="0.25">
      <c r="B32" t="s">
        <v>24</v>
      </c>
      <c r="C32" s="84">
        <v>0.4</v>
      </c>
      <c r="D32">
        <f>D31*0.6</f>
        <v>0.66895595954993348</v>
      </c>
      <c r="F32" s="5" t="s">
        <v>183</v>
      </c>
      <c r="G32" s="6">
        <f>G31*10000/G16</f>
        <v>0.28175000000000011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-0.63856001240527438</v>
      </c>
      <c r="Q32" s="13">
        <f t="shared" si="1"/>
        <v>1349.9999999999998</v>
      </c>
    </row>
    <row r="33" spans="2:17" x14ac:dyDescent="0.25">
      <c r="B33" t="s">
        <v>25</v>
      </c>
      <c r="C33" s="84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-0.58944001145102232</v>
      </c>
      <c r="Q33" s="13">
        <f t="shared" si="1"/>
        <v>1400.0000000000002</v>
      </c>
    </row>
    <row r="34" spans="2:17" x14ac:dyDescent="0.25">
      <c r="B34" t="s">
        <v>26</v>
      </c>
      <c r="C34" s="84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-0.54032001049677048</v>
      </c>
      <c r="Q34" s="13">
        <f t="shared" si="1"/>
        <v>1450.0000000000002</v>
      </c>
    </row>
    <row r="35" spans="2:17" x14ac:dyDescent="0.25">
      <c r="B35" t="s">
        <v>27</v>
      </c>
      <c r="C35" s="84">
        <v>4</v>
      </c>
      <c r="D35" t="s">
        <v>129</v>
      </c>
      <c r="F35" s="5" t="s">
        <v>187</v>
      </c>
      <c r="G35" s="13">
        <f>G22*G17*G17*0.000000000000000001*G33/(225.38*225.38)</f>
        <v>0.49085930089452062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-0.49120000954251863</v>
      </c>
      <c r="Q35" s="13">
        <f t="shared" si="1"/>
        <v>1500</v>
      </c>
    </row>
    <row r="36" spans="2:17" x14ac:dyDescent="0.25">
      <c r="B36" t="s">
        <v>28</v>
      </c>
      <c r="C36" s="84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-0.44208000858826679</v>
      </c>
      <c r="Q36" s="13">
        <f t="shared" si="1"/>
        <v>1550</v>
      </c>
    </row>
    <row r="37" spans="2:17" x14ac:dyDescent="0.25">
      <c r="B37" t="s">
        <v>29</v>
      </c>
      <c r="C37" s="84">
        <v>10</v>
      </c>
      <c r="F37" s="5" t="s">
        <v>192</v>
      </c>
      <c r="G37" s="6">
        <f>0.000000000000001*G36*G10</f>
        <v>16.272459215671468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-0.39296000763401495</v>
      </c>
      <c r="Q37" s="13">
        <f t="shared" si="1"/>
        <v>1600</v>
      </c>
    </row>
    <row r="38" spans="2:17" x14ac:dyDescent="0.25">
      <c r="B38" t="s">
        <v>30</v>
      </c>
      <c r="C38" s="84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-0.34384000667976311</v>
      </c>
      <c r="Q38" s="13">
        <f t="shared" si="1"/>
        <v>1650</v>
      </c>
    </row>
    <row r="39" spans="2:17" x14ac:dyDescent="0.25">
      <c r="B39" t="s">
        <v>31</v>
      </c>
      <c r="C39" s="84">
        <v>0.125</v>
      </c>
      <c r="F39" s="5" t="s">
        <v>194</v>
      </c>
      <c r="G39" s="6">
        <f>0.0001*G38*G16</f>
        <v>5.4279184286242455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-0.29472000572551127</v>
      </c>
      <c r="Q39" s="13">
        <f t="shared" si="1"/>
        <v>1699.9999999999998</v>
      </c>
    </row>
    <row r="40" spans="2:17" x14ac:dyDescent="0.25">
      <c r="B40" t="s">
        <v>32</v>
      </c>
      <c r="C40" s="84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-0.24560000477125943</v>
      </c>
      <c r="Q40" s="13">
        <f t="shared" si="1"/>
        <v>1750</v>
      </c>
    </row>
    <row r="41" spans="2:17" x14ac:dyDescent="0.25">
      <c r="B41" t="s">
        <v>33</v>
      </c>
      <c r="C41" s="84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-0.19648000381700759</v>
      </c>
      <c r="Q41" s="13">
        <f t="shared" si="1"/>
        <v>1800</v>
      </c>
    </row>
    <row r="42" spans="2:17" x14ac:dyDescent="0.25">
      <c r="B42" t="s">
        <v>34</v>
      </c>
      <c r="C42" s="84">
        <v>1000</v>
      </c>
      <c r="F42" s="5" t="s">
        <v>201</v>
      </c>
      <c r="G42" s="6">
        <f>2*G41*G41*(0.5*PI()+C15-C89)/G19</f>
        <v>-6.2387008880281236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-0.14736000286275552</v>
      </c>
      <c r="Q42" s="13">
        <f t="shared" si="1"/>
        <v>1850</v>
      </c>
    </row>
    <row r="43" spans="2:17" x14ac:dyDescent="0.25">
      <c r="B43" t="s">
        <v>35</v>
      </c>
      <c r="C43" s="84">
        <v>1</v>
      </c>
      <c r="F43" s="5" t="s">
        <v>203</v>
      </c>
      <c r="G43" s="6">
        <f>0.5*G41*G41*G13</f>
        <v>8.7278988963643361E-2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-9.8240001908503682E-2</v>
      </c>
      <c r="Q43" s="13">
        <f t="shared" si="1"/>
        <v>1900</v>
      </c>
    </row>
    <row r="44" spans="2:17" x14ac:dyDescent="0.25">
      <c r="B44" t="s">
        <v>36</v>
      </c>
      <c r="C44" s="84">
        <v>1</v>
      </c>
      <c r="F44" s="5" t="s">
        <v>203</v>
      </c>
      <c r="G44" s="6">
        <f>G43/G18</f>
        <v>0.85742880423606005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-4.9120000954251841E-2</v>
      </c>
      <c r="Q44" s="13">
        <f t="shared" si="1"/>
        <v>1950</v>
      </c>
    </row>
    <row r="45" spans="2:17" x14ac:dyDescent="0.25">
      <c r="B45" t="s">
        <v>213</v>
      </c>
      <c r="C45" s="84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0</v>
      </c>
      <c r="Q45" s="13">
        <f t="shared" si="1"/>
        <v>2000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0.85742880423606005</v>
      </c>
      <c r="H46" s="3"/>
      <c r="I46"/>
      <c r="J46"/>
      <c r="K46" s="3"/>
      <c r="M46"/>
      <c r="O46" s="3">
        <f t="shared" si="2"/>
        <v>41</v>
      </c>
      <c r="P46" s="13">
        <f t="shared" si="0"/>
        <v>4.9120000954251841E-2</v>
      </c>
      <c r="Q46" s="13">
        <f t="shared" si="1"/>
        <v>2050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9.8240001908503904E-2</v>
      </c>
      <c r="Q47" s="13">
        <f t="shared" si="1"/>
        <v>2100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0.14736000286275552</v>
      </c>
      <c r="Q48" s="13">
        <f t="shared" si="1"/>
        <v>2150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0.19648000381700759</v>
      </c>
      <c r="Q49" s="13">
        <f t="shared" si="1"/>
        <v>2200</v>
      </c>
    </row>
    <row r="50" spans="1:17" x14ac:dyDescent="0.25">
      <c r="B50" t="s">
        <v>37</v>
      </c>
      <c r="C50" s="84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0.24560000477125921</v>
      </c>
      <c r="Q50" s="13">
        <f t="shared" si="1"/>
        <v>2250</v>
      </c>
    </row>
    <row r="51" spans="1:17" x14ac:dyDescent="0.25">
      <c r="B51" t="s">
        <v>38</v>
      </c>
      <c r="C51" s="84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0.29472000572551127</v>
      </c>
      <c r="Q51" s="13">
        <f t="shared" si="1"/>
        <v>2300</v>
      </c>
    </row>
    <row r="52" spans="1:17" x14ac:dyDescent="0.25">
      <c r="B52" t="s">
        <v>39</v>
      </c>
      <c r="C52" s="84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0.34384000667976289</v>
      </c>
      <c r="Q52" s="13">
        <f t="shared" si="1"/>
        <v>2350</v>
      </c>
    </row>
    <row r="53" spans="1:17" x14ac:dyDescent="0.25">
      <c r="B53" t="s">
        <v>40</v>
      </c>
      <c r="C53" s="84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0.39296000763401495</v>
      </c>
      <c r="Q53" s="13">
        <f t="shared" si="1"/>
        <v>2400</v>
      </c>
    </row>
    <row r="54" spans="1:17" x14ac:dyDescent="0.25">
      <c r="B54" t="s">
        <v>41</v>
      </c>
      <c r="C54" s="84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0.44208000858826701</v>
      </c>
      <c r="Q54" s="13">
        <f t="shared" si="1"/>
        <v>2450.0000000000005</v>
      </c>
    </row>
    <row r="55" spans="1:17" x14ac:dyDescent="0.25">
      <c r="B55" t="s">
        <v>42</v>
      </c>
      <c r="C55" s="84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0.49120000954251863</v>
      </c>
      <c r="Q55" s="13">
        <f t="shared" si="1"/>
        <v>2500</v>
      </c>
    </row>
    <row r="56" spans="1:17" x14ac:dyDescent="0.25">
      <c r="A56" t="s">
        <v>43</v>
      </c>
      <c r="C56" s="84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0.5403200104967707</v>
      </c>
      <c r="Q56" s="13">
        <f t="shared" si="1"/>
        <v>2550</v>
      </c>
    </row>
    <row r="57" spans="1:17" x14ac:dyDescent="0.25">
      <c r="C57" s="84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0.58944001145102232</v>
      </c>
      <c r="Q57" s="13">
        <f t="shared" si="1"/>
        <v>2600</v>
      </c>
    </row>
    <row r="58" spans="1:17" x14ac:dyDescent="0.25">
      <c r="A58" t="s">
        <v>44</v>
      </c>
      <c r="C58" s="84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0.63856001240527438</v>
      </c>
      <c r="Q58" s="13">
        <f t="shared" si="1"/>
        <v>2650</v>
      </c>
    </row>
    <row r="59" spans="1:17" x14ac:dyDescent="0.25">
      <c r="B59" t="s">
        <v>45</v>
      </c>
      <c r="C59" s="84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0.687680013359526</v>
      </c>
      <c r="Q59" s="13">
        <f t="shared" si="1"/>
        <v>2699.9999999999995</v>
      </c>
    </row>
    <row r="60" spans="1:17" x14ac:dyDescent="0.25">
      <c r="B60" t="s">
        <v>210</v>
      </c>
      <c r="C60" s="84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0.73680001431377806</v>
      </c>
      <c r="Q60" s="13">
        <f t="shared" si="1"/>
        <v>2750</v>
      </c>
    </row>
    <row r="61" spans="1:17" x14ac:dyDescent="0.25">
      <c r="B61" t="s">
        <v>48</v>
      </c>
      <c r="C61" s="84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0.78592001526803013</v>
      </c>
      <c r="Q61" s="13">
        <f t="shared" si="1"/>
        <v>2800.0000000000005</v>
      </c>
    </row>
    <row r="62" spans="1:17" x14ac:dyDescent="0.25">
      <c r="B62" t="s">
        <v>214</v>
      </c>
      <c r="C62" s="84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0.83504001622228174</v>
      </c>
      <c r="Q62" s="13">
        <f t="shared" si="1"/>
        <v>2849.9999999999995</v>
      </c>
    </row>
    <row r="63" spans="1:17" x14ac:dyDescent="0.25">
      <c r="B63" t="s">
        <v>49</v>
      </c>
      <c r="C63" s="84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0.88416001717653381</v>
      </c>
      <c r="Q63" s="13">
        <f t="shared" si="1"/>
        <v>2900.0000000000005</v>
      </c>
    </row>
    <row r="64" spans="1:17" x14ac:dyDescent="0.25">
      <c r="B64" t="s">
        <v>50</v>
      </c>
      <c r="C64" s="84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0.93328001813078543</v>
      </c>
      <c r="Q64" s="13">
        <f t="shared" si="1"/>
        <v>2950</v>
      </c>
    </row>
    <row r="65" spans="1:17" x14ac:dyDescent="0.25">
      <c r="B65" t="s">
        <v>51</v>
      </c>
      <c r="C65" s="84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0.98240001908503749</v>
      </c>
      <c r="Q65" s="13">
        <f t="shared" si="1"/>
        <v>3000</v>
      </c>
    </row>
    <row r="66" spans="1:17" x14ac:dyDescent="0.25">
      <c r="B66" t="s">
        <v>52</v>
      </c>
      <c r="C66" s="84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1.0315200200392891</v>
      </c>
      <c r="Q66" s="13">
        <f t="shared" si="1"/>
        <v>3050</v>
      </c>
    </row>
    <row r="67" spans="1:17" x14ac:dyDescent="0.25">
      <c r="B67" t="s">
        <v>53</v>
      </c>
      <c r="C67" s="84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1.0806400209935412</v>
      </c>
      <c r="Q67" s="13">
        <f t="shared" si="1"/>
        <v>3100</v>
      </c>
    </row>
    <row r="68" spans="1:17" x14ac:dyDescent="0.25">
      <c r="B68" t="s">
        <v>54</v>
      </c>
      <c r="C68" s="84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1.1297600219477928</v>
      </c>
      <c r="Q68" s="13">
        <f t="shared" si="1"/>
        <v>3150</v>
      </c>
    </row>
    <row r="69" spans="1:17" x14ac:dyDescent="0.25">
      <c r="B69" t="s">
        <v>55</v>
      </c>
      <c r="C69" s="84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1.1788800229020449</v>
      </c>
      <c r="Q69" s="13">
        <f t="shared" si="1"/>
        <v>3200</v>
      </c>
    </row>
    <row r="70" spans="1:17" x14ac:dyDescent="0.25">
      <c r="B70" t="s">
        <v>56</v>
      </c>
      <c r="C70" s="84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1.2280000238562969</v>
      </c>
      <c r="Q70" s="13">
        <f t="shared" ref="Q70:Q133" si="4">(P70-P$5)*$G$18*10000</f>
        <v>3250</v>
      </c>
    </row>
    <row r="71" spans="1:17" x14ac:dyDescent="0.25">
      <c r="B71" t="s">
        <v>57</v>
      </c>
      <c r="C71" s="84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1.2771200248105485</v>
      </c>
      <c r="Q71" s="13">
        <f t="shared" si="4"/>
        <v>3300</v>
      </c>
    </row>
    <row r="72" spans="1:17" x14ac:dyDescent="0.25">
      <c r="B72" t="s">
        <v>58</v>
      </c>
      <c r="C72" s="84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1.3262400257648006</v>
      </c>
      <c r="Q72" s="13">
        <f t="shared" si="4"/>
        <v>3350</v>
      </c>
    </row>
    <row r="73" spans="1:17" x14ac:dyDescent="0.25">
      <c r="B73" t="s">
        <v>59</v>
      </c>
      <c r="C73" s="84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1.3753600267190522</v>
      </c>
      <c r="Q73" s="13">
        <f t="shared" si="4"/>
        <v>3399.9999999999995</v>
      </c>
    </row>
    <row r="74" spans="1:17" x14ac:dyDescent="0.25">
      <c r="A74" t="s">
        <v>43</v>
      </c>
      <c r="C74" s="84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1.4244800276733043</v>
      </c>
      <c r="Q74" s="13">
        <f t="shared" si="4"/>
        <v>3450.0000000000005</v>
      </c>
    </row>
    <row r="75" spans="1:17" x14ac:dyDescent="0.25">
      <c r="C75" s="84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1.4736000286275559</v>
      </c>
      <c r="Q75" s="13">
        <f t="shared" si="4"/>
        <v>3500</v>
      </c>
    </row>
    <row r="76" spans="1:17" x14ac:dyDescent="0.25">
      <c r="A76" t="s">
        <v>60</v>
      </c>
      <c r="C76" s="84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1.522720029581808</v>
      </c>
      <c r="Q76" s="13">
        <f t="shared" si="4"/>
        <v>3550</v>
      </c>
    </row>
    <row r="77" spans="1:17" x14ac:dyDescent="0.25">
      <c r="B77" t="s">
        <v>136</v>
      </c>
      <c r="C77" s="84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1.5718400305360596</v>
      </c>
      <c r="Q77" s="13">
        <f t="shared" si="4"/>
        <v>3600</v>
      </c>
    </row>
    <row r="78" spans="1:17" x14ac:dyDescent="0.25">
      <c r="A78" t="s">
        <v>43</v>
      </c>
      <c r="C78" s="84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1.6209600314903116</v>
      </c>
      <c r="Q78" s="13">
        <f t="shared" si="4"/>
        <v>3650</v>
      </c>
    </row>
    <row r="79" spans="1:17" x14ac:dyDescent="0.25">
      <c r="C79" s="84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1.6700800324445637</v>
      </c>
      <c r="Q79" s="13">
        <f t="shared" si="4"/>
        <v>3700</v>
      </c>
    </row>
    <row r="80" spans="1:17" x14ac:dyDescent="0.25">
      <c r="A80" t="s">
        <v>61</v>
      </c>
      <c r="C80" s="84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1.7192000333988153</v>
      </c>
      <c r="Q80" s="13">
        <f t="shared" si="4"/>
        <v>3750</v>
      </c>
    </row>
    <row r="81" spans="2:17" x14ac:dyDescent="0.25">
      <c r="C81" s="84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1.7683200343530674</v>
      </c>
      <c r="Q81" s="13">
        <f t="shared" si="4"/>
        <v>3800</v>
      </c>
    </row>
    <row r="82" spans="2:17" x14ac:dyDescent="0.25">
      <c r="B82" t="s">
        <v>62</v>
      </c>
      <c r="C82" s="84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1.817440035307319</v>
      </c>
      <c r="Q82" s="13">
        <f t="shared" si="4"/>
        <v>3850</v>
      </c>
    </row>
    <row r="83" spans="2:17" x14ac:dyDescent="0.25">
      <c r="B83" t="s">
        <v>63</v>
      </c>
      <c r="C83" s="84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1.8665600362615711</v>
      </c>
      <c r="Q83" s="13">
        <f t="shared" si="4"/>
        <v>3900</v>
      </c>
    </row>
    <row r="84" spans="2:17" x14ac:dyDescent="0.25">
      <c r="B84" t="s">
        <v>64</v>
      </c>
      <c r="C84" s="84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1.9156800372158227</v>
      </c>
      <c r="Q84" s="13">
        <f t="shared" si="4"/>
        <v>3949.9999999999995</v>
      </c>
    </row>
    <row r="85" spans="2:17" x14ac:dyDescent="0.25">
      <c r="B85" t="s">
        <v>65</v>
      </c>
      <c r="C85" s="84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1.9648000381700748</v>
      </c>
      <c r="Q85" s="13">
        <f t="shared" si="4"/>
        <v>4000</v>
      </c>
    </row>
    <row r="86" spans="2:17" x14ac:dyDescent="0.25">
      <c r="B86" t="s">
        <v>211</v>
      </c>
      <c r="C86" s="84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2.0139200391243266</v>
      </c>
      <c r="Q86" s="13">
        <f t="shared" si="4"/>
        <v>4049.9999999999995</v>
      </c>
    </row>
    <row r="87" spans="2:17" x14ac:dyDescent="0.25">
      <c r="B87" t="s">
        <v>66</v>
      </c>
      <c r="C87" s="84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2.0630400400785787</v>
      </c>
      <c r="Q87" s="13">
        <f t="shared" si="4"/>
        <v>4100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2.1121600410328307</v>
      </c>
      <c r="Q88" s="13">
        <f t="shared" si="4"/>
        <v>4150</v>
      </c>
    </row>
    <row r="89" spans="2:17" x14ac:dyDescent="0.25">
      <c r="B89" t="s">
        <v>68</v>
      </c>
      <c r="C89" s="84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2.1612800419870828</v>
      </c>
      <c r="Q89" s="13">
        <f t="shared" si="4"/>
        <v>4200</v>
      </c>
    </row>
    <row r="90" spans="2:17" x14ac:dyDescent="0.25">
      <c r="B90" t="s">
        <v>69</v>
      </c>
      <c r="C90" s="84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2.210400042941334</v>
      </c>
      <c r="Q90" s="13">
        <f t="shared" si="4"/>
        <v>4250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2.259520043895586</v>
      </c>
      <c r="Q91" s="13">
        <f t="shared" si="4"/>
        <v>4300</v>
      </c>
    </row>
    <row r="92" spans="2:17" x14ac:dyDescent="0.25">
      <c r="B92" t="s">
        <v>71</v>
      </c>
      <c r="C92" s="84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2.3086400448498381</v>
      </c>
      <c r="Q92" s="13">
        <f t="shared" si="4"/>
        <v>4350</v>
      </c>
    </row>
    <row r="93" spans="2:17" x14ac:dyDescent="0.25">
      <c r="B93" t="s">
        <v>72</v>
      </c>
      <c r="C93" s="84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2.3577600458040902</v>
      </c>
      <c r="Q93" s="13">
        <f t="shared" si="4"/>
        <v>4400</v>
      </c>
    </row>
    <row r="94" spans="2:17" x14ac:dyDescent="0.25">
      <c r="B94" t="s">
        <v>191</v>
      </c>
      <c r="C94" s="84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2.4068800467583422</v>
      </c>
      <c r="Q94" s="13">
        <f t="shared" si="4"/>
        <v>4450.0000000000009</v>
      </c>
    </row>
    <row r="95" spans="2:17" x14ac:dyDescent="0.25">
      <c r="B95" t="s">
        <v>73</v>
      </c>
      <c r="C95" s="21">
        <f>C21</f>
        <v>-1.9648000381700748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2.4560000477125934</v>
      </c>
      <c r="Q95" s="13">
        <f t="shared" si="4"/>
        <v>4500</v>
      </c>
    </row>
    <row r="96" spans="2:17" x14ac:dyDescent="0.25">
      <c r="B96" t="s">
        <v>215</v>
      </c>
      <c r="C96" s="84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2.5051200486668455</v>
      </c>
      <c r="Q96" s="13">
        <f t="shared" si="4"/>
        <v>4550</v>
      </c>
    </row>
    <row r="97" spans="2:17" x14ac:dyDescent="0.25">
      <c r="B97" t="s">
        <v>216</v>
      </c>
      <c r="C97" s="84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2.5542400496210975</v>
      </c>
      <c r="Q97" s="13">
        <f t="shared" si="4"/>
        <v>4600</v>
      </c>
    </row>
    <row r="98" spans="2:17" x14ac:dyDescent="0.25">
      <c r="B98" t="s">
        <v>74</v>
      </c>
      <c r="C98" s="84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2.6033600505753496</v>
      </c>
      <c r="Q98" s="13">
        <f t="shared" si="4"/>
        <v>4650</v>
      </c>
    </row>
    <row r="99" spans="2:17" x14ac:dyDescent="0.25">
      <c r="B99" t="s">
        <v>75</v>
      </c>
      <c r="C99" s="84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2.6524800515296008</v>
      </c>
      <c r="Q99" s="13">
        <f t="shared" si="4"/>
        <v>4700</v>
      </c>
    </row>
    <row r="100" spans="2:17" x14ac:dyDescent="0.25">
      <c r="B100" t="s">
        <v>76</v>
      </c>
      <c r="C100" s="84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2.7016000524838528</v>
      </c>
      <c r="Q100" s="13">
        <f t="shared" si="4"/>
        <v>4750</v>
      </c>
    </row>
    <row r="101" spans="2:17" x14ac:dyDescent="0.25">
      <c r="B101" t="s">
        <v>77</v>
      </c>
      <c r="C101" s="84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2.7507200534381049</v>
      </c>
      <c r="Q101" s="13">
        <f t="shared" si="4"/>
        <v>4800</v>
      </c>
    </row>
    <row r="102" spans="2:17" x14ac:dyDescent="0.25">
      <c r="B102" t="s">
        <v>78</v>
      </c>
      <c r="C102" s="84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2.7998400543923569</v>
      </c>
      <c r="Q102" s="13">
        <f t="shared" si="4"/>
        <v>4850</v>
      </c>
    </row>
    <row r="103" spans="2:17" x14ac:dyDescent="0.25">
      <c r="B103" t="s">
        <v>79</v>
      </c>
      <c r="C103" s="84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2.848960055346609</v>
      </c>
      <c r="Q103" s="13">
        <f t="shared" si="4"/>
        <v>4900.0000000000009</v>
      </c>
    </row>
    <row r="104" spans="2:17" x14ac:dyDescent="0.25">
      <c r="B104" t="s">
        <v>80</v>
      </c>
      <c r="C104" s="24">
        <f>C95</f>
        <v>-1.9648000381700748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2.8980800563008602</v>
      </c>
      <c r="Q104" s="13">
        <f t="shared" si="4"/>
        <v>4950</v>
      </c>
    </row>
    <row r="105" spans="2:17" x14ac:dyDescent="0.25">
      <c r="B105" t="s">
        <v>81</v>
      </c>
      <c r="C105" s="84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2.9472000572551122</v>
      </c>
      <c r="Q105" s="13">
        <f t="shared" si="4"/>
        <v>5000</v>
      </c>
    </row>
    <row r="106" spans="2:17" x14ac:dyDescent="0.25">
      <c r="B106" t="s">
        <v>82</v>
      </c>
      <c r="C106" s="84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2.9963200582093643</v>
      </c>
      <c r="Q106" s="13">
        <f t="shared" si="4"/>
        <v>5050</v>
      </c>
    </row>
    <row r="107" spans="2:17" x14ac:dyDescent="0.25">
      <c r="B107" t="s">
        <v>83</v>
      </c>
      <c r="C107" s="84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3.0454400591636164</v>
      </c>
      <c r="Q107" s="13">
        <f t="shared" si="4"/>
        <v>5100</v>
      </c>
    </row>
    <row r="108" spans="2:17" x14ac:dyDescent="0.25">
      <c r="B108" t="s">
        <v>84</v>
      </c>
      <c r="C108" s="84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3.0945600601178676</v>
      </c>
      <c r="Q108" s="13">
        <f t="shared" si="4"/>
        <v>5150</v>
      </c>
    </row>
    <row r="109" spans="2:17" x14ac:dyDescent="0.25">
      <c r="B109" t="s">
        <v>85</v>
      </c>
      <c r="C109" s="84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3.1436800610721196</v>
      </c>
      <c r="Q109" s="13">
        <f t="shared" si="4"/>
        <v>5200</v>
      </c>
    </row>
    <row r="110" spans="2:17" x14ac:dyDescent="0.25">
      <c r="B110" t="s">
        <v>86</v>
      </c>
      <c r="C110" s="84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3.1928000620263717</v>
      </c>
      <c r="Q110" s="13">
        <f t="shared" si="4"/>
        <v>5250</v>
      </c>
    </row>
    <row r="111" spans="2:17" x14ac:dyDescent="0.25">
      <c r="B111" t="s">
        <v>87</v>
      </c>
      <c r="C111" s="84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3.2419200629806237</v>
      </c>
      <c r="Q111" s="13">
        <f t="shared" si="4"/>
        <v>5300</v>
      </c>
    </row>
    <row r="112" spans="2:17" x14ac:dyDescent="0.25">
      <c r="B112" t="s">
        <v>43</v>
      </c>
      <c r="C112" s="84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3.2910400639348758</v>
      </c>
      <c r="Q112" s="13">
        <f t="shared" si="4"/>
        <v>5350</v>
      </c>
    </row>
    <row r="113" spans="3:17" x14ac:dyDescent="0.25">
      <c r="C113" s="84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3.340160064889127</v>
      </c>
      <c r="Q113" s="13">
        <f t="shared" si="4"/>
        <v>5399.9999999999991</v>
      </c>
    </row>
    <row r="114" spans="3:17" x14ac:dyDescent="0.25">
      <c r="C114" s="84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3.389280065843379</v>
      </c>
      <c r="Q114" s="13">
        <f t="shared" si="4"/>
        <v>5450</v>
      </c>
    </row>
    <row r="115" spans="3:17" x14ac:dyDescent="0.25">
      <c r="C115" s="84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3.4384000667976311</v>
      </c>
      <c r="Q115" s="13">
        <f t="shared" si="4"/>
        <v>5500</v>
      </c>
    </row>
    <row r="116" spans="3:17" x14ac:dyDescent="0.25">
      <c r="C116" s="84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3.4875200677518832</v>
      </c>
      <c r="Q116" s="13">
        <f t="shared" si="4"/>
        <v>5550.0000000000009</v>
      </c>
    </row>
    <row r="117" spans="3:17" x14ac:dyDescent="0.25">
      <c r="C117" s="84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3.5366400687061352</v>
      </c>
      <c r="Q117" s="13">
        <f t="shared" si="4"/>
        <v>5600.0000000000009</v>
      </c>
    </row>
    <row r="118" spans="3:17" x14ac:dyDescent="0.25">
      <c r="C118" s="84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3.5857600696603864</v>
      </c>
      <c r="Q118" s="13">
        <f t="shared" si="4"/>
        <v>5649.9999999999991</v>
      </c>
    </row>
    <row r="119" spans="3:17" x14ac:dyDescent="0.25">
      <c r="C119" s="84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3.6348800706146385</v>
      </c>
      <c r="Q119" s="13">
        <f t="shared" si="4"/>
        <v>5699.9999999999991</v>
      </c>
    </row>
    <row r="120" spans="3:17" x14ac:dyDescent="0.25">
      <c r="C120" s="84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3.6840000715688905</v>
      </c>
      <c r="Q120" s="13">
        <f t="shared" si="4"/>
        <v>5750.0000000000009</v>
      </c>
    </row>
    <row r="121" spans="3:17" x14ac:dyDescent="0.25">
      <c r="C121" s="84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3.7331200725231426</v>
      </c>
      <c r="Q121" s="13">
        <f t="shared" si="4"/>
        <v>5800.0000000000009</v>
      </c>
    </row>
    <row r="122" spans="3:17" x14ac:dyDescent="0.25">
      <c r="C122" s="84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3.7822400734773938</v>
      </c>
      <c r="Q122" s="13">
        <f t="shared" si="4"/>
        <v>5850</v>
      </c>
    </row>
    <row r="123" spans="3:17" x14ac:dyDescent="0.25">
      <c r="C123" s="84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3.8313600744316458</v>
      </c>
      <c r="Q123" s="13">
        <f t="shared" si="4"/>
        <v>5900</v>
      </c>
    </row>
    <row r="124" spans="3:17" x14ac:dyDescent="0.25">
      <c r="C124" s="84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3.8804800753858979</v>
      </c>
      <c r="Q124" s="13">
        <f t="shared" si="4"/>
        <v>5950</v>
      </c>
    </row>
    <row r="125" spans="3:17" x14ac:dyDescent="0.25">
      <c r="C125" s="84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3.92960007634015</v>
      </c>
      <c r="Q125" s="13">
        <f t="shared" si="4"/>
        <v>6000</v>
      </c>
    </row>
    <row r="126" spans="3:17" x14ac:dyDescent="0.25">
      <c r="C126" s="84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3.978720077294402</v>
      </c>
      <c r="Q126" s="13">
        <f t="shared" si="4"/>
        <v>6050.0000000000009</v>
      </c>
    </row>
    <row r="127" spans="3:17" x14ac:dyDescent="0.25">
      <c r="C127" s="84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4.0278400782486532</v>
      </c>
      <c r="Q127" s="13">
        <f t="shared" si="4"/>
        <v>6100</v>
      </c>
    </row>
    <row r="128" spans="3:17" x14ac:dyDescent="0.25">
      <c r="C128" s="84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4.0769600792029053</v>
      </c>
      <c r="Q128" s="13">
        <f t="shared" si="4"/>
        <v>6150</v>
      </c>
    </row>
    <row r="129" spans="3:17" x14ac:dyDescent="0.25">
      <c r="C129" s="84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4.1260800801571573</v>
      </c>
      <c r="Q129" s="13">
        <f t="shared" si="4"/>
        <v>6200</v>
      </c>
    </row>
    <row r="130" spans="3:17" x14ac:dyDescent="0.25">
      <c r="C130" s="84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4.1752000811114094</v>
      </c>
      <c r="Q130" s="13">
        <f t="shared" si="4"/>
        <v>6250</v>
      </c>
    </row>
    <row r="131" spans="3:17" x14ac:dyDescent="0.25">
      <c r="C131" s="84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4.2243200820656606</v>
      </c>
      <c r="Q131" s="13">
        <f t="shared" si="4"/>
        <v>6300</v>
      </c>
    </row>
    <row r="132" spans="3:17" x14ac:dyDescent="0.25">
      <c r="C132" s="84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4.2734400830199126</v>
      </c>
      <c r="Q132" s="13">
        <f t="shared" si="4"/>
        <v>6350</v>
      </c>
    </row>
    <row r="133" spans="3:17" x14ac:dyDescent="0.25">
      <c r="C133" s="84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4.3225600839741647</v>
      </c>
      <c r="Q133" s="13">
        <f t="shared" si="4"/>
        <v>6400</v>
      </c>
    </row>
    <row r="134" spans="3:17" x14ac:dyDescent="0.25">
      <c r="C134" s="84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4.3716800849284168</v>
      </c>
      <c r="Q134" s="13">
        <f t="shared" ref="Q134:Q159" si="7">(P134-P$5)*$G$18*10000</f>
        <v>6450</v>
      </c>
    </row>
    <row r="135" spans="3:17" x14ac:dyDescent="0.25">
      <c r="C135" s="84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4.4208000858826688</v>
      </c>
      <c r="Q135" s="13">
        <f t="shared" si="7"/>
        <v>6500</v>
      </c>
    </row>
    <row r="136" spans="3:17" x14ac:dyDescent="0.25">
      <c r="C136" s="84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4.46992008683692</v>
      </c>
      <c r="Q136" s="13">
        <f t="shared" si="7"/>
        <v>6550</v>
      </c>
    </row>
    <row r="137" spans="3:17" x14ac:dyDescent="0.25">
      <c r="C137" s="84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4.5190400877911721</v>
      </c>
      <c r="Q137" s="13">
        <f t="shared" si="7"/>
        <v>6600</v>
      </c>
    </row>
    <row r="138" spans="3:17" x14ac:dyDescent="0.25">
      <c r="C138" s="84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4.5681600887454241</v>
      </c>
      <c r="Q138" s="13">
        <f t="shared" si="7"/>
        <v>6650</v>
      </c>
    </row>
    <row r="139" spans="3:17" x14ac:dyDescent="0.25">
      <c r="C139" s="84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4.6172800896996762</v>
      </c>
      <c r="Q139" s="13">
        <f t="shared" si="7"/>
        <v>6700</v>
      </c>
    </row>
    <row r="140" spans="3:17" x14ac:dyDescent="0.25">
      <c r="C140" s="84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4.6664000906539274</v>
      </c>
      <c r="Q140" s="13">
        <f t="shared" si="7"/>
        <v>6749.9999999999991</v>
      </c>
    </row>
    <row r="141" spans="3:17" x14ac:dyDescent="0.25">
      <c r="C141" s="84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4.7155200916081794</v>
      </c>
      <c r="Q141" s="13">
        <f t="shared" si="7"/>
        <v>6799.9999999999991</v>
      </c>
    </row>
    <row r="142" spans="3:17" x14ac:dyDescent="0.25">
      <c r="C142" s="84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4.7646400925624315</v>
      </c>
      <c r="Q142" s="13">
        <f t="shared" si="7"/>
        <v>6850.0000000000009</v>
      </c>
    </row>
    <row r="143" spans="3:17" x14ac:dyDescent="0.25">
      <c r="C143" s="84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4.8137600935166835</v>
      </c>
      <c r="Q143" s="13">
        <f t="shared" si="7"/>
        <v>6900.0000000000009</v>
      </c>
    </row>
    <row r="144" spans="3:17" x14ac:dyDescent="0.25">
      <c r="C144" s="84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4.8628800944709356</v>
      </c>
      <c r="Q144" s="13">
        <f t="shared" si="7"/>
        <v>6950.0000000000009</v>
      </c>
    </row>
    <row r="145" spans="3:17" x14ac:dyDescent="0.25">
      <c r="C145" s="84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4.9120000954251868</v>
      </c>
      <c r="Q145" s="13">
        <f t="shared" si="7"/>
        <v>7000</v>
      </c>
    </row>
    <row r="146" spans="3:17" x14ac:dyDescent="0.25">
      <c r="C146" s="84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4.9611200963794388</v>
      </c>
      <c r="Q146" s="13">
        <f t="shared" si="7"/>
        <v>7050</v>
      </c>
    </row>
    <row r="147" spans="3:17" x14ac:dyDescent="0.25">
      <c r="C147" s="84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5.0102400973336909</v>
      </c>
      <c r="Q147" s="13">
        <f t="shared" si="7"/>
        <v>7100</v>
      </c>
    </row>
    <row r="148" spans="3:17" x14ac:dyDescent="0.25">
      <c r="C148" s="84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5.059360098287943</v>
      </c>
      <c r="Q148" s="13">
        <f t="shared" si="7"/>
        <v>7150.0000000000009</v>
      </c>
    </row>
    <row r="149" spans="3:17" x14ac:dyDescent="0.25">
      <c r="C149" s="84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5.1084800992421942</v>
      </c>
      <c r="Q149" s="13">
        <f t="shared" si="7"/>
        <v>7200</v>
      </c>
    </row>
    <row r="150" spans="3:17" x14ac:dyDescent="0.25">
      <c r="C150" s="84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5.1576001001964462</v>
      </c>
      <c r="Q150" s="13">
        <f t="shared" si="7"/>
        <v>7250</v>
      </c>
    </row>
    <row r="151" spans="3:17" x14ac:dyDescent="0.25">
      <c r="C151" s="84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5.2067201011506983</v>
      </c>
      <c r="Q151" s="13">
        <f t="shared" si="7"/>
        <v>7300</v>
      </c>
    </row>
    <row r="152" spans="3:17" x14ac:dyDescent="0.25">
      <c r="C152" s="84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5.2558401021049503</v>
      </c>
      <c r="Q152" s="13">
        <f t="shared" si="7"/>
        <v>7350</v>
      </c>
    </row>
    <row r="153" spans="3:17" x14ac:dyDescent="0.25">
      <c r="C153" s="84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5.3049601030592024</v>
      </c>
      <c r="Q153" s="13">
        <f t="shared" si="7"/>
        <v>7400</v>
      </c>
    </row>
    <row r="154" spans="3:17" x14ac:dyDescent="0.25">
      <c r="C154" s="84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5.3540801040134536</v>
      </c>
      <c r="Q154" s="13">
        <f t="shared" si="7"/>
        <v>7450</v>
      </c>
    </row>
    <row r="155" spans="3:17" x14ac:dyDescent="0.25">
      <c r="C155" s="84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5.4032001049677056</v>
      </c>
      <c r="Q155" s="13">
        <f t="shared" si="7"/>
        <v>7500</v>
      </c>
    </row>
    <row r="156" spans="3:17" x14ac:dyDescent="0.25">
      <c r="C156" s="84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5.4523201059219577</v>
      </c>
      <c r="Q156" s="13">
        <f t="shared" si="7"/>
        <v>7550</v>
      </c>
    </row>
    <row r="157" spans="3:17" x14ac:dyDescent="0.25">
      <c r="C157" s="84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5.5014401068762098</v>
      </c>
      <c r="Q157" s="13">
        <f t="shared" si="7"/>
        <v>7600</v>
      </c>
    </row>
    <row r="158" spans="3:17" x14ac:dyDescent="0.25">
      <c r="C158" s="84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5.5505601078304618</v>
      </c>
      <c r="Q158" s="13">
        <f t="shared" si="7"/>
        <v>7650</v>
      </c>
    </row>
    <row r="159" spans="3:17" x14ac:dyDescent="0.25">
      <c r="C159" s="84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5.599680108784713</v>
      </c>
      <c r="Q159" s="13">
        <f t="shared" si="7"/>
        <v>7700</v>
      </c>
    </row>
    <row r="160" spans="3:17" x14ac:dyDescent="0.25">
      <c r="C160" s="84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84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84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84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84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84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84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84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84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84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84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84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84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84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84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84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84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84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84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84"/>
      <c r="F179" s="5"/>
      <c r="G179" s="3"/>
      <c r="H179" s="3"/>
      <c r="I179"/>
      <c r="J179"/>
      <c r="K179" s="3"/>
      <c r="M179"/>
    </row>
    <row r="180" spans="3:13" x14ac:dyDescent="0.25">
      <c r="C180" s="84"/>
      <c r="F180" s="5"/>
      <c r="G180" s="3"/>
      <c r="H180" s="3"/>
      <c r="I180"/>
      <c r="J180"/>
      <c r="K180" s="3"/>
      <c r="M180"/>
    </row>
    <row r="181" spans="3:13" x14ac:dyDescent="0.25">
      <c r="C181" s="84"/>
      <c r="F181" s="5"/>
      <c r="G181" s="3"/>
      <c r="H181" s="3"/>
      <c r="I181"/>
      <c r="J181"/>
      <c r="K181" s="3"/>
      <c r="M181"/>
    </row>
    <row r="182" spans="3:13" x14ac:dyDescent="0.25">
      <c r="C182" s="84"/>
      <c r="F182" s="5"/>
      <c r="G182" s="3"/>
      <c r="H182" s="3"/>
      <c r="I182"/>
      <c r="J182"/>
      <c r="K182" s="3"/>
      <c r="M182"/>
    </row>
    <row r="183" spans="3:13" x14ac:dyDescent="0.25">
      <c r="C183" s="84"/>
      <c r="F183" s="5"/>
      <c r="G183" s="3"/>
      <c r="H183" s="3"/>
      <c r="I183"/>
      <c r="J183"/>
      <c r="K183" s="3"/>
      <c r="M183"/>
    </row>
    <row r="184" spans="3:13" x14ac:dyDescent="0.25">
      <c r="C184" s="84"/>
      <c r="F184" s="5"/>
      <c r="G184" s="3"/>
      <c r="H184" s="3"/>
      <c r="I184"/>
      <c r="J184"/>
      <c r="K184" s="3"/>
      <c r="M184"/>
    </row>
    <row r="185" spans="3:13" x14ac:dyDescent="0.25">
      <c r="C185" s="84"/>
      <c r="F185" s="5"/>
      <c r="G185" s="3"/>
      <c r="H185" s="3"/>
      <c r="I185"/>
      <c r="J185"/>
      <c r="K185" s="3"/>
      <c r="M185"/>
    </row>
    <row r="186" spans="3:13" x14ac:dyDescent="0.25">
      <c r="C186" s="84"/>
      <c r="F186" s="5"/>
      <c r="G186" s="3"/>
      <c r="H186" s="3"/>
      <c r="I186"/>
      <c r="J186"/>
      <c r="K186" s="3"/>
      <c r="M186"/>
    </row>
    <row r="187" spans="3:13" x14ac:dyDescent="0.25">
      <c r="C187" s="84"/>
      <c r="F187" s="5"/>
      <c r="G187" s="3"/>
      <c r="H187" s="3"/>
      <c r="I187"/>
      <c r="J187"/>
      <c r="K187" s="3"/>
      <c r="M187"/>
    </row>
    <row r="188" spans="3:13" x14ac:dyDescent="0.25">
      <c r="C188" s="84"/>
      <c r="F188" s="5"/>
      <c r="G188" s="3"/>
      <c r="H188" s="3"/>
      <c r="I188"/>
      <c r="J188"/>
      <c r="K188" s="3"/>
      <c r="M188"/>
    </row>
    <row r="189" spans="3:13" x14ac:dyDescent="0.25">
      <c r="C189" s="84"/>
      <c r="F189" s="5"/>
      <c r="G189" s="3"/>
      <c r="H189" s="3"/>
      <c r="I189"/>
      <c r="J189"/>
      <c r="K189" s="3"/>
      <c r="M189"/>
    </row>
    <row r="190" spans="3:13" x14ac:dyDescent="0.25">
      <c r="C190" s="84"/>
      <c r="F190" s="5"/>
      <c r="G190" s="3"/>
      <c r="H190" s="3"/>
      <c r="I190"/>
      <c r="J190"/>
      <c r="K190" s="3"/>
      <c r="M190"/>
    </row>
    <row r="191" spans="3:13" x14ac:dyDescent="0.25">
      <c r="C191" s="84"/>
      <c r="F191" s="5"/>
      <c r="G191" s="3"/>
      <c r="H191" s="3"/>
      <c r="I191"/>
      <c r="J191"/>
      <c r="K191" s="3"/>
      <c r="M191"/>
    </row>
    <row r="192" spans="3:13" x14ac:dyDescent="0.25">
      <c r="C192" s="84"/>
      <c r="F192" s="5"/>
      <c r="G192" s="3"/>
      <c r="H192" s="3"/>
      <c r="I192"/>
      <c r="J192"/>
      <c r="K192" s="3"/>
      <c r="M192"/>
    </row>
    <row r="193" spans="3:13" x14ac:dyDescent="0.25">
      <c r="C193" s="84"/>
      <c r="F193" s="5"/>
      <c r="G193" s="3"/>
      <c r="H193" s="3"/>
      <c r="I193"/>
      <c r="J193"/>
      <c r="K193" s="3"/>
      <c r="M193"/>
    </row>
    <row r="194" spans="3:13" x14ac:dyDescent="0.25">
      <c r="C194" s="84"/>
      <c r="F194" s="5"/>
      <c r="G194" s="3"/>
      <c r="H194" s="3"/>
      <c r="I194"/>
      <c r="J194"/>
      <c r="K194" s="3"/>
      <c r="M194"/>
    </row>
    <row r="195" spans="3:13" x14ac:dyDescent="0.25">
      <c r="C195" s="84"/>
      <c r="F195" s="5"/>
      <c r="G195" s="3"/>
      <c r="H195" s="3"/>
      <c r="I195"/>
      <c r="J195"/>
      <c r="K195" s="3"/>
      <c r="M195"/>
    </row>
    <row r="196" spans="3:13" x14ac:dyDescent="0.25">
      <c r="C196" s="84"/>
      <c r="F196" s="5"/>
      <c r="G196" s="3"/>
      <c r="H196" s="3"/>
      <c r="I196"/>
      <c r="J196"/>
      <c r="K196" s="3"/>
      <c r="M196"/>
    </row>
    <row r="197" spans="3:13" x14ac:dyDescent="0.25">
      <c r="C197" s="84"/>
      <c r="F197" s="5"/>
      <c r="G197" s="3"/>
      <c r="H197" s="3"/>
      <c r="I197"/>
      <c r="J197"/>
      <c r="K197" s="3"/>
      <c r="M197"/>
    </row>
    <row r="198" spans="3:13" x14ac:dyDescent="0.25">
      <c r="C198" s="84"/>
      <c r="F198" s="5"/>
      <c r="G198" s="3"/>
      <c r="H198" s="3"/>
      <c r="I198"/>
      <c r="J198"/>
      <c r="K198" s="3"/>
      <c r="M198"/>
    </row>
    <row r="199" spans="3:13" x14ac:dyDescent="0.25">
      <c r="C199" s="84"/>
      <c r="F199" s="5"/>
      <c r="G199" s="3"/>
      <c r="H199" s="3"/>
      <c r="I199"/>
      <c r="J199"/>
      <c r="K199" s="3"/>
      <c r="M199"/>
    </row>
    <row r="200" spans="3:13" x14ac:dyDescent="0.25">
      <c r="C200" s="84"/>
      <c r="F200" s="5"/>
      <c r="G200" s="3"/>
      <c r="H200" s="3"/>
      <c r="I200"/>
      <c r="J200"/>
      <c r="K200" s="3"/>
      <c r="M200"/>
    </row>
    <row r="201" spans="3:13" x14ac:dyDescent="0.25">
      <c r="C201" s="84"/>
      <c r="F201" s="5"/>
      <c r="G201" s="3"/>
      <c r="H201" s="3"/>
      <c r="I201"/>
      <c r="J201"/>
      <c r="K201" s="3"/>
      <c r="M201"/>
    </row>
    <row r="202" spans="3:13" x14ac:dyDescent="0.25">
      <c r="C202" s="84"/>
      <c r="F202" s="5"/>
      <c r="G202" s="3"/>
      <c r="H202" s="3"/>
      <c r="I202"/>
      <c r="J202"/>
      <c r="K202" s="3"/>
      <c r="M202"/>
    </row>
    <row r="203" spans="3:13" x14ac:dyDescent="0.25">
      <c r="C203" s="84"/>
      <c r="F203" s="5"/>
      <c r="G203" s="3"/>
      <c r="H203" s="3"/>
      <c r="I203"/>
      <c r="J203"/>
      <c r="K203" s="3"/>
      <c r="M203"/>
    </row>
    <row r="204" spans="3:13" x14ac:dyDescent="0.25">
      <c r="C204" s="84"/>
      <c r="F204" s="5"/>
      <c r="G204" s="3"/>
      <c r="H204" s="3"/>
      <c r="I204"/>
      <c r="J204"/>
      <c r="K204" s="3"/>
      <c r="M204"/>
    </row>
    <row r="205" spans="3:13" x14ac:dyDescent="0.25">
      <c r="C205" s="84"/>
      <c r="F205" s="5"/>
      <c r="G205" s="3"/>
      <c r="H205" s="3"/>
      <c r="I205"/>
      <c r="J205"/>
      <c r="K205" s="3"/>
      <c r="M205"/>
    </row>
    <row r="206" spans="3:13" x14ac:dyDescent="0.25">
      <c r="C206" s="84"/>
      <c r="F206" s="5"/>
      <c r="G206" s="3"/>
      <c r="H206" s="3"/>
      <c r="I206"/>
      <c r="J206"/>
      <c r="K206" s="3"/>
      <c r="M206"/>
    </row>
    <row r="207" spans="3:13" x14ac:dyDescent="0.25">
      <c r="C207" s="84"/>
      <c r="F207" s="5"/>
      <c r="G207" s="3"/>
      <c r="H207" s="3"/>
      <c r="I207"/>
      <c r="J207"/>
      <c r="K207" s="3"/>
      <c r="M207"/>
    </row>
    <row r="208" spans="3:13" x14ac:dyDescent="0.25">
      <c r="C208" s="84"/>
      <c r="F208" s="5"/>
      <c r="G208" s="3"/>
      <c r="H208" s="3"/>
      <c r="I208"/>
      <c r="J208"/>
      <c r="K208" s="3"/>
      <c r="M208"/>
    </row>
    <row r="209" spans="3:13" x14ac:dyDescent="0.25">
      <c r="C209" s="84"/>
      <c r="F209" s="5"/>
      <c r="G209" s="3"/>
      <c r="H209" s="3"/>
      <c r="I209"/>
      <c r="J209"/>
      <c r="K209" s="3"/>
      <c r="M209"/>
    </row>
    <row r="210" spans="3:13" x14ac:dyDescent="0.25">
      <c r="C210" s="84"/>
      <c r="F210" s="5"/>
      <c r="G210" s="3"/>
      <c r="H210" s="3"/>
      <c r="I210"/>
      <c r="J210"/>
      <c r="K210" s="3"/>
      <c r="M210"/>
    </row>
    <row r="211" spans="3:13" x14ac:dyDescent="0.25">
      <c r="C211" s="84"/>
      <c r="F211" s="5"/>
      <c r="G211" s="3"/>
      <c r="H211" s="3"/>
      <c r="I211"/>
      <c r="J211"/>
      <c r="K211" s="3"/>
      <c r="M211"/>
    </row>
    <row r="212" spans="3:13" x14ac:dyDescent="0.25">
      <c r="C212" s="84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24.570312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42763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6.1453526276896926E-17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1.8436057883069078E-2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7" t="s">
        <v>329</v>
      </c>
      <c r="C3" s="87"/>
      <c r="D3" s="87"/>
      <c r="E3" s="8">
        <f>1.04*8</f>
        <v>8.32</v>
      </c>
      <c r="F3">
        <f>4.307*1.08/1.04</f>
        <v>4.4726538461538468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D4">
        <f>0.75*16.1/20</f>
        <v>0.60375000000000001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85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-1.9648000381700748</v>
      </c>
      <c r="Q5" s="13">
        <f>(P5-P$5)*$G$18*10000</f>
        <v>0</v>
      </c>
    </row>
    <row r="6" spans="1:17" x14ac:dyDescent="0.25">
      <c r="A6" t="s">
        <v>0</v>
      </c>
      <c r="C6" s="85"/>
      <c r="E6">
        <f>25*0.05</f>
        <v>1.25</v>
      </c>
      <c r="G6" s="5" t="s">
        <v>153</v>
      </c>
      <c r="H6" s="83">
        <v>8.32E+18</v>
      </c>
      <c r="I6" s="3" t="s">
        <v>155</v>
      </c>
      <c r="J6" s="17" t="s">
        <v>97</v>
      </c>
      <c r="K6" s="3">
        <f>C7+5</f>
        <v>555</v>
      </c>
      <c r="M6"/>
      <c r="O6" s="3">
        <f>O5+1</f>
        <v>1</v>
      </c>
      <c r="P6" s="13">
        <f t="shared" ref="P6:P69" si="0">$C$24*O6+$C$21</f>
        <v>-1.9156800372158229</v>
      </c>
      <c r="Q6" s="13">
        <f t="shared" ref="Q6:Q69" si="1">(P6-P$5)*$G$18*10000</f>
        <v>49.999999999999972</v>
      </c>
    </row>
    <row r="7" spans="1:17" x14ac:dyDescent="0.25">
      <c r="B7" t="s">
        <v>1</v>
      </c>
      <c r="C7" s="85">
        <v>550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505</v>
      </c>
      <c r="M7"/>
      <c r="O7" s="3">
        <f>O6+1</f>
        <v>2</v>
      </c>
      <c r="P7" s="13">
        <f t="shared" si="0"/>
        <v>-1.8665600362615711</v>
      </c>
      <c r="Q7" s="13">
        <f t="shared" si="1"/>
        <v>99.999999999999943</v>
      </c>
    </row>
    <row r="8" spans="1:17" x14ac:dyDescent="0.25">
      <c r="B8" t="s">
        <v>2</v>
      </c>
      <c r="C8" s="85">
        <v>500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-1.8174400353073192</v>
      </c>
      <c r="Q8" s="13">
        <f t="shared" si="1"/>
        <v>149.99999999999991</v>
      </c>
    </row>
    <row r="9" spans="1:17" x14ac:dyDescent="0.25">
      <c r="B9" t="s">
        <v>3</v>
      </c>
      <c r="C9" s="85">
        <v>150</v>
      </c>
      <c r="E9" s="14">
        <f>E10*1000000000/I1</f>
        <v>0.91565580503983057</v>
      </c>
      <c r="F9" s="5" t="s">
        <v>209</v>
      </c>
      <c r="G9" s="6">
        <f>SQRT(G8/H6)</f>
        <v>14.469601445291328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-1.7683200343530672</v>
      </c>
      <c r="Q9" s="13">
        <f t="shared" si="1"/>
        <v>200.00000000000011</v>
      </c>
    </row>
    <row r="10" spans="1:17" x14ac:dyDescent="0.25">
      <c r="B10" t="s">
        <v>4</v>
      </c>
      <c r="C10" s="85">
        <v>250</v>
      </c>
      <c r="E10" s="14">
        <f>0.149/E16</f>
        <v>0.27450670447485959</v>
      </c>
      <c r="F10" s="5" t="s">
        <v>156</v>
      </c>
      <c r="G10" s="6">
        <f xml:space="preserve"> 56414.602*SQRT(H6)</f>
        <v>162724592156714.66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-1.7192000333988153</v>
      </c>
      <c r="Q10" s="13">
        <f t="shared" si="1"/>
        <v>250.00000000000009</v>
      </c>
    </row>
    <row r="11" spans="1:17" x14ac:dyDescent="0.25">
      <c r="B11" t="s">
        <v>5</v>
      </c>
      <c r="C11" s="85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-1.6700800324445635</v>
      </c>
      <c r="Q11" s="13">
        <f t="shared" si="1"/>
        <v>300.00000000000006</v>
      </c>
    </row>
    <row r="12" spans="1:17" x14ac:dyDescent="0.25">
      <c r="B12" t="s">
        <v>6</v>
      </c>
      <c r="C12" s="85">
        <v>5</v>
      </c>
      <c r="F12" s="5" t="s">
        <v>160</v>
      </c>
      <c r="G12" s="7">
        <f>SQRT(H6/G8)</f>
        <v>6.9110403889211358E-2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-1.6209600314903116</v>
      </c>
      <c r="Q12" s="13">
        <f t="shared" si="1"/>
        <v>350.00000000000006</v>
      </c>
    </row>
    <row r="13" spans="1:17" x14ac:dyDescent="0.25">
      <c r="B13" t="s">
        <v>7</v>
      </c>
      <c r="C13" s="85">
        <v>2</v>
      </c>
      <c r="F13" s="5" t="s">
        <v>161</v>
      </c>
      <c r="G13" s="6">
        <f>0.0001*G7*SQRT(G8/H6)</f>
        <v>1.1575681156233064E-3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-1.5718400305360598</v>
      </c>
      <c r="Q13" s="13">
        <f t="shared" si="1"/>
        <v>400</v>
      </c>
    </row>
    <row r="14" spans="1:17" x14ac:dyDescent="0.25">
      <c r="B14" t="s">
        <v>8</v>
      </c>
      <c r="C14" s="21">
        <f>G24</f>
        <v>2.7641108712334912</v>
      </c>
      <c r="D14" t="s">
        <v>139</v>
      </c>
      <c r="E14" s="14">
        <f>0.5*G14</f>
        <v>5.7878405781165316</v>
      </c>
      <c r="F14" s="5" t="s">
        <v>181</v>
      </c>
      <c r="G14" s="6">
        <f>10000*G13</f>
        <v>11.575681156233063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-1.522720029581808</v>
      </c>
      <c r="Q14" s="13">
        <f t="shared" si="1"/>
        <v>450</v>
      </c>
    </row>
    <row r="15" spans="1:17" x14ac:dyDescent="0.25">
      <c r="B15" t="s">
        <v>9</v>
      </c>
      <c r="C15" s="85">
        <v>7</v>
      </c>
      <c r="D15" t="s">
        <v>138</v>
      </c>
      <c r="E15" s="14">
        <f>E14/16.7</f>
        <v>0.34657728012673844</v>
      </c>
      <c r="F15" s="5" t="s">
        <v>190</v>
      </c>
      <c r="G15" s="6">
        <f>2*PI()*1000000000000000/G10</f>
        <v>38.612389337737341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-1.4736000286275561</v>
      </c>
      <c r="Q15" s="13">
        <f t="shared" si="1"/>
        <v>499.99999999999994</v>
      </c>
    </row>
    <row r="16" spans="1:17" x14ac:dyDescent="0.25">
      <c r="B16" t="s">
        <v>10</v>
      </c>
      <c r="C16" s="85">
        <v>15</v>
      </c>
      <c r="D16" t="s">
        <v>255</v>
      </c>
      <c r="E16" s="14">
        <f>0.0001*G16</f>
        <v>0.54279184286242455</v>
      </c>
      <c r="F16" s="5" t="s">
        <v>163</v>
      </c>
      <c r="G16" s="6">
        <f>2*PI()/G13</f>
        <v>5427.9184286242453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-1.4244800276733041</v>
      </c>
      <c r="Q16" s="13">
        <f t="shared" si="1"/>
        <v>550.00000000000011</v>
      </c>
    </row>
    <row r="17" spans="2:17" x14ac:dyDescent="0.25">
      <c r="B17" t="s">
        <v>11</v>
      </c>
      <c r="C17" s="22">
        <f>G20</f>
        <v>8.738948670085037</v>
      </c>
      <c r="D17" t="s">
        <v>140</v>
      </c>
      <c r="E17">
        <f>1/G17</f>
        <v>6.2111801242236017E-2</v>
      </c>
      <c r="F17" s="5" t="s">
        <v>165</v>
      </c>
      <c r="G17" s="3">
        <v>16.100000000000001</v>
      </c>
      <c r="H17" s="3" t="s">
        <v>166</v>
      </c>
      <c r="I17" s="1">
        <f>100*I16*G16</f>
        <v>-134.26499025044933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-1.3753600267190524</v>
      </c>
      <c r="Q17" s="13">
        <f t="shared" si="1"/>
        <v>599.99999999999989</v>
      </c>
    </row>
    <row r="18" spans="2:17" x14ac:dyDescent="0.25">
      <c r="B18" t="s">
        <v>110</v>
      </c>
      <c r="C18" s="85">
        <v>7</v>
      </c>
      <c r="D18" t="s">
        <v>141</v>
      </c>
      <c r="E18" s="14">
        <f>10000*G18</f>
        <v>1017.9152896712628</v>
      </c>
      <c r="F18" s="5" t="s">
        <v>195</v>
      </c>
      <c r="G18" s="3">
        <f>0.0001*PI()*G17*G17/G7</f>
        <v>0.10179152896712629</v>
      </c>
      <c r="H18" s="3" t="s">
        <v>162</v>
      </c>
      <c r="I18">
        <f>0.5*100/G18</f>
        <v>491.20000954251867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-1.3262400257648004</v>
      </c>
      <c r="Q18" s="13">
        <f t="shared" si="1"/>
        <v>650</v>
      </c>
    </row>
    <row r="19" spans="2:17" x14ac:dyDescent="0.25">
      <c r="B19" t="s">
        <v>12</v>
      </c>
      <c r="C19" s="23">
        <f>1.15/2</f>
        <v>0.57499999999999996</v>
      </c>
      <c r="D19" t="s">
        <v>142</v>
      </c>
      <c r="E19">
        <f>SQRT(C19*0.7)</f>
        <v>0.63442887702247597</v>
      </c>
      <c r="F19" s="5" t="s">
        <v>196</v>
      </c>
      <c r="G19" s="6">
        <f>G18*G16</f>
        <v>552.51611595850352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-1.2771200248105485</v>
      </c>
      <c r="Q19" s="13">
        <f t="shared" si="1"/>
        <v>700.00000000000011</v>
      </c>
    </row>
    <row r="20" spans="2:17" x14ac:dyDescent="0.25">
      <c r="B20" t="s">
        <v>254</v>
      </c>
      <c r="C20" s="85">
        <v>2</v>
      </c>
      <c r="D20" t="s">
        <v>143</v>
      </c>
      <c r="E20">
        <v>7.1294579999999996</v>
      </c>
      <c r="F20" s="5" t="s">
        <v>11</v>
      </c>
      <c r="G20" s="7">
        <f>0.0001*G17*G16</f>
        <v>8.738948670085037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-1.2280000238562967</v>
      </c>
      <c r="Q20" s="13">
        <f t="shared" si="1"/>
        <v>750</v>
      </c>
    </row>
    <row r="21" spans="2:17" x14ac:dyDescent="0.25">
      <c r="B21" t="s">
        <v>13</v>
      </c>
      <c r="C21" s="22">
        <f>-0.2/G$18</f>
        <v>-1.9648000381700748</v>
      </c>
      <c r="D21" t="s">
        <v>144</v>
      </c>
      <c r="E21" s="20">
        <f>10000*E20/G16</f>
        <v>13.134792082361903</v>
      </c>
      <c r="F21" s="5" t="s">
        <v>168</v>
      </c>
      <c r="G21" s="3">
        <v>20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-1.1788800229020449</v>
      </c>
      <c r="Q21" s="13">
        <f t="shared" si="1"/>
        <v>800</v>
      </c>
    </row>
    <row r="22" spans="2:17" x14ac:dyDescent="0.25">
      <c r="B22" t="s">
        <v>14</v>
      </c>
      <c r="C22" s="85">
        <v>5000000</v>
      </c>
      <c r="D22" t="s">
        <v>128</v>
      </c>
      <c r="F22" s="5" t="s">
        <v>170</v>
      </c>
      <c r="G22" s="9">
        <f>G21/SQRT(2*LN(2))</f>
        <v>16.986436005760382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-1.129760021947793</v>
      </c>
      <c r="Q22" s="13">
        <f t="shared" si="1"/>
        <v>849.99999999999989</v>
      </c>
    </row>
    <row r="23" spans="2:17" x14ac:dyDescent="0.25">
      <c r="B23" t="s">
        <v>15</v>
      </c>
      <c r="C23" s="22">
        <f>0.125/G$18</f>
        <v>1.2280000238562967</v>
      </c>
      <c r="D23" t="s">
        <v>145</v>
      </c>
      <c r="F23" s="5" t="s">
        <v>173</v>
      </c>
      <c r="G23" s="10">
        <f>I$1*0.000000000000001*1000000*G21</f>
        <v>5.9958491600000006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-1.0806400209935412</v>
      </c>
      <c r="Q23" s="13">
        <f t="shared" si="1"/>
        <v>900</v>
      </c>
    </row>
    <row r="24" spans="2:17" x14ac:dyDescent="0.25">
      <c r="B24" t="s">
        <v>16</v>
      </c>
      <c r="C24" s="85">
        <f>(C23-C21)/65</f>
        <v>4.9120000954251869E-2</v>
      </c>
      <c r="D24" t="s">
        <v>146</v>
      </c>
      <c r="F24" s="5" t="s">
        <v>8</v>
      </c>
      <c r="G24" s="11">
        <f>0.000000000000001*G22*G10</f>
        <v>2.7641108712334912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-1.0315200200392893</v>
      </c>
      <c r="Q24" s="13">
        <f t="shared" si="1"/>
        <v>949.99999999999989</v>
      </c>
    </row>
    <row r="25" spans="2:17" x14ac:dyDescent="0.25">
      <c r="B25" t="s">
        <v>17</v>
      </c>
      <c r="C25" s="85">
        <v>300</v>
      </c>
      <c r="D25">
        <f>3.21/2.92</f>
        <v>1.0993150684931507</v>
      </c>
      <c r="E25">
        <f>G25*375/600</f>
        <v>15.477569294520933</v>
      </c>
      <c r="F25" s="5" t="s">
        <v>175</v>
      </c>
      <c r="G25" s="11">
        <f>C14+C15+C16</f>
        <v>24.764110871233491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-0.98240001908503738</v>
      </c>
      <c r="Q25" s="13">
        <f t="shared" si="1"/>
        <v>1000</v>
      </c>
    </row>
    <row r="26" spans="2:17" x14ac:dyDescent="0.25">
      <c r="B26" t="s">
        <v>18</v>
      </c>
      <c r="C26" s="85">
        <v>6</v>
      </c>
      <c r="D26">
        <f>2*C19</f>
        <v>1.1499999999999999</v>
      </c>
      <c r="E26" s="12"/>
      <c r="F26" s="5" t="s">
        <v>178</v>
      </c>
      <c r="G26" s="11">
        <f>G20*C18</f>
        <v>61.172640690595259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-0.93328001813078543</v>
      </c>
      <c r="Q26" s="13">
        <f t="shared" si="1"/>
        <v>1050</v>
      </c>
    </row>
    <row r="27" spans="2:17" x14ac:dyDescent="0.25">
      <c r="B27" t="s">
        <v>19</v>
      </c>
      <c r="C27" s="85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45.623587010149997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-0.88416001717653359</v>
      </c>
      <c r="Q27" s="13">
        <f t="shared" si="1"/>
        <v>1100</v>
      </c>
    </row>
    <row r="28" spans="2:17" x14ac:dyDescent="0.25">
      <c r="B28" t="s">
        <v>20</v>
      </c>
      <c r="C28" s="85">
        <v>20</v>
      </c>
      <c r="D28">
        <f>2.142311</f>
        <v>2.1423109999999999</v>
      </c>
      <c r="F28" s="5" t="s">
        <v>179</v>
      </c>
      <c r="G28" s="6">
        <f>G26*10000/G16</f>
        <v>112.70000000000003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-0.83504001622228174</v>
      </c>
      <c r="Q28" s="13">
        <f t="shared" si="1"/>
        <v>1150</v>
      </c>
    </row>
    <row r="29" spans="2:17" x14ac:dyDescent="0.25">
      <c r="B29" t="s">
        <v>21</v>
      </c>
      <c r="C29" s="85">
        <v>100</v>
      </c>
      <c r="D29">
        <f>D27/D28</f>
        <v>1.0559008472626059</v>
      </c>
      <c r="E29">
        <f>C14/G29</f>
        <v>61.389685544672112</v>
      </c>
      <c r="F29" s="5" t="s">
        <v>177</v>
      </c>
      <c r="G29" s="3">
        <f>G25/C7</f>
        <v>4.5025656129515437E-2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-0.7859200152680299</v>
      </c>
      <c r="Q29" s="13">
        <f t="shared" si="1"/>
        <v>1200</v>
      </c>
    </row>
    <row r="30" spans="2:17" x14ac:dyDescent="0.25">
      <c r="B30" t="s">
        <v>22</v>
      </c>
      <c r="C30" s="22">
        <f>G12</f>
        <v>6.9110403889211358E-2</v>
      </c>
      <c r="D30" t="s">
        <v>147</v>
      </c>
      <c r="F30" s="5" t="s">
        <v>180</v>
      </c>
      <c r="G30" s="6">
        <f>10000*G29/G16</f>
        <v>8.2951976382090911E-2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-0.73680001431377806</v>
      </c>
      <c r="Q30" s="13">
        <f t="shared" si="1"/>
        <v>1250</v>
      </c>
    </row>
    <row r="31" spans="2:17" x14ac:dyDescent="0.25">
      <c r="B31" t="s">
        <v>23</v>
      </c>
      <c r="C31" s="85">
        <v>2</v>
      </c>
      <c r="D31">
        <f>D29^2</f>
        <v>1.1149265992498891</v>
      </c>
      <c r="E31" s="8">
        <f>C17/G31</f>
        <v>71.428571428571431</v>
      </c>
      <c r="F31" s="5" t="s">
        <v>182</v>
      </c>
      <c r="G31" s="3">
        <f>G26/C8</f>
        <v>0.12234528138119052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-0.68768001335952622</v>
      </c>
      <c r="Q31" s="13">
        <f t="shared" si="1"/>
        <v>1300</v>
      </c>
    </row>
    <row r="32" spans="2:17" x14ac:dyDescent="0.25">
      <c r="B32" t="s">
        <v>24</v>
      </c>
      <c r="C32" s="85">
        <v>0.4</v>
      </c>
      <c r="D32">
        <f>D31*0.6</f>
        <v>0.66895595954993348</v>
      </c>
      <c r="F32" s="5" t="s">
        <v>183</v>
      </c>
      <c r="G32" s="6">
        <f>G31*10000/G16</f>
        <v>0.22540000000000007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-0.63856001240527438</v>
      </c>
      <c r="Q32" s="13">
        <f t="shared" si="1"/>
        <v>1349.9999999999998</v>
      </c>
    </row>
    <row r="33" spans="2:17" x14ac:dyDescent="0.25">
      <c r="B33" t="s">
        <v>25</v>
      </c>
      <c r="C33" s="85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-0.58944001145102232</v>
      </c>
      <c r="Q33" s="13">
        <f t="shared" si="1"/>
        <v>1400.0000000000002</v>
      </c>
    </row>
    <row r="34" spans="2:17" x14ac:dyDescent="0.25">
      <c r="B34" t="s">
        <v>26</v>
      </c>
      <c r="C34" s="85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-0.54032001049677048</v>
      </c>
      <c r="Q34" s="13">
        <f t="shared" si="1"/>
        <v>1450.0000000000002</v>
      </c>
    </row>
    <row r="35" spans="2:17" x14ac:dyDescent="0.25">
      <c r="B35" t="s">
        <v>27</v>
      </c>
      <c r="C35" s="85">
        <v>4</v>
      </c>
      <c r="D35" t="s">
        <v>129</v>
      </c>
      <c r="F35" s="5" t="s">
        <v>187</v>
      </c>
      <c r="G35" s="13">
        <f>G22*G17*G17*0.000000000000000001*G33/(225.38*225.38)</f>
        <v>0.41686564831806422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-0.49120000954251863</v>
      </c>
      <c r="Q35" s="13">
        <f t="shared" si="1"/>
        <v>1500</v>
      </c>
    </row>
    <row r="36" spans="2:17" x14ac:dyDescent="0.25">
      <c r="B36" t="s">
        <v>28</v>
      </c>
      <c r="C36" s="85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-0.44208000858826679</v>
      </c>
      <c r="Q36" s="13">
        <f t="shared" si="1"/>
        <v>1550</v>
      </c>
    </row>
    <row r="37" spans="2:17" x14ac:dyDescent="0.25">
      <c r="B37" t="s">
        <v>29</v>
      </c>
      <c r="C37" s="85">
        <v>10</v>
      </c>
      <c r="F37" s="5" t="s">
        <v>192</v>
      </c>
      <c r="G37" s="6">
        <f>0.000000000000001*G36*G10</f>
        <v>16.272459215671468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-0.39296000763401495</v>
      </c>
      <c r="Q37" s="13">
        <f t="shared" si="1"/>
        <v>1600</v>
      </c>
    </row>
    <row r="38" spans="2:17" x14ac:dyDescent="0.25">
      <c r="B38" t="s">
        <v>30</v>
      </c>
      <c r="C38" s="85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-0.34384000667976311</v>
      </c>
      <c r="Q38" s="13">
        <f t="shared" si="1"/>
        <v>1650</v>
      </c>
    </row>
    <row r="39" spans="2:17" x14ac:dyDescent="0.25">
      <c r="B39" t="s">
        <v>31</v>
      </c>
      <c r="C39" s="85">
        <v>0.125</v>
      </c>
      <c r="F39" s="5" t="s">
        <v>194</v>
      </c>
      <c r="G39" s="6">
        <f>0.0001*G38*G16</f>
        <v>5.4279184286242455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-0.29472000572551127</v>
      </c>
      <c r="Q39" s="13">
        <f t="shared" si="1"/>
        <v>1699.9999999999998</v>
      </c>
    </row>
    <row r="40" spans="2:17" x14ac:dyDescent="0.25">
      <c r="B40" t="s">
        <v>32</v>
      </c>
      <c r="C40" s="85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-0.24560000477125943</v>
      </c>
      <c r="Q40" s="13">
        <f t="shared" si="1"/>
        <v>1750</v>
      </c>
    </row>
    <row r="41" spans="2:17" x14ac:dyDescent="0.25">
      <c r="B41" t="s">
        <v>33</v>
      </c>
      <c r="C41" s="85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-0.19648000381700759</v>
      </c>
      <c r="Q41" s="13">
        <f t="shared" si="1"/>
        <v>1800</v>
      </c>
    </row>
    <row r="42" spans="2:17" x14ac:dyDescent="0.25">
      <c r="B42" t="s">
        <v>34</v>
      </c>
      <c r="C42" s="85">
        <v>1000</v>
      </c>
      <c r="F42" s="5" t="s">
        <v>201</v>
      </c>
      <c r="G42" s="6">
        <f>2*G41*G41*(0.5*PI()+C15-C89)/G19</f>
        <v>-6.2387008880281236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-0.14736000286275552</v>
      </c>
      <c r="Q42" s="13">
        <f t="shared" si="1"/>
        <v>1850</v>
      </c>
    </row>
    <row r="43" spans="2:17" x14ac:dyDescent="0.25">
      <c r="B43" t="s">
        <v>35</v>
      </c>
      <c r="C43" s="85">
        <v>1</v>
      </c>
      <c r="F43" s="5" t="s">
        <v>203</v>
      </c>
      <c r="G43" s="6">
        <f>0.5*G41*G41*G13</f>
        <v>8.7278988963643361E-2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-9.8240001908503682E-2</v>
      </c>
      <c r="Q43" s="13">
        <f t="shared" si="1"/>
        <v>1900</v>
      </c>
    </row>
    <row r="44" spans="2:17" x14ac:dyDescent="0.25">
      <c r="B44" t="s">
        <v>36</v>
      </c>
      <c r="C44" s="85">
        <v>1</v>
      </c>
      <c r="F44" s="5" t="s">
        <v>203</v>
      </c>
      <c r="G44" s="6">
        <f>G43/G18</f>
        <v>0.85742880423606005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-4.9120000954251841E-2</v>
      </c>
      <c r="Q44" s="13">
        <f t="shared" si="1"/>
        <v>1950</v>
      </c>
    </row>
    <row r="45" spans="2:17" x14ac:dyDescent="0.25">
      <c r="B45" t="s">
        <v>213</v>
      </c>
      <c r="C45" s="85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0</v>
      </c>
      <c r="Q45" s="13">
        <f t="shared" si="1"/>
        <v>2000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0.85742880423606005</v>
      </c>
      <c r="H46" s="3"/>
      <c r="I46"/>
      <c r="J46"/>
      <c r="K46" s="3"/>
      <c r="M46"/>
      <c r="O46" s="3">
        <f t="shared" si="2"/>
        <v>41</v>
      </c>
      <c r="P46" s="13">
        <f t="shared" si="0"/>
        <v>4.9120000954251841E-2</v>
      </c>
      <c r="Q46" s="13">
        <f t="shared" si="1"/>
        <v>2050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9.8240001908503904E-2</v>
      </c>
      <c r="Q47" s="13">
        <f t="shared" si="1"/>
        <v>2100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0.14736000286275552</v>
      </c>
      <c r="Q48" s="13">
        <f t="shared" si="1"/>
        <v>2150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0.19648000381700759</v>
      </c>
      <c r="Q49" s="13">
        <f t="shared" si="1"/>
        <v>2200</v>
      </c>
    </row>
    <row r="50" spans="1:17" x14ac:dyDescent="0.25">
      <c r="B50" t="s">
        <v>37</v>
      </c>
      <c r="C50" s="85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0.24560000477125921</v>
      </c>
      <c r="Q50" s="13">
        <f t="shared" si="1"/>
        <v>2250</v>
      </c>
    </row>
    <row r="51" spans="1:17" x14ac:dyDescent="0.25">
      <c r="B51" t="s">
        <v>38</v>
      </c>
      <c r="C51" s="85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0.29472000572551127</v>
      </c>
      <c r="Q51" s="13">
        <f t="shared" si="1"/>
        <v>2300</v>
      </c>
    </row>
    <row r="52" spans="1:17" x14ac:dyDescent="0.25">
      <c r="B52" t="s">
        <v>39</v>
      </c>
      <c r="C52" s="85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0.34384000667976289</v>
      </c>
      <c r="Q52" s="13">
        <f t="shared" si="1"/>
        <v>2350</v>
      </c>
    </row>
    <row r="53" spans="1:17" x14ac:dyDescent="0.25">
      <c r="B53" t="s">
        <v>40</v>
      </c>
      <c r="C53" s="85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0.39296000763401495</v>
      </c>
      <c r="Q53" s="13">
        <f t="shared" si="1"/>
        <v>2400</v>
      </c>
    </row>
    <row r="54" spans="1:17" x14ac:dyDescent="0.25">
      <c r="B54" t="s">
        <v>41</v>
      </c>
      <c r="C54" s="85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0.44208000858826701</v>
      </c>
      <c r="Q54" s="13">
        <f t="shared" si="1"/>
        <v>2450.0000000000005</v>
      </c>
    </row>
    <row r="55" spans="1:17" x14ac:dyDescent="0.25">
      <c r="B55" t="s">
        <v>42</v>
      </c>
      <c r="C55" s="85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0.49120000954251863</v>
      </c>
      <c r="Q55" s="13">
        <f t="shared" si="1"/>
        <v>2500</v>
      </c>
    </row>
    <row r="56" spans="1:17" x14ac:dyDescent="0.25">
      <c r="A56" t="s">
        <v>43</v>
      </c>
      <c r="C56" s="85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0.5403200104967707</v>
      </c>
      <c r="Q56" s="13">
        <f t="shared" si="1"/>
        <v>2550</v>
      </c>
    </row>
    <row r="57" spans="1:17" x14ac:dyDescent="0.25">
      <c r="C57" s="85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0.58944001145102232</v>
      </c>
      <c r="Q57" s="13">
        <f t="shared" si="1"/>
        <v>2600</v>
      </c>
    </row>
    <row r="58" spans="1:17" x14ac:dyDescent="0.25">
      <c r="A58" t="s">
        <v>44</v>
      </c>
      <c r="C58" s="85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0.63856001240527438</v>
      </c>
      <c r="Q58" s="13">
        <f t="shared" si="1"/>
        <v>2650</v>
      </c>
    </row>
    <row r="59" spans="1:17" x14ac:dyDescent="0.25">
      <c r="B59" t="s">
        <v>45</v>
      </c>
      <c r="C59" s="85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0.687680013359526</v>
      </c>
      <c r="Q59" s="13">
        <f t="shared" si="1"/>
        <v>2699.9999999999995</v>
      </c>
    </row>
    <row r="60" spans="1:17" x14ac:dyDescent="0.25">
      <c r="B60" t="s">
        <v>210</v>
      </c>
      <c r="C60" s="85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0.73680001431377806</v>
      </c>
      <c r="Q60" s="13">
        <f t="shared" si="1"/>
        <v>2750</v>
      </c>
    </row>
    <row r="61" spans="1:17" x14ac:dyDescent="0.25">
      <c r="B61" t="s">
        <v>48</v>
      </c>
      <c r="C61" s="85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0.78592001526803013</v>
      </c>
      <c r="Q61" s="13">
        <f t="shared" si="1"/>
        <v>2800.0000000000005</v>
      </c>
    </row>
    <row r="62" spans="1:17" x14ac:dyDescent="0.25">
      <c r="B62" t="s">
        <v>214</v>
      </c>
      <c r="C62" s="85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0.83504001622228174</v>
      </c>
      <c r="Q62" s="13">
        <f t="shared" si="1"/>
        <v>2849.9999999999995</v>
      </c>
    </row>
    <row r="63" spans="1:17" x14ac:dyDescent="0.25">
      <c r="B63" t="s">
        <v>49</v>
      </c>
      <c r="C63" s="85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0.88416001717653381</v>
      </c>
      <c r="Q63" s="13">
        <f t="shared" si="1"/>
        <v>2900.0000000000005</v>
      </c>
    </row>
    <row r="64" spans="1:17" x14ac:dyDescent="0.25">
      <c r="B64" t="s">
        <v>50</v>
      </c>
      <c r="C64" s="85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0.93328001813078543</v>
      </c>
      <c r="Q64" s="13">
        <f t="shared" si="1"/>
        <v>2950</v>
      </c>
    </row>
    <row r="65" spans="1:17" x14ac:dyDescent="0.25">
      <c r="B65" t="s">
        <v>51</v>
      </c>
      <c r="C65" s="85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0.98240001908503749</v>
      </c>
      <c r="Q65" s="13">
        <f t="shared" si="1"/>
        <v>3000</v>
      </c>
    </row>
    <row r="66" spans="1:17" x14ac:dyDescent="0.25">
      <c r="B66" t="s">
        <v>52</v>
      </c>
      <c r="C66" s="85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1.0315200200392891</v>
      </c>
      <c r="Q66" s="13">
        <f t="shared" si="1"/>
        <v>3050</v>
      </c>
    </row>
    <row r="67" spans="1:17" x14ac:dyDescent="0.25">
      <c r="B67" t="s">
        <v>53</v>
      </c>
      <c r="C67" s="85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1.0806400209935412</v>
      </c>
      <c r="Q67" s="13">
        <f t="shared" si="1"/>
        <v>3100</v>
      </c>
    </row>
    <row r="68" spans="1:17" x14ac:dyDescent="0.25">
      <c r="B68" t="s">
        <v>54</v>
      </c>
      <c r="C68" s="85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1.1297600219477928</v>
      </c>
      <c r="Q68" s="13">
        <f t="shared" si="1"/>
        <v>3150</v>
      </c>
    </row>
    <row r="69" spans="1:17" x14ac:dyDescent="0.25">
      <c r="B69" t="s">
        <v>55</v>
      </c>
      <c r="C69" s="85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1.1788800229020449</v>
      </c>
      <c r="Q69" s="13">
        <f t="shared" si="1"/>
        <v>3200</v>
      </c>
    </row>
    <row r="70" spans="1:17" x14ac:dyDescent="0.25">
      <c r="B70" t="s">
        <v>56</v>
      </c>
      <c r="C70" s="85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1.2280000238562969</v>
      </c>
      <c r="Q70" s="13">
        <f t="shared" ref="Q70:Q133" si="4">(P70-P$5)*$G$18*10000</f>
        <v>3250</v>
      </c>
    </row>
    <row r="71" spans="1:17" x14ac:dyDescent="0.25">
      <c r="B71" t="s">
        <v>57</v>
      </c>
      <c r="C71" s="85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1.2771200248105485</v>
      </c>
      <c r="Q71" s="13">
        <f t="shared" si="4"/>
        <v>3300</v>
      </c>
    </row>
    <row r="72" spans="1:17" x14ac:dyDescent="0.25">
      <c r="B72" t="s">
        <v>58</v>
      </c>
      <c r="C72" s="85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1.3262400257648006</v>
      </c>
      <c r="Q72" s="13">
        <f t="shared" si="4"/>
        <v>3350</v>
      </c>
    </row>
    <row r="73" spans="1:17" x14ac:dyDescent="0.25">
      <c r="B73" t="s">
        <v>59</v>
      </c>
      <c r="C73" s="85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1.3753600267190522</v>
      </c>
      <c r="Q73" s="13">
        <f t="shared" si="4"/>
        <v>3399.9999999999995</v>
      </c>
    </row>
    <row r="74" spans="1:17" x14ac:dyDescent="0.25">
      <c r="A74" t="s">
        <v>43</v>
      </c>
      <c r="C74" s="85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1.4244800276733043</v>
      </c>
      <c r="Q74" s="13">
        <f t="shared" si="4"/>
        <v>3450.0000000000005</v>
      </c>
    </row>
    <row r="75" spans="1:17" x14ac:dyDescent="0.25">
      <c r="C75" s="85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1.4736000286275559</v>
      </c>
      <c r="Q75" s="13">
        <f t="shared" si="4"/>
        <v>3500</v>
      </c>
    </row>
    <row r="76" spans="1:17" x14ac:dyDescent="0.25">
      <c r="A76" t="s">
        <v>60</v>
      </c>
      <c r="C76" s="85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1.522720029581808</v>
      </c>
      <c r="Q76" s="13">
        <f t="shared" si="4"/>
        <v>3550</v>
      </c>
    </row>
    <row r="77" spans="1:17" x14ac:dyDescent="0.25">
      <c r="B77" t="s">
        <v>136</v>
      </c>
      <c r="C77" s="85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1.5718400305360596</v>
      </c>
      <c r="Q77" s="13">
        <f t="shared" si="4"/>
        <v>3600</v>
      </c>
    </row>
    <row r="78" spans="1:17" x14ac:dyDescent="0.25">
      <c r="A78" t="s">
        <v>43</v>
      </c>
      <c r="C78" s="85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1.6209600314903116</v>
      </c>
      <c r="Q78" s="13">
        <f t="shared" si="4"/>
        <v>3650</v>
      </c>
    </row>
    <row r="79" spans="1:17" x14ac:dyDescent="0.25">
      <c r="C79" s="85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1.6700800324445637</v>
      </c>
      <c r="Q79" s="13">
        <f t="shared" si="4"/>
        <v>3700</v>
      </c>
    </row>
    <row r="80" spans="1:17" x14ac:dyDescent="0.25">
      <c r="A80" t="s">
        <v>61</v>
      </c>
      <c r="C80" s="85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1.7192000333988153</v>
      </c>
      <c r="Q80" s="13">
        <f t="shared" si="4"/>
        <v>3750</v>
      </c>
    </row>
    <row r="81" spans="2:17" x14ac:dyDescent="0.25">
      <c r="C81" s="85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1.7683200343530674</v>
      </c>
      <c r="Q81" s="13">
        <f t="shared" si="4"/>
        <v>3800</v>
      </c>
    </row>
    <row r="82" spans="2:17" x14ac:dyDescent="0.25">
      <c r="B82" t="s">
        <v>62</v>
      </c>
      <c r="C82" s="85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1.817440035307319</v>
      </c>
      <c r="Q82" s="13">
        <f t="shared" si="4"/>
        <v>3850</v>
      </c>
    </row>
    <row r="83" spans="2:17" x14ac:dyDescent="0.25">
      <c r="B83" t="s">
        <v>63</v>
      </c>
      <c r="C83" s="85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1.8665600362615711</v>
      </c>
      <c r="Q83" s="13">
        <f t="shared" si="4"/>
        <v>3900</v>
      </c>
    </row>
    <row r="84" spans="2:17" x14ac:dyDescent="0.25">
      <c r="B84" t="s">
        <v>64</v>
      </c>
      <c r="C84" s="85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1.9156800372158227</v>
      </c>
      <c r="Q84" s="13">
        <f t="shared" si="4"/>
        <v>3949.9999999999995</v>
      </c>
    </row>
    <row r="85" spans="2:17" x14ac:dyDescent="0.25">
      <c r="B85" t="s">
        <v>65</v>
      </c>
      <c r="C85" s="85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1.9648000381700748</v>
      </c>
      <c r="Q85" s="13">
        <f t="shared" si="4"/>
        <v>4000</v>
      </c>
    </row>
    <row r="86" spans="2:17" x14ac:dyDescent="0.25">
      <c r="B86" t="s">
        <v>211</v>
      </c>
      <c r="C86" s="85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2.0139200391243266</v>
      </c>
      <c r="Q86" s="13">
        <f t="shared" si="4"/>
        <v>4049.9999999999995</v>
      </c>
    </row>
    <row r="87" spans="2:17" x14ac:dyDescent="0.25">
      <c r="B87" t="s">
        <v>66</v>
      </c>
      <c r="C87" s="85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2.0630400400785787</v>
      </c>
      <c r="Q87" s="13">
        <f t="shared" si="4"/>
        <v>4100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2.1121600410328307</v>
      </c>
      <c r="Q88" s="13">
        <f t="shared" si="4"/>
        <v>4150</v>
      </c>
    </row>
    <row r="89" spans="2:17" x14ac:dyDescent="0.25">
      <c r="B89" t="s">
        <v>68</v>
      </c>
      <c r="C89" s="85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2.1612800419870828</v>
      </c>
      <c r="Q89" s="13">
        <f t="shared" si="4"/>
        <v>4200</v>
      </c>
    </row>
    <row r="90" spans="2:17" x14ac:dyDescent="0.25">
      <c r="B90" t="s">
        <v>69</v>
      </c>
      <c r="C90" s="85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2.210400042941334</v>
      </c>
      <c r="Q90" s="13">
        <f t="shared" si="4"/>
        <v>4250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2.259520043895586</v>
      </c>
      <c r="Q91" s="13">
        <f t="shared" si="4"/>
        <v>4300</v>
      </c>
    </row>
    <row r="92" spans="2:17" x14ac:dyDescent="0.25">
      <c r="B92" t="s">
        <v>71</v>
      </c>
      <c r="C92" s="85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2.3086400448498381</v>
      </c>
      <c r="Q92" s="13">
        <f t="shared" si="4"/>
        <v>4350</v>
      </c>
    </row>
    <row r="93" spans="2:17" x14ac:dyDescent="0.25">
      <c r="B93" t="s">
        <v>72</v>
      </c>
      <c r="C93" s="85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2.3577600458040902</v>
      </c>
      <c r="Q93" s="13">
        <f t="shared" si="4"/>
        <v>4400</v>
      </c>
    </row>
    <row r="94" spans="2:17" x14ac:dyDescent="0.25">
      <c r="B94" t="s">
        <v>191</v>
      </c>
      <c r="C94" s="85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2.4068800467583422</v>
      </c>
      <c r="Q94" s="13">
        <f t="shared" si="4"/>
        <v>4450.0000000000009</v>
      </c>
    </row>
    <row r="95" spans="2:17" x14ac:dyDescent="0.25">
      <c r="B95" t="s">
        <v>73</v>
      </c>
      <c r="C95" s="21">
        <f>C21</f>
        <v>-1.9648000381700748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2.4560000477125934</v>
      </c>
      <c r="Q95" s="13">
        <f t="shared" si="4"/>
        <v>4500</v>
      </c>
    </row>
    <row r="96" spans="2:17" x14ac:dyDescent="0.25">
      <c r="B96" t="s">
        <v>215</v>
      </c>
      <c r="C96" s="85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2.5051200486668455</v>
      </c>
      <c r="Q96" s="13">
        <f t="shared" si="4"/>
        <v>4550</v>
      </c>
    </row>
    <row r="97" spans="2:17" x14ac:dyDescent="0.25">
      <c r="B97" t="s">
        <v>216</v>
      </c>
      <c r="C97" s="85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2.5542400496210975</v>
      </c>
      <c r="Q97" s="13">
        <f t="shared" si="4"/>
        <v>4600</v>
      </c>
    </row>
    <row r="98" spans="2:17" x14ac:dyDescent="0.25">
      <c r="B98" t="s">
        <v>74</v>
      </c>
      <c r="C98" s="85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2.6033600505753496</v>
      </c>
      <c r="Q98" s="13">
        <f t="shared" si="4"/>
        <v>4650</v>
      </c>
    </row>
    <row r="99" spans="2:17" x14ac:dyDescent="0.25">
      <c r="B99" t="s">
        <v>75</v>
      </c>
      <c r="C99" s="85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2.6524800515296008</v>
      </c>
      <c r="Q99" s="13">
        <f t="shared" si="4"/>
        <v>4700</v>
      </c>
    </row>
    <row r="100" spans="2:17" x14ac:dyDescent="0.25">
      <c r="B100" t="s">
        <v>76</v>
      </c>
      <c r="C100" s="85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2.7016000524838528</v>
      </c>
      <c r="Q100" s="13">
        <f t="shared" si="4"/>
        <v>4750</v>
      </c>
    </row>
    <row r="101" spans="2:17" x14ac:dyDescent="0.25">
      <c r="B101" t="s">
        <v>77</v>
      </c>
      <c r="C101" s="85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2.7507200534381049</v>
      </c>
      <c r="Q101" s="13">
        <f t="shared" si="4"/>
        <v>4800</v>
      </c>
    </row>
    <row r="102" spans="2:17" x14ac:dyDescent="0.25">
      <c r="B102" t="s">
        <v>78</v>
      </c>
      <c r="C102" s="85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2.7998400543923569</v>
      </c>
      <c r="Q102" s="13">
        <f t="shared" si="4"/>
        <v>4850</v>
      </c>
    </row>
    <row r="103" spans="2:17" x14ac:dyDescent="0.25">
      <c r="B103" t="s">
        <v>79</v>
      </c>
      <c r="C103" s="85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2.848960055346609</v>
      </c>
      <c r="Q103" s="13">
        <f t="shared" si="4"/>
        <v>4900.0000000000009</v>
      </c>
    </row>
    <row r="104" spans="2:17" x14ac:dyDescent="0.25">
      <c r="B104" t="s">
        <v>80</v>
      </c>
      <c r="C104" s="24">
        <f>C95</f>
        <v>-1.9648000381700748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2.8980800563008602</v>
      </c>
      <c r="Q104" s="13">
        <f t="shared" si="4"/>
        <v>4950</v>
      </c>
    </row>
    <row r="105" spans="2:17" x14ac:dyDescent="0.25">
      <c r="B105" t="s">
        <v>81</v>
      </c>
      <c r="C105" s="85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2.9472000572551122</v>
      </c>
      <c r="Q105" s="13">
        <f t="shared" si="4"/>
        <v>5000</v>
      </c>
    </row>
    <row r="106" spans="2:17" x14ac:dyDescent="0.25">
      <c r="B106" t="s">
        <v>82</v>
      </c>
      <c r="C106" s="85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2.9963200582093643</v>
      </c>
      <c r="Q106" s="13">
        <f t="shared" si="4"/>
        <v>5050</v>
      </c>
    </row>
    <row r="107" spans="2:17" x14ac:dyDescent="0.25">
      <c r="B107" t="s">
        <v>83</v>
      </c>
      <c r="C107" s="85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3.0454400591636164</v>
      </c>
      <c r="Q107" s="13">
        <f t="shared" si="4"/>
        <v>5100</v>
      </c>
    </row>
    <row r="108" spans="2:17" x14ac:dyDescent="0.25">
      <c r="B108" t="s">
        <v>84</v>
      </c>
      <c r="C108" s="85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3.0945600601178676</v>
      </c>
      <c r="Q108" s="13">
        <f t="shared" si="4"/>
        <v>5150</v>
      </c>
    </row>
    <row r="109" spans="2:17" x14ac:dyDescent="0.25">
      <c r="B109" t="s">
        <v>85</v>
      </c>
      <c r="C109" s="85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3.1436800610721196</v>
      </c>
      <c r="Q109" s="13">
        <f t="shared" si="4"/>
        <v>5200</v>
      </c>
    </row>
    <row r="110" spans="2:17" x14ac:dyDescent="0.25">
      <c r="B110" t="s">
        <v>86</v>
      </c>
      <c r="C110" s="85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3.1928000620263717</v>
      </c>
      <c r="Q110" s="13">
        <f t="shared" si="4"/>
        <v>5250</v>
      </c>
    </row>
    <row r="111" spans="2:17" x14ac:dyDescent="0.25">
      <c r="B111" t="s">
        <v>87</v>
      </c>
      <c r="C111" s="85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3.2419200629806237</v>
      </c>
      <c r="Q111" s="13">
        <f t="shared" si="4"/>
        <v>5300</v>
      </c>
    </row>
    <row r="112" spans="2:17" x14ac:dyDescent="0.25">
      <c r="B112" t="s">
        <v>43</v>
      </c>
      <c r="C112" s="85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3.2910400639348758</v>
      </c>
      <c r="Q112" s="13">
        <f t="shared" si="4"/>
        <v>5350</v>
      </c>
    </row>
    <row r="113" spans="3:17" x14ac:dyDescent="0.25">
      <c r="C113" s="85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3.340160064889127</v>
      </c>
      <c r="Q113" s="13">
        <f t="shared" si="4"/>
        <v>5399.9999999999991</v>
      </c>
    </row>
    <row r="114" spans="3:17" x14ac:dyDescent="0.25">
      <c r="C114" s="85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3.389280065843379</v>
      </c>
      <c r="Q114" s="13">
        <f t="shared" si="4"/>
        <v>5450</v>
      </c>
    </row>
    <row r="115" spans="3:17" x14ac:dyDescent="0.25">
      <c r="C115" s="85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3.4384000667976311</v>
      </c>
      <c r="Q115" s="13">
        <f t="shared" si="4"/>
        <v>5500</v>
      </c>
    </row>
    <row r="116" spans="3:17" x14ac:dyDescent="0.25">
      <c r="C116" s="85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3.4875200677518832</v>
      </c>
      <c r="Q116" s="13">
        <f t="shared" si="4"/>
        <v>5550.0000000000009</v>
      </c>
    </row>
    <row r="117" spans="3:17" x14ac:dyDescent="0.25">
      <c r="C117" s="85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3.5366400687061352</v>
      </c>
      <c r="Q117" s="13">
        <f t="shared" si="4"/>
        <v>5600.0000000000009</v>
      </c>
    </row>
    <row r="118" spans="3:17" x14ac:dyDescent="0.25">
      <c r="C118" s="85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3.5857600696603864</v>
      </c>
      <c r="Q118" s="13">
        <f t="shared" si="4"/>
        <v>5649.9999999999991</v>
      </c>
    </row>
    <row r="119" spans="3:17" x14ac:dyDescent="0.25">
      <c r="C119" s="85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3.6348800706146385</v>
      </c>
      <c r="Q119" s="13">
        <f t="shared" si="4"/>
        <v>5699.9999999999991</v>
      </c>
    </row>
    <row r="120" spans="3:17" x14ac:dyDescent="0.25">
      <c r="C120" s="85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3.6840000715688905</v>
      </c>
      <c r="Q120" s="13">
        <f t="shared" si="4"/>
        <v>5750.0000000000009</v>
      </c>
    </row>
    <row r="121" spans="3:17" x14ac:dyDescent="0.25">
      <c r="C121" s="85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3.7331200725231426</v>
      </c>
      <c r="Q121" s="13">
        <f t="shared" si="4"/>
        <v>5800.0000000000009</v>
      </c>
    </row>
    <row r="122" spans="3:17" x14ac:dyDescent="0.25">
      <c r="C122" s="85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3.7822400734773938</v>
      </c>
      <c r="Q122" s="13">
        <f t="shared" si="4"/>
        <v>5850</v>
      </c>
    </row>
    <row r="123" spans="3:17" x14ac:dyDescent="0.25">
      <c r="C123" s="85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3.8313600744316458</v>
      </c>
      <c r="Q123" s="13">
        <f t="shared" si="4"/>
        <v>5900</v>
      </c>
    </row>
    <row r="124" spans="3:17" x14ac:dyDescent="0.25">
      <c r="C124" s="85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3.8804800753858979</v>
      </c>
      <c r="Q124" s="13">
        <f t="shared" si="4"/>
        <v>5950</v>
      </c>
    </row>
    <row r="125" spans="3:17" x14ac:dyDescent="0.25">
      <c r="C125" s="85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3.92960007634015</v>
      </c>
      <c r="Q125" s="13">
        <f t="shared" si="4"/>
        <v>6000</v>
      </c>
    </row>
    <row r="126" spans="3:17" x14ac:dyDescent="0.25">
      <c r="C126" s="85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3.978720077294402</v>
      </c>
      <c r="Q126" s="13">
        <f t="shared" si="4"/>
        <v>6050.0000000000009</v>
      </c>
    </row>
    <row r="127" spans="3:17" x14ac:dyDescent="0.25">
      <c r="C127" s="85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4.0278400782486532</v>
      </c>
      <c r="Q127" s="13">
        <f t="shared" si="4"/>
        <v>6100</v>
      </c>
    </row>
    <row r="128" spans="3:17" x14ac:dyDescent="0.25">
      <c r="C128" s="85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4.0769600792029053</v>
      </c>
      <c r="Q128" s="13">
        <f t="shared" si="4"/>
        <v>6150</v>
      </c>
    </row>
    <row r="129" spans="3:17" x14ac:dyDescent="0.25">
      <c r="C129" s="85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4.1260800801571573</v>
      </c>
      <c r="Q129" s="13">
        <f t="shared" si="4"/>
        <v>6200</v>
      </c>
    </row>
    <row r="130" spans="3:17" x14ac:dyDescent="0.25">
      <c r="C130" s="85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4.1752000811114094</v>
      </c>
      <c r="Q130" s="13">
        <f t="shared" si="4"/>
        <v>6250</v>
      </c>
    </row>
    <row r="131" spans="3:17" x14ac:dyDescent="0.25">
      <c r="C131" s="85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4.2243200820656606</v>
      </c>
      <c r="Q131" s="13">
        <f t="shared" si="4"/>
        <v>6300</v>
      </c>
    </row>
    <row r="132" spans="3:17" x14ac:dyDescent="0.25">
      <c r="C132" s="85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4.2734400830199126</v>
      </c>
      <c r="Q132" s="13">
        <f t="shared" si="4"/>
        <v>6350</v>
      </c>
    </row>
    <row r="133" spans="3:17" x14ac:dyDescent="0.25">
      <c r="C133" s="85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4.3225600839741647</v>
      </c>
      <c r="Q133" s="13">
        <f t="shared" si="4"/>
        <v>6400</v>
      </c>
    </row>
    <row r="134" spans="3:17" x14ac:dyDescent="0.25">
      <c r="C134" s="85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4.3716800849284168</v>
      </c>
      <c r="Q134" s="13">
        <f t="shared" ref="Q134:Q159" si="7">(P134-P$5)*$G$18*10000</f>
        <v>6450</v>
      </c>
    </row>
    <row r="135" spans="3:17" x14ac:dyDescent="0.25">
      <c r="C135" s="85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4.4208000858826688</v>
      </c>
      <c r="Q135" s="13">
        <f t="shared" si="7"/>
        <v>6500</v>
      </c>
    </row>
    <row r="136" spans="3:17" x14ac:dyDescent="0.25">
      <c r="C136" s="85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4.46992008683692</v>
      </c>
      <c r="Q136" s="13">
        <f t="shared" si="7"/>
        <v>6550</v>
      </c>
    </row>
    <row r="137" spans="3:17" x14ac:dyDescent="0.25">
      <c r="C137" s="85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4.5190400877911721</v>
      </c>
      <c r="Q137" s="13">
        <f t="shared" si="7"/>
        <v>6600</v>
      </c>
    </row>
    <row r="138" spans="3:17" x14ac:dyDescent="0.25">
      <c r="C138" s="85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4.5681600887454241</v>
      </c>
      <c r="Q138" s="13">
        <f t="shared" si="7"/>
        <v>6650</v>
      </c>
    </row>
    <row r="139" spans="3:17" x14ac:dyDescent="0.25">
      <c r="C139" s="85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4.6172800896996762</v>
      </c>
      <c r="Q139" s="13">
        <f t="shared" si="7"/>
        <v>6700</v>
      </c>
    </row>
    <row r="140" spans="3:17" x14ac:dyDescent="0.25">
      <c r="C140" s="85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4.6664000906539274</v>
      </c>
      <c r="Q140" s="13">
        <f t="shared" si="7"/>
        <v>6749.9999999999991</v>
      </c>
    </row>
    <row r="141" spans="3:17" x14ac:dyDescent="0.25">
      <c r="C141" s="85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4.7155200916081794</v>
      </c>
      <c r="Q141" s="13">
        <f t="shared" si="7"/>
        <v>6799.9999999999991</v>
      </c>
    </row>
    <row r="142" spans="3:17" x14ac:dyDescent="0.25">
      <c r="C142" s="85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4.7646400925624315</v>
      </c>
      <c r="Q142" s="13">
        <f t="shared" si="7"/>
        <v>6850.0000000000009</v>
      </c>
    </row>
    <row r="143" spans="3:17" x14ac:dyDescent="0.25">
      <c r="C143" s="85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4.8137600935166835</v>
      </c>
      <c r="Q143" s="13">
        <f t="shared" si="7"/>
        <v>6900.0000000000009</v>
      </c>
    </row>
    <row r="144" spans="3:17" x14ac:dyDescent="0.25">
      <c r="C144" s="85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4.8628800944709356</v>
      </c>
      <c r="Q144" s="13">
        <f t="shared" si="7"/>
        <v>6950.0000000000009</v>
      </c>
    </row>
    <row r="145" spans="3:17" x14ac:dyDescent="0.25">
      <c r="C145" s="85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4.9120000954251868</v>
      </c>
      <c r="Q145" s="13">
        <f t="shared" si="7"/>
        <v>7000</v>
      </c>
    </row>
    <row r="146" spans="3:17" x14ac:dyDescent="0.25">
      <c r="C146" s="85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4.9611200963794388</v>
      </c>
      <c r="Q146" s="13">
        <f t="shared" si="7"/>
        <v>7050</v>
      </c>
    </row>
    <row r="147" spans="3:17" x14ac:dyDescent="0.25">
      <c r="C147" s="85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5.0102400973336909</v>
      </c>
      <c r="Q147" s="13">
        <f t="shared" si="7"/>
        <v>7100</v>
      </c>
    </row>
    <row r="148" spans="3:17" x14ac:dyDescent="0.25">
      <c r="C148" s="85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5.059360098287943</v>
      </c>
      <c r="Q148" s="13">
        <f t="shared" si="7"/>
        <v>7150.0000000000009</v>
      </c>
    </row>
    <row r="149" spans="3:17" x14ac:dyDescent="0.25">
      <c r="C149" s="85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5.1084800992421942</v>
      </c>
      <c r="Q149" s="13">
        <f t="shared" si="7"/>
        <v>7200</v>
      </c>
    </row>
    <row r="150" spans="3:17" x14ac:dyDescent="0.25">
      <c r="C150" s="85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5.1576001001964462</v>
      </c>
      <c r="Q150" s="13">
        <f t="shared" si="7"/>
        <v>7250</v>
      </c>
    </row>
    <row r="151" spans="3:17" x14ac:dyDescent="0.25">
      <c r="C151" s="85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5.2067201011506983</v>
      </c>
      <c r="Q151" s="13">
        <f t="shared" si="7"/>
        <v>7300</v>
      </c>
    </row>
    <row r="152" spans="3:17" x14ac:dyDescent="0.25">
      <c r="C152" s="85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5.2558401021049503</v>
      </c>
      <c r="Q152" s="13">
        <f t="shared" si="7"/>
        <v>7350</v>
      </c>
    </row>
    <row r="153" spans="3:17" x14ac:dyDescent="0.25">
      <c r="C153" s="85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5.3049601030592024</v>
      </c>
      <c r="Q153" s="13">
        <f t="shared" si="7"/>
        <v>7400</v>
      </c>
    </row>
    <row r="154" spans="3:17" x14ac:dyDescent="0.25">
      <c r="C154" s="85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5.3540801040134536</v>
      </c>
      <c r="Q154" s="13">
        <f t="shared" si="7"/>
        <v>7450</v>
      </c>
    </row>
    <row r="155" spans="3:17" x14ac:dyDescent="0.25">
      <c r="C155" s="85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5.4032001049677056</v>
      </c>
      <c r="Q155" s="13">
        <f t="shared" si="7"/>
        <v>7500</v>
      </c>
    </row>
    <row r="156" spans="3:17" x14ac:dyDescent="0.25">
      <c r="C156" s="85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5.4523201059219577</v>
      </c>
      <c r="Q156" s="13">
        <f t="shared" si="7"/>
        <v>7550</v>
      </c>
    </row>
    <row r="157" spans="3:17" x14ac:dyDescent="0.25">
      <c r="C157" s="85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5.5014401068762098</v>
      </c>
      <c r="Q157" s="13">
        <f t="shared" si="7"/>
        <v>7600</v>
      </c>
    </row>
    <row r="158" spans="3:17" x14ac:dyDescent="0.25">
      <c r="C158" s="85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5.5505601078304618</v>
      </c>
      <c r="Q158" s="13">
        <f t="shared" si="7"/>
        <v>7650</v>
      </c>
    </row>
    <row r="159" spans="3:17" x14ac:dyDescent="0.25">
      <c r="C159" s="85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5.599680108784713</v>
      </c>
      <c r="Q159" s="13">
        <f t="shared" si="7"/>
        <v>7700</v>
      </c>
    </row>
    <row r="160" spans="3:17" x14ac:dyDescent="0.25">
      <c r="C160" s="85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85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85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85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85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85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85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85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85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85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85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85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85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85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85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85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85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85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85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85"/>
      <c r="F179" s="5"/>
      <c r="G179" s="3"/>
      <c r="H179" s="3"/>
      <c r="I179"/>
      <c r="J179"/>
      <c r="K179" s="3"/>
      <c r="M179"/>
    </row>
    <row r="180" spans="3:13" x14ac:dyDescent="0.25">
      <c r="C180" s="85"/>
      <c r="F180" s="5"/>
      <c r="G180" s="3"/>
      <c r="H180" s="3"/>
      <c r="I180"/>
      <c r="J180"/>
      <c r="K180" s="3"/>
      <c r="M180"/>
    </row>
    <row r="181" spans="3:13" x14ac:dyDescent="0.25">
      <c r="C181" s="85"/>
      <c r="F181" s="5"/>
      <c r="G181" s="3"/>
      <c r="H181" s="3"/>
      <c r="I181"/>
      <c r="J181"/>
      <c r="K181" s="3"/>
      <c r="M181"/>
    </row>
    <row r="182" spans="3:13" x14ac:dyDescent="0.25">
      <c r="C182" s="85"/>
      <c r="F182" s="5"/>
      <c r="G182" s="3"/>
      <c r="H182" s="3"/>
      <c r="I182"/>
      <c r="J182"/>
      <c r="K182" s="3"/>
      <c r="M182"/>
    </row>
    <row r="183" spans="3:13" x14ac:dyDescent="0.25">
      <c r="C183" s="85"/>
      <c r="F183" s="5"/>
      <c r="G183" s="3"/>
      <c r="H183" s="3"/>
      <c r="I183"/>
      <c r="J183"/>
      <c r="K183" s="3"/>
      <c r="M183"/>
    </row>
    <row r="184" spans="3:13" x14ac:dyDescent="0.25">
      <c r="C184" s="85"/>
      <c r="F184" s="5"/>
      <c r="G184" s="3"/>
      <c r="H184" s="3"/>
      <c r="I184"/>
      <c r="J184"/>
      <c r="K184" s="3"/>
      <c r="M184"/>
    </row>
    <row r="185" spans="3:13" x14ac:dyDescent="0.25">
      <c r="C185" s="85"/>
      <c r="F185" s="5"/>
      <c r="G185" s="3"/>
      <c r="H185" s="3"/>
      <c r="I185"/>
      <c r="J185"/>
      <c r="K185" s="3"/>
      <c r="M185"/>
    </row>
    <row r="186" spans="3:13" x14ac:dyDescent="0.25">
      <c r="C186" s="85"/>
      <c r="F186" s="5"/>
      <c r="G186" s="3"/>
      <c r="H186" s="3"/>
      <c r="I186"/>
      <c r="J186"/>
      <c r="K186" s="3"/>
      <c r="M186"/>
    </row>
    <row r="187" spans="3:13" x14ac:dyDescent="0.25">
      <c r="C187" s="85"/>
      <c r="F187" s="5"/>
      <c r="G187" s="3"/>
      <c r="H187" s="3"/>
      <c r="I187"/>
      <c r="J187"/>
      <c r="K187" s="3"/>
      <c r="M187"/>
    </row>
    <row r="188" spans="3:13" x14ac:dyDescent="0.25">
      <c r="C188" s="85"/>
      <c r="F188" s="5"/>
      <c r="G188" s="3"/>
      <c r="H188" s="3"/>
      <c r="I188"/>
      <c r="J188"/>
      <c r="K188" s="3"/>
      <c r="M188"/>
    </row>
    <row r="189" spans="3:13" x14ac:dyDescent="0.25">
      <c r="C189" s="85"/>
      <c r="F189" s="5"/>
      <c r="G189" s="3"/>
      <c r="H189" s="3"/>
      <c r="I189"/>
      <c r="J189"/>
      <c r="K189" s="3"/>
      <c r="M189"/>
    </row>
    <row r="190" spans="3:13" x14ac:dyDescent="0.25">
      <c r="C190" s="85"/>
      <c r="F190" s="5"/>
      <c r="G190" s="3"/>
      <c r="H190" s="3"/>
      <c r="I190"/>
      <c r="J190"/>
      <c r="K190" s="3"/>
      <c r="M190"/>
    </row>
    <row r="191" spans="3:13" x14ac:dyDescent="0.25">
      <c r="C191" s="85"/>
      <c r="F191" s="5"/>
      <c r="G191" s="3"/>
      <c r="H191" s="3"/>
      <c r="I191"/>
      <c r="J191"/>
      <c r="K191" s="3"/>
      <c r="M191"/>
    </row>
    <row r="192" spans="3:13" x14ac:dyDescent="0.25">
      <c r="C192" s="85"/>
      <c r="F192" s="5"/>
      <c r="G192" s="3"/>
      <c r="H192" s="3"/>
      <c r="I192"/>
      <c r="J192"/>
      <c r="K192" s="3"/>
      <c r="M192"/>
    </row>
    <row r="193" spans="3:13" x14ac:dyDescent="0.25">
      <c r="C193" s="85"/>
      <c r="F193" s="5"/>
      <c r="G193" s="3"/>
      <c r="H193" s="3"/>
      <c r="I193"/>
      <c r="J193"/>
      <c r="K193" s="3"/>
      <c r="M193"/>
    </row>
    <row r="194" spans="3:13" x14ac:dyDescent="0.25">
      <c r="C194" s="85"/>
      <c r="F194" s="5"/>
      <c r="G194" s="3"/>
      <c r="H194" s="3"/>
      <c r="I194"/>
      <c r="J194"/>
      <c r="K194" s="3"/>
      <c r="M194"/>
    </row>
    <row r="195" spans="3:13" x14ac:dyDescent="0.25">
      <c r="C195" s="85"/>
      <c r="F195" s="5"/>
      <c r="G195" s="3"/>
      <c r="H195" s="3"/>
      <c r="I195"/>
      <c r="J195"/>
      <c r="K195" s="3"/>
      <c r="M195"/>
    </row>
    <row r="196" spans="3:13" x14ac:dyDescent="0.25">
      <c r="C196" s="85"/>
      <c r="F196" s="5"/>
      <c r="G196" s="3"/>
      <c r="H196" s="3"/>
      <c r="I196"/>
      <c r="J196"/>
      <c r="K196" s="3"/>
      <c r="M196"/>
    </row>
    <row r="197" spans="3:13" x14ac:dyDescent="0.25">
      <c r="C197" s="85"/>
      <c r="F197" s="5"/>
      <c r="G197" s="3"/>
      <c r="H197" s="3"/>
      <c r="I197"/>
      <c r="J197"/>
      <c r="K197" s="3"/>
      <c r="M197"/>
    </row>
    <row r="198" spans="3:13" x14ac:dyDescent="0.25">
      <c r="C198" s="85"/>
      <c r="F198" s="5"/>
      <c r="G198" s="3"/>
      <c r="H198" s="3"/>
      <c r="I198"/>
      <c r="J198"/>
      <c r="K198" s="3"/>
      <c r="M198"/>
    </row>
    <row r="199" spans="3:13" x14ac:dyDescent="0.25">
      <c r="C199" s="85"/>
      <c r="F199" s="5"/>
      <c r="G199" s="3"/>
      <c r="H199" s="3"/>
      <c r="I199"/>
      <c r="J199"/>
      <c r="K199" s="3"/>
      <c r="M199"/>
    </row>
    <row r="200" spans="3:13" x14ac:dyDescent="0.25">
      <c r="C200" s="85"/>
      <c r="F200" s="5"/>
      <c r="G200" s="3"/>
      <c r="H200" s="3"/>
      <c r="I200"/>
      <c r="J200"/>
      <c r="K200" s="3"/>
      <c r="M200"/>
    </row>
    <row r="201" spans="3:13" x14ac:dyDescent="0.25">
      <c r="C201" s="85"/>
      <c r="F201" s="5"/>
      <c r="G201" s="3"/>
      <c r="H201" s="3"/>
      <c r="I201"/>
      <c r="J201"/>
      <c r="K201" s="3"/>
      <c r="M201"/>
    </row>
    <row r="202" spans="3:13" x14ac:dyDescent="0.25">
      <c r="C202" s="85"/>
      <c r="F202" s="5"/>
      <c r="G202" s="3"/>
      <c r="H202" s="3"/>
      <c r="I202"/>
      <c r="J202"/>
      <c r="K202" s="3"/>
      <c r="M202"/>
    </row>
    <row r="203" spans="3:13" x14ac:dyDescent="0.25">
      <c r="C203" s="85"/>
      <c r="F203" s="5"/>
      <c r="G203" s="3"/>
      <c r="H203" s="3"/>
      <c r="I203"/>
      <c r="J203"/>
      <c r="K203" s="3"/>
      <c r="M203"/>
    </row>
    <row r="204" spans="3:13" x14ac:dyDescent="0.25">
      <c r="C204" s="85"/>
      <c r="F204" s="5"/>
      <c r="G204" s="3"/>
      <c r="H204" s="3"/>
      <c r="I204"/>
      <c r="J204"/>
      <c r="K204" s="3"/>
      <c r="M204"/>
    </row>
    <row r="205" spans="3:13" x14ac:dyDescent="0.25">
      <c r="C205" s="85"/>
      <c r="F205" s="5"/>
      <c r="G205" s="3"/>
      <c r="H205" s="3"/>
      <c r="I205"/>
      <c r="J205"/>
      <c r="K205" s="3"/>
      <c r="M205"/>
    </row>
    <row r="206" spans="3:13" x14ac:dyDescent="0.25">
      <c r="C206" s="85"/>
      <c r="F206" s="5"/>
      <c r="G206" s="3"/>
      <c r="H206" s="3"/>
      <c r="I206"/>
      <c r="J206"/>
      <c r="K206" s="3"/>
      <c r="M206"/>
    </row>
    <row r="207" spans="3:13" x14ac:dyDescent="0.25">
      <c r="C207" s="85"/>
      <c r="F207" s="5"/>
      <c r="G207" s="3"/>
      <c r="H207" s="3"/>
      <c r="I207"/>
      <c r="J207"/>
      <c r="K207" s="3"/>
      <c r="M207"/>
    </row>
    <row r="208" spans="3:13" x14ac:dyDescent="0.25">
      <c r="C208" s="85"/>
      <c r="F208" s="5"/>
      <c r="G208" s="3"/>
      <c r="H208" s="3"/>
      <c r="I208"/>
      <c r="J208"/>
      <c r="K208" s="3"/>
      <c r="M208"/>
    </row>
    <row r="209" spans="3:13" x14ac:dyDescent="0.25">
      <c r="C209" s="85"/>
      <c r="F209" s="5"/>
      <c r="G209" s="3"/>
      <c r="H209" s="3"/>
      <c r="I209"/>
      <c r="J209"/>
      <c r="K209" s="3"/>
      <c r="M209"/>
    </row>
    <row r="210" spans="3:13" x14ac:dyDescent="0.25">
      <c r="C210" s="85"/>
      <c r="F210" s="5"/>
      <c r="G210" s="3"/>
      <c r="H210" s="3"/>
      <c r="I210"/>
      <c r="J210"/>
      <c r="K210" s="3"/>
      <c r="M210"/>
    </row>
    <row r="211" spans="3:13" x14ac:dyDescent="0.25">
      <c r="C211" s="85"/>
      <c r="F211" s="5"/>
      <c r="G211" s="3"/>
      <c r="H211" s="3"/>
      <c r="I211"/>
      <c r="J211"/>
      <c r="K211" s="3"/>
      <c r="M211"/>
    </row>
    <row r="212" spans="3:13" x14ac:dyDescent="0.25">
      <c r="C212" s="85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workbookViewId="0">
      <pane xSplit="1" ySplit="8" topLeftCell="B17" activePane="bottomRight" state="frozen"/>
      <selection pane="topRight" activeCell="B1" sqref="B1"/>
      <selection pane="bottomLeft" activeCell="A9" sqref="A9"/>
      <selection pane="bottomRight" activeCell="K20" sqref="K20"/>
    </sheetView>
  </sheetViews>
  <sheetFormatPr baseColWidth="10" defaultRowHeight="15" x14ac:dyDescent="0.25"/>
  <cols>
    <col min="1" max="1" width="21.7109375" customWidth="1"/>
    <col min="2" max="2" width="15" customWidth="1"/>
    <col min="3" max="3" width="13.5703125" customWidth="1"/>
    <col min="4" max="4" width="18" customWidth="1"/>
    <col min="5" max="5" width="13.7109375" customWidth="1"/>
    <col min="6" max="6" width="15.28515625" customWidth="1"/>
    <col min="7" max="7" width="16.85546875" customWidth="1"/>
    <col min="8" max="8" width="19.7109375" customWidth="1"/>
    <col min="9" max="9" width="22" customWidth="1"/>
    <col min="10" max="10" width="21.42578125" customWidth="1"/>
    <col min="11" max="11" width="21.140625" style="65" customWidth="1"/>
    <col min="12" max="12" width="24.42578125" style="32" customWidth="1"/>
    <col min="13" max="13" width="27.140625" style="32" customWidth="1"/>
    <col min="14" max="14" width="16.5703125" style="32" customWidth="1"/>
    <col min="15" max="20" width="21" style="32" customWidth="1"/>
    <col min="21" max="21" width="11.42578125" style="32"/>
    <col min="24" max="24" width="18.7109375" customWidth="1"/>
    <col min="25" max="25" width="12.5703125" bestFit="1" customWidth="1"/>
  </cols>
  <sheetData>
    <row r="1" spans="1:26" x14ac:dyDescent="0.25">
      <c r="A1" t="s">
        <v>258</v>
      </c>
      <c r="B1" s="3">
        <v>0.8</v>
      </c>
      <c r="C1" t="s">
        <v>166</v>
      </c>
      <c r="D1" t="s">
        <v>259</v>
      </c>
      <c r="E1" s="7">
        <v>2</v>
      </c>
      <c r="F1" t="s">
        <v>188</v>
      </c>
      <c r="G1" s="15">
        <v>1.10052E+18</v>
      </c>
      <c r="H1" s="26">
        <f>D19/4</f>
        <v>26.396614366240229</v>
      </c>
      <c r="I1" s="16">
        <v>50.870842510128959</v>
      </c>
      <c r="J1" s="27" t="s">
        <v>260</v>
      </c>
      <c r="K1" s="28">
        <f>H3/2</f>
        <v>0.34941689944248544</v>
      </c>
      <c r="L1" s="29" t="s">
        <v>261</v>
      </c>
      <c r="M1" s="30" t="s">
        <v>262</v>
      </c>
      <c r="N1" s="31">
        <v>20000</v>
      </c>
      <c r="P1" s="33"/>
      <c r="Q1" s="32">
        <f>0.0000000000001*30000000000</f>
        <v>3.0000000000000001E-3</v>
      </c>
      <c r="X1" t="s">
        <v>263</v>
      </c>
      <c r="Y1">
        <v>100</v>
      </c>
      <c r="Z1" t="s">
        <v>264</v>
      </c>
    </row>
    <row r="2" spans="1:26" x14ac:dyDescent="0.25">
      <c r="A2" t="s">
        <v>157</v>
      </c>
      <c r="B2" s="6">
        <f>1.11485E+21/B1^2</f>
        <v>1.7419531249999995E+21</v>
      </c>
      <c r="C2" t="s">
        <v>155</v>
      </c>
      <c r="D2" t="s">
        <v>265</v>
      </c>
      <c r="E2" s="9">
        <f>E1*SQRT(2/PI())*1000/B4</f>
        <v>41.752767942206731</v>
      </c>
      <c r="F2" t="s">
        <v>266</v>
      </c>
      <c r="G2" s="15" t="s">
        <v>267</v>
      </c>
      <c r="H2" s="26">
        <v>1.043844E+18</v>
      </c>
      <c r="I2" s="34">
        <f>I1*SQRT(1.5)</f>
        <v>62.303803467649665</v>
      </c>
      <c r="J2" s="35" t="s">
        <v>268</v>
      </c>
      <c r="K2" s="30">
        <v>0</v>
      </c>
      <c r="L2" s="31" t="s">
        <v>269</v>
      </c>
      <c r="M2" s="30" t="s">
        <v>270</v>
      </c>
      <c r="N2" s="31">
        <v>2000000</v>
      </c>
      <c r="O2" s="36">
        <f>(C22*E6)^2/(C22^2-E6^2)</f>
        <v>468.63584765352732</v>
      </c>
      <c r="P2" s="33">
        <f>SQRT(O2)</f>
        <v>21.647998698575517</v>
      </c>
      <c r="Q2" s="32">
        <f>300</f>
        <v>300</v>
      </c>
      <c r="X2" t="s">
        <v>271</v>
      </c>
      <c r="Y2" s="8">
        <f>1.6E-19*1000000000000</f>
        <v>1.6E-7</v>
      </c>
      <c r="Z2" t="s">
        <v>264</v>
      </c>
    </row>
    <row r="3" spans="1:26" x14ac:dyDescent="0.25">
      <c r="A3" t="s">
        <v>272</v>
      </c>
      <c r="B3" s="6">
        <v>45</v>
      </c>
      <c r="C3" t="s">
        <v>169</v>
      </c>
      <c r="D3" t="s">
        <v>273</v>
      </c>
      <c r="E3">
        <v>25000</v>
      </c>
      <c r="F3" t="s">
        <v>166</v>
      </c>
      <c r="G3" s="15" t="s">
        <v>184</v>
      </c>
      <c r="H3" s="37">
        <f>0.855*SQRT(0.000000000000000001*H$2)*$B$1</f>
        <v>0.69883379888497088</v>
      </c>
      <c r="I3" s="38">
        <f>H2/1.5</f>
        <v>6.95896E+17</v>
      </c>
      <c r="J3" s="39" t="s">
        <v>274</v>
      </c>
      <c r="K3" s="30">
        <f>K2/H6</f>
        <v>0</v>
      </c>
      <c r="L3" s="39">
        <v>66.009742960775327</v>
      </c>
      <c r="M3" s="35" t="s">
        <v>275</v>
      </c>
      <c r="N3" s="28">
        <f>B1*N2/(PI()*N1)</f>
        <v>25.464790894703253</v>
      </c>
      <c r="O3" s="36">
        <f>SQRT(O2)</f>
        <v>21.647998698575517</v>
      </c>
      <c r="P3" s="33"/>
      <c r="Q3" s="32">
        <f>Q2*2*20*20</f>
        <v>240000</v>
      </c>
      <c r="S3" s="32">
        <f>C28^2*2</f>
        <v>419.74774096385522</v>
      </c>
      <c r="X3" t="s">
        <v>276</v>
      </c>
      <c r="Y3" s="8">
        <f>Y1/Y2</f>
        <v>625000000</v>
      </c>
    </row>
    <row r="4" spans="1:26" x14ac:dyDescent="0.25">
      <c r="A4" t="s">
        <v>277</v>
      </c>
      <c r="B4" s="13">
        <f>B3/SQRT(2*LN(2))</f>
        <v>38.219481012960856</v>
      </c>
      <c r="C4" t="s">
        <v>169</v>
      </c>
      <c r="D4" t="s">
        <v>278</v>
      </c>
      <c r="E4">
        <v>0.51099892137635139</v>
      </c>
      <c r="F4" t="s">
        <v>198</v>
      </c>
      <c r="G4" s="15" t="s">
        <v>279</v>
      </c>
      <c r="H4" s="40">
        <f>H3^2</f>
        <v>0.48836867846399995</v>
      </c>
      <c r="I4" s="41">
        <v>1.28395E+18</v>
      </c>
      <c r="J4" s="39" t="s">
        <v>280</v>
      </c>
      <c r="K4" s="30">
        <f>H5*SQRT(1+K3^2)</f>
        <v>50.462664721501305</v>
      </c>
      <c r="L4" s="39">
        <v>65.674017808896707</v>
      </c>
      <c r="M4" s="35" t="s">
        <v>281</v>
      </c>
      <c r="N4" s="39">
        <f>0.001*PI()*N3*N3/B1</f>
        <v>2.5464790894703251</v>
      </c>
      <c r="O4" s="33">
        <f>D22*O2/4</f>
        <v>6185.1998743531331</v>
      </c>
      <c r="P4" s="33">
        <f>0.28*O22</f>
        <v>28.163220881638914</v>
      </c>
      <c r="Q4" s="32">
        <f>Q3*0.0001</f>
        <v>24</v>
      </c>
      <c r="X4" t="s">
        <v>282</v>
      </c>
      <c r="Y4">
        <v>25</v>
      </c>
      <c r="Z4" t="s">
        <v>166</v>
      </c>
    </row>
    <row r="5" spans="1:26" x14ac:dyDescent="0.25">
      <c r="A5" t="s">
        <v>171</v>
      </c>
      <c r="B5" s="6">
        <v>299792458</v>
      </c>
      <c r="C5" t="s">
        <v>172</v>
      </c>
      <c r="D5" t="s">
        <v>283</v>
      </c>
      <c r="E5">
        <v>10</v>
      </c>
      <c r="F5" t="s">
        <v>198</v>
      </c>
      <c r="G5" s="42" t="s">
        <v>284</v>
      </c>
      <c r="H5" s="40">
        <f>225.38*SQRT($E$1/($B$4*0.000000000000000001*H2))</f>
        <v>50.462664721501305</v>
      </c>
      <c r="I5" s="38">
        <v>7.4128887812601997E+17</v>
      </c>
      <c r="J5" s="39" t="s">
        <v>285</v>
      </c>
      <c r="K5" s="30">
        <f>H2*((H5/K4)^2)</f>
        <v>1.043844E+18</v>
      </c>
      <c r="L5" s="39">
        <f>L4/L3</f>
        <v>0.99491400607213221</v>
      </c>
      <c r="M5" s="35"/>
      <c r="N5" s="39"/>
      <c r="O5" s="33"/>
      <c r="P5" s="33"/>
      <c r="X5" t="s">
        <v>286</v>
      </c>
      <c r="Y5">
        <v>10</v>
      </c>
      <c r="Z5" t="s">
        <v>166</v>
      </c>
    </row>
    <row r="6" spans="1:26" x14ac:dyDescent="0.25">
      <c r="A6" t="s">
        <v>287</v>
      </c>
      <c r="B6" s="10">
        <f>1000000*0.000000000000001*B5*B4</f>
        <v>11.457912156359866</v>
      </c>
      <c r="C6" t="s">
        <v>166</v>
      </c>
      <c r="D6" t="s">
        <v>288</v>
      </c>
      <c r="E6">
        <f>1+(E5/E4)</f>
        <v>20.569512931779727</v>
      </c>
      <c r="F6">
        <f>2*E6*E6</f>
        <v>846.20972450130682</v>
      </c>
      <c r="G6" s="15" t="s">
        <v>289</v>
      </c>
      <c r="H6" s="37">
        <f>0.001*PI()*H5*H5/$B$1</f>
        <v>10.000005660067396</v>
      </c>
      <c r="I6" s="38">
        <f>H2*SQRT(1.5/2)</f>
        <v>9.0399542158796352E+17</v>
      </c>
      <c r="J6" s="39" t="s">
        <v>184</v>
      </c>
      <c r="K6" s="30">
        <f>H3*H5/K4</f>
        <v>0.69883379888497099</v>
      </c>
      <c r="L6" s="28">
        <f>7.2*L5</f>
        <v>7.1633808437193522</v>
      </c>
      <c r="M6" s="35">
        <f>3.6*4.1</f>
        <v>14.76</v>
      </c>
      <c r="N6" s="39"/>
      <c r="P6" s="33"/>
      <c r="X6" t="s">
        <v>290</v>
      </c>
      <c r="Y6">
        <f>PI()*Y5*Y5*Y4</f>
        <v>7853.981633974483</v>
      </c>
      <c r="Z6" t="s">
        <v>291</v>
      </c>
    </row>
    <row r="7" spans="1:26" x14ac:dyDescent="0.25">
      <c r="A7" t="s">
        <v>320</v>
      </c>
      <c r="B7" s="14">
        <f>1000000000*B1/B5</f>
        <v>2.6685127615852164</v>
      </c>
      <c r="C7">
        <f>2*C22*C22*0.0001</f>
        <v>0.87097656249999988</v>
      </c>
      <c r="F7">
        <f>500*5/3</f>
        <v>833.33333333333337</v>
      </c>
      <c r="G7" s="15" t="s">
        <v>292</v>
      </c>
      <c r="H7" s="16">
        <f>0.000001*PI()*H5*SQRT($E$3^2-H5^2)/$B$1</f>
        <v>4.9541504315021037</v>
      </c>
      <c r="I7" s="16">
        <v>8.5596666666666662E+17</v>
      </c>
      <c r="J7" s="27" t="s">
        <v>279</v>
      </c>
      <c r="K7" s="30">
        <f>K6*K6</f>
        <v>0.48836867846400006</v>
      </c>
      <c r="L7" s="27">
        <f>H3/2</f>
        <v>0.34941689944248544</v>
      </c>
      <c r="M7" s="27"/>
      <c r="N7" s="31">
        <f>N6*M17</f>
        <v>0</v>
      </c>
      <c r="P7" s="33"/>
      <c r="X7" t="s">
        <v>293</v>
      </c>
      <c r="Y7">
        <f>Y6*0.000000000001</f>
        <v>7.8539816339744827E-9</v>
      </c>
    </row>
    <row r="8" spans="1:26" ht="30" x14ac:dyDescent="0.25">
      <c r="A8" s="3" t="s">
        <v>294</v>
      </c>
      <c r="B8" s="3" t="s">
        <v>295</v>
      </c>
      <c r="C8" s="3" t="s">
        <v>296</v>
      </c>
      <c r="D8" s="3" t="s">
        <v>297</v>
      </c>
      <c r="E8" s="3" t="s">
        <v>298</v>
      </c>
      <c r="F8" s="3" t="s">
        <v>299</v>
      </c>
      <c r="G8" s="3" t="s">
        <v>300</v>
      </c>
      <c r="H8" s="74" t="s">
        <v>301</v>
      </c>
      <c r="I8" s="74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27" t="s">
        <v>307</v>
      </c>
      <c r="O8" s="27" t="s">
        <v>308</v>
      </c>
      <c r="P8" s="43" t="s">
        <v>309</v>
      </c>
      <c r="Q8" s="32" t="s">
        <v>310</v>
      </c>
      <c r="R8" s="32" t="s">
        <v>311</v>
      </c>
      <c r="S8" s="32" t="s">
        <v>312</v>
      </c>
      <c r="T8" s="32" t="s">
        <v>313</v>
      </c>
      <c r="U8" s="32" t="s">
        <v>314</v>
      </c>
      <c r="V8" s="32"/>
      <c r="W8" s="32"/>
      <c r="X8" s="32" t="s">
        <v>315</v>
      </c>
      <c r="Y8" s="8">
        <f>Y3/Y7</f>
        <v>7.9577471545947664E+16</v>
      </c>
      <c r="Z8" t="s">
        <v>316</v>
      </c>
    </row>
    <row r="9" spans="1:26" s="3" customFormat="1" x14ac:dyDescent="0.25">
      <c r="A9" s="4">
        <v>500000000000000</v>
      </c>
      <c r="B9" s="4">
        <f>0.00000000000000001*A9/0.486</f>
        <v>1.0288065843621399E-2</v>
      </c>
      <c r="C9" s="3">
        <f t="shared" ref="C9:C42" si="0">SQRT($B$2/A9)</f>
        <v>1866.5225018734704</v>
      </c>
      <c r="D9" s="4">
        <f t="shared" ref="D9:D42" si="1">$B$1*SQRT($B$2/A9)</f>
        <v>1493.2180014987764</v>
      </c>
      <c r="E9" s="4">
        <f>2*PI()/D9</f>
        <v>4.2078151354142616E-3</v>
      </c>
      <c r="F9" s="4">
        <f t="shared" ref="F9:F43" si="2">D9*1000000000/B$5</f>
        <v>4980.8391160353221</v>
      </c>
      <c r="G9" s="4">
        <f>2*PI()/F9</f>
        <v>1.2614712422554441E-3</v>
      </c>
      <c r="H9" s="4">
        <f t="shared" ref="H9:H42" si="3">0.001*0.5*$B$1*(C9)^3</f>
        <v>2601115.7640170478</v>
      </c>
      <c r="I9" s="4">
        <f>0.0005*D9*$E$6^2</f>
        <v>315.89389841716786</v>
      </c>
      <c r="J9" s="4">
        <f>16.2*0.001*$B$2/$A9</f>
        <v>56439.281249999978</v>
      </c>
      <c r="K9" s="44">
        <f t="shared" ref="K9:K43" si="4">PI()*$B$6/D9</f>
        <v>2.410638809588905E-2</v>
      </c>
      <c r="L9" s="44">
        <f>SQRT(2*PI())*K9*EXP(-0.5*K9*K9)</f>
        <v>6.0408199305787967E-2</v>
      </c>
      <c r="M9" s="4">
        <f t="shared" ref="M9:M42" si="5">961.59*SQRT(0.000000000000000001*A9)</f>
        <v>21.501806064840228</v>
      </c>
      <c r="N9" s="29">
        <f>0.25*$L9*K$7</f>
        <v>7.375368115839399E-3</v>
      </c>
      <c r="O9" s="29">
        <f>N9*M9</f>
        <v>0.15858373488358482</v>
      </c>
      <c r="P9" s="29">
        <f>N9*$C9</f>
        <v>13.766290547814378</v>
      </c>
      <c r="Q9" s="32">
        <f>1+P9</f>
        <v>14.766290547814378</v>
      </c>
      <c r="R9" s="32">
        <f>Q9^2</f>
        <v>218.04333654247225</v>
      </c>
      <c r="S9" s="32">
        <f>SQRT(R9-1)</f>
        <v>14.732390727321627</v>
      </c>
      <c r="T9" s="32">
        <f>(Q9-S9) * $C9</f>
        <v>63.274777759191096</v>
      </c>
      <c r="U9" s="32">
        <f>(Q9+S9) * $C9</f>
        <v>55059.952375634959</v>
      </c>
      <c r="V9" s="27"/>
      <c r="W9" s="27"/>
    </row>
    <row r="10" spans="1:26" s="3" customFormat="1" x14ac:dyDescent="0.25">
      <c r="A10" s="4">
        <f>A9*SQRT(SQRT(10))</f>
        <v>889139705019461.38</v>
      </c>
      <c r="B10" s="4">
        <f t="shared" ref="B10:B42" si="6">0.00000000000000001*A10/0.486</f>
        <v>1.8295055658836656E-2</v>
      </c>
      <c r="C10" s="3">
        <f t="shared" si="0"/>
        <v>1399.6944157436433</v>
      </c>
      <c r="D10" s="4">
        <f t="shared" si="1"/>
        <v>1119.7555325949147</v>
      </c>
      <c r="E10" s="4">
        <f t="shared" ref="E10:E42" si="7">2*PI()/D10</f>
        <v>5.6112116656561366E-3</v>
      </c>
      <c r="F10" s="4">
        <f t="shared" si="2"/>
        <v>3735.1024107314761</v>
      </c>
      <c r="G10" s="4">
        <f t="shared" ref="G10:G42" si="8">2*PI()/F10</f>
        <v>1.6821989376053273E-3</v>
      </c>
      <c r="H10" s="4">
        <f t="shared" si="3"/>
        <v>1096881.4226989541</v>
      </c>
      <c r="I10" s="4">
        <f t="shared" ref="I10:I42" si="9">0.0005*D10*$E$6^2</f>
        <v>236.8870051864892</v>
      </c>
      <c r="J10" s="4">
        <f t="shared" ref="J10:J42" si="10">16.2*0.001*$B$2/$A10</f>
        <v>31738.140210915812</v>
      </c>
      <c r="K10" s="44">
        <f t="shared" si="4"/>
        <v>3.2146385177914877E-2</v>
      </c>
      <c r="L10" s="44">
        <f t="shared" ref="L10:L43" si="11">SQRT(2*PI())*K10*EXP(-0.5*K10*K10)</f>
        <v>8.0537413979262409E-2</v>
      </c>
      <c r="M10" s="4">
        <f t="shared" si="5"/>
        <v>28.673119217683791</v>
      </c>
      <c r="N10" s="29">
        <f>0.25*$L10*K$7</f>
        <v>9.8329876079901162E-3</v>
      </c>
      <c r="O10" s="29">
        <f t="shared" ref="O10:O43" si="12">N10*M10</f>
        <v>0.28194242594990798</v>
      </c>
      <c r="P10" s="29">
        <f t="shared" ref="P10:P42" si="13">N10*$C10</f>
        <v>13.763177844980211</v>
      </c>
      <c r="Q10" s="32">
        <f t="shared" ref="Q10:Q42" si="14">1+P10</f>
        <v>14.763177844980211</v>
      </c>
      <c r="R10" s="32">
        <f t="shared" ref="R10:R42" si="15">Q10^2</f>
        <v>217.95142008251455</v>
      </c>
      <c r="S10" s="32">
        <f t="shared" ref="S10:S42" si="16">SQRT(R10-1)</f>
        <v>14.729270860518335</v>
      </c>
      <c r="T10" s="32">
        <f t="shared" ref="T10:T42" si="17">(Q10-S10) * $C10</f>
        <v>47.459416805993712</v>
      </c>
      <c r="U10" s="32">
        <f t="shared" ref="U10:U42" si="18">(Q10+S10) * $C10</f>
        <v>41280.415759692158</v>
      </c>
      <c r="V10" s="27"/>
      <c r="W10" s="27"/>
    </row>
    <row r="11" spans="1:26" s="3" customFormat="1" x14ac:dyDescent="0.25">
      <c r="A11" s="4">
        <v>1000000000000000</v>
      </c>
      <c r="B11" s="4">
        <f t="shared" si="6"/>
        <v>2.0576131687242798E-2</v>
      </c>
      <c r="C11" s="3">
        <f t="shared" si="0"/>
        <v>1319.8307183120112</v>
      </c>
      <c r="D11" s="4">
        <f t="shared" si="1"/>
        <v>1055.864574649609</v>
      </c>
      <c r="E11" s="4">
        <f t="shared" si="7"/>
        <v>5.9507492324616298E-3</v>
      </c>
      <c r="F11" s="4">
        <f t="shared" si="2"/>
        <v>3521.985114947785</v>
      </c>
      <c r="G11" s="4">
        <f t="shared" si="8"/>
        <v>1.7839897393412854E-3</v>
      </c>
      <c r="H11" s="4">
        <f t="shared" si="3"/>
        <v>919633.29769384081</v>
      </c>
      <c r="I11" s="4">
        <f t="shared" si="9"/>
        <v>223.37071770623382</v>
      </c>
      <c r="J11" s="4">
        <f t="shared" si="10"/>
        <v>28219.640624999989</v>
      </c>
      <c r="K11" s="44">
        <f t="shared" si="4"/>
        <v>3.4091580985035626E-2</v>
      </c>
      <c r="L11" s="44">
        <f t="shared" si="11"/>
        <v>8.5405275861996338E-2</v>
      </c>
      <c r="M11" s="4">
        <f t="shared" si="5"/>
        <v>30.40814575241312</v>
      </c>
      <c r="N11" s="29">
        <f t="shared" ref="N11:N43" si="19">0.25*$L11*K$7</f>
        <v>1.0427315426644129E-2</v>
      </c>
      <c r="O11" s="29">
        <f t="shared" si="12"/>
        <v>0.3170753272997805</v>
      </c>
      <c r="P11" s="29">
        <f t="shared" si="13"/>
        <v>13.762291209613636</v>
      </c>
      <c r="Q11" s="32">
        <f t="shared" si="14"/>
        <v>14.762291209613636</v>
      </c>
      <c r="R11" s="32">
        <f t="shared" si="15"/>
        <v>217.92524175743603</v>
      </c>
      <c r="S11" s="32">
        <f t="shared" si="16"/>
        <v>14.728382183981919</v>
      </c>
      <c r="T11" s="32">
        <f t="shared" si="17"/>
        <v>44.754173656769069</v>
      </c>
      <c r="U11" s="32">
        <f t="shared" si="18"/>
        <v>38922.696648574143</v>
      </c>
      <c r="V11" s="27"/>
      <c r="W11" s="27"/>
    </row>
    <row r="12" spans="1:26" s="3" customFormat="1" x14ac:dyDescent="0.25">
      <c r="A12" s="4">
        <f t="shared" ref="A12:A42" si="20">A11*SQRT(SQRT(10))</f>
        <v>1778279410038922.8</v>
      </c>
      <c r="B12" s="4">
        <f t="shared" si="6"/>
        <v>3.6590111317673313E-2</v>
      </c>
      <c r="C12" s="3">
        <f t="shared" si="0"/>
        <v>989.73341296127296</v>
      </c>
      <c r="D12" s="4">
        <f t="shared" si="1"/>
        <v>791.78673036901841</v>
      </c>
      <c r="E12" s="4">
        <f t="shared" si="7"/>
        <v>7.9354516389170335E-3</v>
      </c>
      <c r="F12" s="4">
        <f t="shared" si="2"/>
        <v>2641.1162430544482</v>
      </c>
      <c r="G12" s="4">
        <f t="shared" si="8"/>
        <v>2.3789885521710657E-3</v>
      </c>
      <c r="H12" s="4">
        <f t="shared" si="3"/>
        <v>387806.14607398928</v>
      </c>
      <c r="I12" s="4">
        <f t="shared" si="9"/>
        <v>167.5044077423394</v>
      </c>
      <c r="J12" s="4">
        <f t="shared" si="10"/>
        <v>15869.070105457906</v>
      </c>
      <c r="K12" s="44">
        <f t="shared" si="4"/>
        <v>4.5461853899876649E-2</v>
      </c>
      <c r="L12" s="44">
        <f t="shared" si="11"/>
        <v>0.11383826826082336</v>
      </c>
      <c r="M12" s="4">
        <f t="shared" si="5"/>
        <v>40.549914073189044</v>
      </c>
      <c r="N12" s="29">
        <f t="shared" si="19"/>
        <v>1.3898761157292156E-2</v>
      </c>
      <c r="O12" s="29">
        <f t="shared" si="12"/>
        <v>0.56359357065197446</v>
      </c>
      <c r="P12" s="29">
        <f t="shared" si="13"/>
        <v>13.756068316140338</v>
      </c>
      <c r="Q12" s="32">
        <f t="shared" si="14"/>
        <v>14.756068316140338</v>
      </c>
      <c r="R12" s="32">
        <f t="shared" si="15"/>
        <v>217.74155215060074</v>
      </c>
      <c r="S12" s="32">
        <f t="shared" si="16"/>
        <v>14.722144957532539</v>
      </c>
      <c r="T12" s="32">
        <f t="shared" si="17"/>
        <v>33.575081494006241</v>
      </c>
      <c r="U12" s="32">
        <f t="shared" si="18"/>
        <v>29175.572631352556</v>
      </c>
      <c r="V12" s="27"/>
      <c r="W12" s="27"/>
    </row>
    <row r="13" spans="1:26" s="3" customFormat="1" x14ac:dyDescent="0.25">
      <c r="A13" s="4">
        <f t="shared" si="20"/>
        <v>3162277660168379</v>
      </c>
      <c r="B13" s="4">
        <f t="shared" si="6"/>
        <v>6.5067441567250597E-2</v>
      </c>
      <c r="C13" s="3">
        <f t="shared" si="0"/>
        <v>742.19535516250676</v>
      </c>
      <c r="D13" s="4">
        <f t="shared" si="1"/>
        <v>593.75628413000538</v>
      </c>
      <c r="E13" s="4">
        <f t="shared" si="7"/>
        <v>1.058209483439144E-2</v>
      </c>
      <c r="F13" s="4">
        <f t="shared" si="2"/>
        <v>1980.5577768404212</v>
      </c>
      <c r="G13" s="4">
        <f t="shared" si="8"/>
        <v>3.1724322211913129E-3</v>
      </c>
      <c r="H13" s="4">
        <f t="shared" si="3"/>
        <v>163536.49580751528</v>
      </c>
      <c r="I13" s="4">
        <f t="shared" si="9"/>
        <v>125.61058540364287</v>
      </c>
      <c r="J13" s="4">
        <f t="shared" si="10"/>
        <v>8923.8339126417522</v>
      </c>
      <c r="K13" s="44">
        <f t="shared" si="4"/>
        <v>6.0624356521363318E-2</v>
      </c>
      <c r="L13" s="44">
        <f t="shared" si="11"/>
        <v>0.15168372735683405</v>
      </c>
      <c r="M13" s="4">
        <f t="shared" si="5"/>
        <v>54.074179488978785</v>
      </c>
      <c r="N13" s="29">
        <f t="shared" si="19"/>
        <v>1.8519395368437684E-2</v>
      </c>
      <c r="O13" s="29">
        <f t="shared" si="12"/>
        <v>1.0014211091802618</v>
      </c>
      <c r="P13" s="29">
        <f t="shared" si="13"/>
        <v>13.74500922287249</v>
      </c>
      <c r="Q13" s="32">
        <f t="shared" si="14"/>
        <v>14.74500922287249</v>
      </c>
      <c r="R13" s="32">
        <f t="shared" si="15"/>
        <v>217.41529698259478</v>
      </c>
      <c r="S13" s="32">
        <f t="shared" si="16"/>
        <v>14.711060362278268</v>
      </c>
      <c r="T13" s="32">
        <f t="shared" si="17"/>
        <v>25.196686646091173</v>
      </c>
      <c r="U13" s="32">
        <f t="shared" si="18"/>
        <v>21862.158027442478</v>
      </c>
      <c r="V13" s="27"/>
      <c r="W13" s="27"/>
    </row>
    <row r="14" spans="1:26" s="3" customFormat="1" x14ac:dyDescent="0.25">
      <c r="A14" s="4">
        <f t="shared" si="20"/>
        <v>5623413251903490</v>
      </c>
      <c r="B14" s="4">
        <f t="shared" si="6"/>
        <v>0.11570809160295248</v>
      </c>
      <c r="C14" s="3">
        <f t="shared" si="0"/>
        <v>556.56799902980924</v>
      </c>
      <c r="D14" s="4">
        <f t="shared" si="1"/>
        <v>445.25439922384743</v>
      </c>
      <c r="E14" s="4">
        <f t="shared" si="7"/>
        <v>1.4111450258845784E-2</v>
      </c>
      <c r="F14" s="4">
        <f t="shared" si="2"/>
        <v>1485.2088081009945</v>
      </c>
      <c r="G14" s="4">
        <f t="shared" si="8"/>
        <v>4.2305063590441141E-3</v>
      </c>
      <c r="H14" s="4">
        <f t="shared" si="3"/>
        <v>68962.768464992187</v>
      </c>
      <c r="I14" s="4">
        <f t="shared" si="9"/>
        <v>94.194650625051707</v>
      </c>
      <c r="J14" s="4">
        <f t="shared" si="10"/>
        <v>5018.2405882135408</v>
      </c>
      <c r="K14" s="44">
        <f t="shared" si="4"/>
        <v>8.0843878732348357E-2</v>
      </c>
      <c r="L14" s="44">
        <f t="shared" si="11"/>
        <v>0.20198441452049279</v>
      </c>
      <c r="M14" s="4">
        <f t="shared" si="5"/>
        <v>72.109077275199624</v>
      </c>
      <c r="N14" s="29">
        <f t="shared" si="19"/>
        <v>2.4660715397424461E-2</v>
      </c>
      <c r="O14" s="29">
        <f t="shared" si="12"/>
        <v>1.7782614322545858</v>
      </c>
      <c r="P14" s="29">
        <f t="shared" si="13"/>
        <v>13.725365023388139</v>
      </c>
      <c r="Q14" s="32">
        <f t="shared" si="14"/>
        <v>14.725365023388139</v>
      </c>
      <c r="R14" s="32">
        <f t="shared" si="15"/>
        <v>216.83637507202278</v>
      </c>
      <c r="S14" s="32">
        <f t="shared" si="16"/>
        <v>14.691370768993027</v>
      </c>
      <c r="T14" s="32">
        <f t="shared" si="17"/>
        <v>18.920114147198248</v>
      </c>
      <c r="U14" s="32">
        <f t="shared" si="18"/>
        <v>16372.413777954156</v>
      </c>
      <c r="V14" s="27"/>
      <c r="W14" s="27"/>
    </row>
    <row r="15" spans="1:26" s="3" customFormat="1" x14ac:dyDescent="0.25">
      <c r="A15" s="4">
        <f t="shared" si="20"/>
        <v>9999999999999998</v>
      </c>
      <c r="B15" s="4">
        <f t="shared" si="6"/>
        <v>0.20576131687242796</v>
      </c>
      <c r="C15" s="3">
        <f t="shared" si="0"/>
        <v>417.36711957220587</v>
      </c>
      <c r="D15" s="4">
        <f t="shared" si="1"/>
        <v>333.89369565776474</v>
      </c>
      <c r="E15" s="4">
        <f t="shared" si="7"/>
        <v>1.881792135907754E-2</v>
      </c>
      <c r="F15" s="4">
        <f t="shared" si="2"/>
        <v>1113.7494848444944</v>
      </c>
      <c r="G15" s="4">
        <f t="shared" si="8"/>
        <v>5.6414708986885559E-3</v>
      </c>
      <c r="H15" s="4">
        <f t="shared" si="3"/>
        <v>29081.358328442111</v>
      </c>
      <c r="I15" s="4">
        <f t="shared" si="9"/>
        <v>70.636023053820068</v>
      </c>
      <c r="J15" s="4">
        <f t="shared" si="10"/>
        <v>2821.9640624999993</v>
      </c>
      <c r="K15" s="44">
        <f t="shared" si="4"/>
        <v>0.10780704494879925</v>
      </c>
      <c r="L15" s="44">
        <f t="shared" si="11"/>
        <v>0.26866637335404531</v>
      </c>
      <c r="M15" s="4">
        <f t="shared" si="5"/>
        <v>96.158999999999992</v>
      </c>
      <c r="N15" s="29">
        <f t="shared" si="19"/>
        <v>3.2802060425657684E-2</v>
      </c>
      <c r="O15" s="29">
        <f t="shared" si="12"/>
        <v>3.1542133284708171</v>
      </c>
      <c r="P15" s="29">
        <f t="shared" si="13"/>
        <v>13.690501475890192</v>
      </c>
      <c r="Q15" s="32">
        <f t="shared" si="14"/>
        <v>14.690501475890192</v>
      </c>
      <c r="R15" s="32">
        <f t="shared" si="15"/>
        <v>215.81083361313193</v>
      </c>
      <c r="S15" s="32">
        <f t="shared" si="16"/>
        <v>14.656426358875207</v>
      </c>
      <c r="T15" s="32">
        <f t="shared" si="17"/>
        <v>14.221833437630476</v>
      </c>
      <c r="U15" s="32">
        <f t="shared" si="18"/>
        <v>12248.442738689428</v>
      </c>
      <c r="V15" s="27"/>
      <c r="W15" s="27"/>
    </row>
    <row r="16" spans="1:26" s="3" customFormat="1" x14ac:dyDescent="0.25">
      <c r="A16" s="4">
        <f t="shared" si="20"/>
        <v>1.7782794100389224E+16</v>
      </c>
      <c r="B16" s="4">
        <f t="shared" si="6"/>
        <v>0.36590111317673307</v>
      </c>
      <c r="C16" s="3">
        <f t="shared" si="0"/>
        <v>312.9811861329639</v>
      </c>
      <c r="D16" s="4">
        <f t="shared" si="1"/>
        <v>250.38494890637114</v>
      </c>
      <c r="E16" s="4">
        <f t="shared" si="7"/>
        <v>2.5094101441093884E-2</v>
      </c>
      <c r="F16" s="4">
        <f t="shared" si="2"/>
        <v>835.19428933189215</v>
      </c>
      <c r="G16" s="4">
        <f t="shared" si="8"/>
        <v>7.5230223523268776E-3</v>
      </c>
      <c r="H16" s="4">
        <f t="shared" si="3"/>
        <v>12263.507122057719</v>
      </c>
      <c r="I16" s="4">
        <f t="shared" si="9"/>
        <v>52.969544658333525</v>
      </c>
      <c r="J16" s="4">
        <f t="shared" si="10"/>
        <v>1586.9070105457909</v>
      </c>
      <c r="K16" s="44">
        <f t="shared" si="4"/>
        <v>0.14376300497741862</v>
      </c>
      <c r="L16" s="44">
        <f t="shared" si="11"/>
        <v>0.35665565960750006</v>
      </c>
      <c r="M16" s="4">
        <f t="shared" si="5"/>
        <v>128.23008739539307</v>
      </c>
      <c r="N16" s="29">
        <f t="shared" si="19"/>
        <v>4.3544863287305266E-2</v>
      </c>
      <c r="O16" s="29">
        <f t="shared" si="12"/>
        <v>5.5837616249515971</v>
      </c>
      <c r="P16" s="29">
        <f t="shared" si="13"/>
        <v>13.628722961658555</v>
      </c>
      <c r="Q16" s="32">
        <f t="shared" si="14"/>
        <v>14.628722961658555</v>
      </c>
      <c r="R16" s="32">
        <f t="shared" si="15"/>
        <v>213.99953548895624</v>
      </c>
      <c r="S16" s="32">
        <f t="shared" si="16"/>
        <v>14.594503605431608</v>
      </c>
      <c r="T16" s="32">
        <f t="shared" si="17"/>
        <v>10.710014700616243</v>
      </c>
      <c r="U16" s="32">
        <f t="shared" si="18"/>
        <v>9146.3201136002226</v>
      </c>
      <c r="V16" s="27"/>
      <c r="W16" s="27"/>
    </row>
    <row r="17" spans="1:23" s="27" customFormat="1" x14ac:dyDescent="0.25">
      <c r="A17" s="31">
        <v>3E+16</v>
      </c>
      <c r="B17" s="31">
        <f t="shared" si="6"/>
        <v>0.61728395061728403</v>
      </c>
      <c r="C17" s="27">
        <f t="shared" si="0"/>
        <v>240.96701883591174</v>
      </c>
      <c r="D17" s="31">
        <f t="shared" si="1"/>
        <v>192.77361506872941</v>
      </c>
      <c r="E17" s="31">
        <f t="shared" si="7"/>
        <v>3.2593595886757885E-2</v>
      </c>
      <c r="F17" s="31">
        <f t="shared" si="2"/>
        <v>643.02356488477574</v>
      </c>
      <c r="G17" s="31">
        <f t="shared" si="8"/>
        <v>9.7713142259498349E-3</v>
      </c>
      <c r="H17" s="31">
        <f t="shared" si="3"/>
        <v>5596.7100197753361</v>
      </c>
      <c r="I17" s="31">
        <f t="shared" si="9"/>
        <v>40.781726924607625</v>
      </c>
      <c r="J17" s="31">
        <f t="shared" si="10"/>
        <v>940.65468749999968</v>
      </c>
      <c r="K17" s="45">
        <f t="shared" si="4"/>
        <v>0.18672727926518204</v>
      </c>
      <c r="L17" s="45">
        <f t="shared" si="11"/>
        <v>0.45996672389004856</v>
      </c>
      <c r="M17" s="31">
        <f t="shared" si="5"/>
        <v>166.55227360501567</v>
      </c>
      <c r="N17" s="29">
        <f t="shared" si="19"/>
        <v>5.6158335270899654E-2</v>
      </c>
      <c r="O17" s="29">
        <f t="shared" si="12"/>
        <v>9.3532984212410817</v>
      </c>
      <c r="P17" s="29">
        <f t="shared" si="13"/>
        <v>13.532306633016324</v>
      </c>
      <c r="Q17" s="32">
        <f t="shared" si="14"/>
        <v>14.532306633016324</v>
      </c>
      <c r="R17" s="32">
        <f t="shared" si="15"/>
        <v>211.18793607601026</v>
      </c>
      <c r="S17" s="32">
        <f t="shared" si="16"/>
        <v>14.497859706729482</v>
      </c>
      <c r="T17" s="32">
        <f t="shared" si="17"/>
        <v>8.3005731354006898</v>
      </c>
      <c r="U17" s="32">
        <f t="shared" si="18"/>
        <v>6995.3126391991782</v>
      </c>
    </row>
    <row r="18" spans="1:23" s="47" customFormat="1" x14ac:dyDescent="0.25">
      <c r="A18" s="46">
        <v>9.5E+16</v>
      </c>
      <c r="B18" s="46">
        <f t="shared" si="6"/>
        <v>1.9547325102880659</v>
      </c>
      <c r="C18" s="47">
        <f t="shared" si="0"/>
        <v>135.41177454051225</v>
      </c>
      <c r="D18" s="48">
        <f t="shared" si="1"/>
        <v>108.32941963240981</v>
      </c>
      <c r="E18" s="46">
        <f t="shared" si="7"/>
        <v>5.8000728966333293E-2</v>
      </c>
      <c r="F18" s="46">
        <f t="shared" si="2"/>
        <v>361.34804843025705</v>
      </c>
      <c r="G18" s="46">
        <f t="shared" si="8"/>
        <v>1.7388181102608858E-2</v>
      </c>
      <c r="H18" s="46">
        <f t="shared" si="3"/>
        <v>993.18300556901363</v>
      </c>
      <c r="I18" s="46">
        <f t="shared" si="9"/>
        <v>22.917352085631993</v>
      </c>
      <c r="J18" s="46">
        <f t="shared" si="10"/>
        <v>297.04884868421044</v>
      </c>
      <c r="K18" s="49">
        <f t="shared" si="4"/>
        <v>0.33228362875054207</v>
      </c>
      <c r="L18" s="49">
        <f t="shared" si="11"/>
        <v>0.78817585870890183</v>
      </c>
      <c r="M18" s="46">
        <f t="shared" si="5"/>
        <v>296.38194305574689</v>
      </c>
      <c r="N18" s="48">
        <f t="shared" si="19"/>
        <v>9.6230100628723711E-2</v>
      </c>
      <c r="O18" s="48">
        <f t="shared" si="12"/>
        <v>28.520864204791184</v>
      </c>
      <c r="P18" s="48">
        <f t="shared" si="13"/>
        <v>13.030688690347542</v>
      </c>
      <c r="Q18" s="50">
        <f t="shared" si="14"/>
        <v>14.030688690347542</v>
      </c>
      <c r="R18" s="50">
        <f t="shared" si="15"/>
        <v>196.86022512544642</v>
      </c>
      <c r="S18" s="50">
        <f t="shared" si="16"/>
        <v>13.995007149889078</v>
      </c>
      <c r="T18" s="50">
        <f t="shared" si="17"/>
        <v>4.8317007118197006</v>
      </c>
      <c r="U18" s="50">
        <f t="shared" si="18"/>
        <v>3795.0092064590935</v>
      </c>
    </row>
    <row r="19" spans="1:23" s="52" customFormat="1" x14ac:dyDescent="0.25">
      <c r="A19" s="51">
        <v>1E+17</v>
      </c>
      <c r="B19" s="51">
        <f t="shared" si="6"/>
        <v>2.0576131687242798</v>
      </c>
      <c r="C19" s="52">
        <f t="shared" si="0"/>
        <v>131.98307183120113</v>
      </c>
      <c r="D19" s="51">
        <f t="shared" si="1"/>
        <v>105.58645746496092</v>
      </c>
      <c r="E19" s="51">
        <f t="shared" si="7"/>
        <v>5.9507492324616294E-2</v>
      </c>
      <c r="F19" s="51">
        <f t="shared" si="2"/>
        <v>352.19851149477859</v>
      </c>
      <c r="G19" s="51">
        <f t="shared" si="8"/>
        <v>1.7839897393412851E-2</v>
      </c>
      <c r="H19" s="51">
        <f>0.001*C19*C19*0.5*D19</f>
        <v>919.6332976938412</v>
      </c>
      <c r="I19" s="51">
        <f t="shared" si="9"/>
        <v>22.337071770623382</v>
      </c>
      <c r="J19" s="51">
        <f t="shared" si="10"/>
        <v>282.19640624999988</v>
      </c>
      <c r="K19" s="53">
        <f t="shared" si="4"/>
        <v>0.34091580985035624</v>
      </c>
      <c r="L19" s="53">
        <f t="shared" si="11"/>
        <v>0.80630516975172295</v>
      </c>
      <c r="M19" s="51">
        <f t="shared" si="5"/>
        <v>304.08145752413122</v>
      </c>
      <c r="N19" s="54">
        <f t="shared" si="19"/>
        <v>9.8443547547585039E-2</v>
      </c>
      <c r="O19" s="54">
        <f t="shared" si="12"/>
        <v>29.934857422115773</v>
      </c>
      <c r="P19" s="54">
        <f t="shared" si="13"/>
        <v>12.99288180729118</v>
      </c>
      <c r="Q19" s="55">
        <f t="shared" si="14"/>
        <v>13.99288180729118</v>
      </c>
      <c r="R19" s="55">
        <f t="shared" si="15"/>
        <v>195.80074127282049</v>
      </c>
      <c r="S19" s="55">
        <f t="shared" si="16"/>
        <v>13.957103613315352</v>
      </c>
      <c r="T19" s="55">
        <f t="shared" si="17"/>
        <v>4.7221159455023454</v>
      </c>
      <c r="U19" s="55">
        <f t="shared" si="18"/>
        <v>3688.9249334489359</v>
      </c>
    </row>
    <row r="20" spans="1:23" s="57" customFormat="1" x14ac:dyDescent="0.25">
      <c r="A20" s="56">
        <v>2E+17</v>
      </c>
      <c r="B20" s="56">
        <f t="shared" si="6"/>
        <v>4.1152263374485596</v>
      </c>
      <c r="C20" s="57">
        <f t="shared" si="0"/>
        <v>93.326125093673525</v>
      </c>
      <c r="D20" s="56">
        <f t="shared" si="1"/>
        <v>74.660900074938823</v>
      </c>
      <c r="E20" s="56">
        <f t="shared" si="7"/>
        <v>8.4156302708285224E-2</v>
      </c>
      <c r="F20" s="56">
        <f t="shared" si="2"/>
        <v>249.04195580176614</v>
      </c>
      <c r="G20" s="56">
        <f t="shared" si="8"/>
        <v>2.5229424845108879E-2</v>
      </c>
      <c r="H20" s="56">
        <f t="shared" si="3"/>
        <v>325.13947050213102</v>
      </c>
      <c r="I20" s="56">
        <f t="shared" si="9"/>
        <v>15.794694920858394</v>
      </c>
      <c r="J20" s="56">
        <f t="shared" si="10"/>
        <v>141.09820312499994</v>
      </c>
      <c r="K20" s="58">
        <f t="shared" si="4"/>
        <v>0.48212776191778101</v>
      </c>
      <c r="L20" s="58">
        <f t="shared" si="11"/>
        <v>1.0759121462749592</v>
      </c>
      <c r="M20" s="56">
        <f t="shared" si="5"/>
        <v>430.03612129680454</v>
      </c>
      <c r="N20" s="59">
        <f t="shared" si="19"/>
        <v>0.13136044825491694</v>
      </c>
      <c r="O20" s="59">
        <f t="shared" si="12"/>
        <v>56.489737659354077</v>
      </c>
      <c r="P20" s="59">
        <f t="shared" si="13"/>
        <v>12.259361626199407</v>
      </c>
      <c r="Q20" s="5">
        <f t="shared" si="14"/>
        <v>13.259361626199407</v>
      </c>
      <c r="R20" s="5">
        <f t="shared" si="15"/>
        <v>175.81067073432939</v>
      </c>
      <c r="S20" s="5">
        <f t="shared" si="16"/>
        <v>13.221598645183924</v>
      </c>
      <c r="T20" s="5">
        <f t="shared" si="17"/>
        <v>3.5242726901609776</v>
      </c>
      <c r="U20" s="5">
        <f t="shared" si="18"/>
        <v>2471.3654108877195</v>
      </c>
    </row>
    <row r="21" spans="1:23" s="27" customFormat="1" x14ac:dyDescent="0.25">
      <c r="A21" s="31">
        <v>3E+17</v>
      </c>
      <c r="B21" s="31">
        <f t="shared" ref="B21" si="21">0.00000000000000001*A21/0.486</f>
        <v>6.1728395061728394</v>
      </c>
      <c r="C21" s="27">
        <f t="shared" ref="C21" si="22">SQRT($B$2/A21)</f>
        <v>76.200462050217681</v>
      </c>
      <c r="D21" s="31">
        <f t="shared" ref="D21" si="23">$B$1*SQRT($B$2/A21)</f>
        <v>60.96036964017415</v>
      </c>
      <c r="E21" s="31">
        <f t="shared" ref="E21" si="24">2*PI()/D21</f>
        <v>0.10307000013725043</v>
      </c>
      <c r="F21" s="31">
        <f t="shared" ref="F21" si="25">D21*1000000000/B$5</f>
        <v>203.34190541969588</v>
      </c>
      <c r="G21" s="31">
        <f t="shared" ref="G21" si="26">2*PI()/F21</f>
        <v>3.0899608687206644E-2</v>
      </c>
      <c r="H21" s="31">
        <f t="shared" ref="H21" si="27">0.001*0.5*$B$1*(C21)^3</f>
        <v>176.98351065976075</v>
      </c>
      <c r="I21" s="31">
        <f t="shared" ref="I21" si="28">0.0005*D21*$E$6^2</f>
        <v>12.896314399677399</v>
      </c>
      <c r="J21" s="31">
        <f t="shared" si="10"/>
        <v>94.065468749999965</v>
      </c>
      <c r="K21" s="45">
        <f t="shared" ref="K21" si="29">PI()*$B$6/D21</f>
        <v>0.59048350376430736</v>
      </c>
      <c r="L21" s="45">
        <f t="shared" ref="L21" si="30">SQRT(2*PI())*K21*EXP(-0.5*K21*K21)</f>
        <v>1.2433254062710148</v>
      </c>
      <c r="M21" s="31">
        <f t="shared" ref="M21" si="31">961.59*SQRT(0.000000000000000001*A21)</f>
        <v>526.68453407139282</v>
      </c>
      <c r="N21" s="29">
        <f t="shared" ref="N21" si="32">0.25*$L21*K$7</f>
        <v>0.15180029639032289</v>
      </c>
      <c r="O21" s="29">
        <f t="shared" ref="O21" si="33">N21*M21</f>
        <v>79.950868376236542</v>
      </c>
      <c r="P21" s="29">
        <f t="shared" ref="P21" si="34">N21*$C21</f>
        <v>11.567252724302595</v>
      </c>
      <c r="Q21" s="32">
        <f t="shared" ref="Q21" si="35">1+P21</f>
        <v>12.567252724302595</v>
      </c>
      <c r="R21" s="32">
        <f t="shared" ref="R21" si="36">Q21^2</f>
        <v>157.93584103649098</v>
      </c>
      <c r="S21" s="32">
        <f t="shared" ref="S21" si="37">SQRT(R21-1)</f>
        <v>12.527403603160991</v>
      </c>
      <c r="T21" s="32">
        <f t="shared" ref="T21" si="38">(Q21-S21) * $C21</f>
        <v>3.0365214432852969</v>
      </c>
      <c r="U21" s="32">
        <f t="shared" ref="U21" si="39">(Q21+S21) * $C21</f>
        <v>1912.2244071441439</v>
      </c>
    </row>
    <row r="22" spans="1:23" s="47" customFormat="1" x14ac:dyDescent="0.25">
      <c r="A22" s="46">
        <v>4E+17</v>
      </c>
      <c r="B22" s="46">
        <f t="shared" si="6"/>
        <v>8.2304526748971192</v>
      </c>
      <c r="C22" s="47">
        <f t="shared" si="0"/>
        <v>65.991535915600565</v>
      </c>
      <c r="D22" s="46">
        <f t="shared" si="1"/>
        <v>52.793228732480458</v>
      </c>
      <c r="E22" s="46">
        <f t="shared" si="7"/>
        <v>0.11901498464923259</v>
      </c>
      <c r="F22" s="46">
        <f t="shared" si="2"/>
        <v>176.09925574738929</v>
      </c>
      <c r="G22" s="46">
        <f t="shared" si="8"/>
        <v>3.5679794786825703E-2</v>
      </c>
      <c r="H22" s="46">
        <f t="shared" si="3"/>
        <v>114.95416221173012</v>
      </c>
      <c r="I22" s="46">
        <f t="shared" si="9"/>
        <v>11.168535885311691</v>
      </c>
      <c r="J22" s="46">
        <f t="shared" si="10"/>
        <v>70.54910156249997</v>
      </c>
      <c r="K22" s="49">
        <f t="shared" si="4"/>
        <v>0.68183161970071249</v>
      </c>
      <c r="L22" s="49">
        <f t="shared" si="11"/>
        <v>1.3546170721831434</v>
      </c>
      <c r="M22" s="46">
        <f t="shared" si="5"/>
        <v>608.16291504826245</v>
      </c>
      <c r="N22" s="48">
        <f t="shared" si="19"/>
        <v>0.16538813734171368</v>
      </c>
      <c r="O22" s="48">
        <f t="shared" si="12"/>
        <v>100.58293172013897</v>
      </c>
      <c r="P22" s="48">
        <f t="shared" si="13"/>
        <v>10.914217205399977</v>
      </c>
      <c r="Q22" s="50">
        <f t="shared" si="14"/>
        <v>11.914217205399977</v>
      </c>
      <c r="R22" s="50">
        <f t="shared" si="15"/>
        <v>141.94857161744883</v>
      </c>
      <c r="S22" s="50">
        <f t="shared" si="16"/>
        <v>11.872176363980145</v>
      </c>
      <c r="T22" s="50">
        <f t="shared" si="17"/>
        <v>2.7743396964788891</v>
      </c>
      <c r="U22" s="50">
        <f t="shared" si="18"/>
        <v>1569.7006455363587</v>
      </c>
    </row>
    <row r="23" spans="1:23" s="3" customFormat="1" x14ac:dyDescent="0.25">
      <c r="A23" s="4">
        <v>5E+17</v>
      </c>
      <c r="B23" s="4">
        <f t="shared" si="6"/>
        <v>10.2880658436214</v>
      </c>
      <c r="C23" s="3">
        <f t="shared" si="0"/>
        <v>59.024624098760675</v>
      </c>
      <c r="D23" s="4">
        <f t="shared" si="1"/>
        <v>47.219699279008545</v>
      </c>
      <c r="E23" s="4">
        <f t="shared" si="7"/>
        <v>0.13306279800838902</v>
      </c>
      <c r="F23" s="4">
        <f t="shared" si="2"/>
        <v>157.50796265531318</v>
      </c>
      <c r="G23" s="4">
        <f t="shared" si="8"/>
        <v>3.9891223283292448E-2</v>
      </c>
      <c r="H23" s="4">
        <f t="shared" si="3"/>
        <v>82.254502720629176</v>
      </c>
      <c r="I23" s="4">
        <f t="shared" si="9"/>
        <v>9.9894421794810935</v>
      </c>
      <c r="J23" s="4">
        <f t="shared" si="10"/>
        <v>56.439281249999979</v>
      </c>
      <c r="K23" s="44">
        <f t="shared" si="4"/>
        <v>0.76231092542978895</v>
      </c>
      <c r="L23" s="44">
        <f t="shared" si="11"/>
        <v>1.4290055628838909</v>
      </c>
      <c r="M23" s="4">
        <f t="shared" si="5"/>
        <v>679.94680972117226</v>
      </c>
      <c r="N23" s="29">
        <f t="shared" si="19"/>
        <v>0.17447038956582758</v>
      </c>
      <c r="O23" s="29">
        <f t="shared" si="12"/>
        <v>118.63058477609457</v>
      </c>
      <c r="P23" s="29">
        <f t="shared" si="13"/>
        <v>10.298049160487309</v>
      </c>
      <c r="Q23" s="32">
        <f t="shared" si="14"/>
        <v>11.298049160487309</v>
      </c>
      <c r="R23" s="32">
        <f t="shared" si="15"/>
        <v>127.64591483278799</v>
      </c>
      <c r="S23" s="32">
        <f t="shared" si="16"/>
        <v>11.25370671524667</v>
      </c>
      <c r="T23" s="32">
        <f t="shared" si="17"/>
        <v>2.6172961619486168</v>
      </c>
      <c r="U23" s="32">
        <f t="shared" si="18"/>
        <v>1331.1089133322157</v>
      </c>
      <c r="V23" s="27"/>
      <c r="W23" s="27"/>
    </row>
    <row r="24" spans="1:23" s="61" customFormat="1" x14ac:dyDescent="0.25">
      <c r="A24" s="60">
        <v>8E+17</v>
      </c>
      <c r="B24" s="60">
        <f t="shared" si="6"/>
        <v>16.460905349794238</v>
      </c>
      <c r="C24" s="61">
        <f t="shared" si="0"/>
        <v>46.663062546836763</v>
      </c>
      <c r="D24" s="60">
        <f t="shared" si="1"/>
        <v>37.330450037469411</v>
      </c>
      <c r="E24" s="60">
        <f t="shared" si="7"/>
        <v>0.16831260541657045</v>
      </c>
      <c r="F24" s="60">
        <f t="shared" si="2"/>
        <v>124.52097790088307</v>
      </c>
      <c r="G24" s="60">
        <f t="shared" si="8"/>
        <v>5.0458849690217758E-2</v>
      </c>
      <c r="H24" s="60">
        <f t="shared" si="3"/>
        <v>40.642433812766377</v>
      </c>
      <c r="I24" s="60">
        <f t="shared" si="9"/>
        <v>7.8973474604291969</v>
      </c>
      <c r="J24" s="60">
        <f t="shared" si="10"/>
        <v>35.274550781249985</v>
      </c>
      <c r="K24" s="62">
        <f t="shared" si="4"/>
        <v>0.96425552383556201</v>
      </c>
      <c r="L24" s="62">
        <f t="shared" si="11"/>
        <v>1.5183818908063447</v>
      </c>
      <c r="M24" s="60">
        <f t="shared" si="5"/>
        <v>860.07224259360908</v>
      </c>
      <c r="N24" s="63">
        <f t="shared" si="19"/>
        <v>0.18538253935419105</v>
      </c>
      <c r="O24" s="63">
        <f t="shared" si="12"/>
        <v>159.4423763600571</v>
      </c>
      <c r="P24" s="63">
        <f t="shared" si="13"/>
        <v>8.6505170289760454</v>
      </c>
      <c r="Q24" s="64">
        <f t="shared" si="14"/>
        <v>9.6505170289760454</v>
      </c>
      <c r="R24" s="64">
        <f t="shared" si="15"/>
        <v>93.132478926556644</v>
      </c>
      <c r="S24" s="64">
        <f t="shared" si="16"/>
        <v>9.5985665037315151</v>
      </c>
      <c r="T24" s="64">
        <f t="shared" si="17"/>
        <v>2.4241706088265373</v>
      </c>
      <c r="U24" s="64">
        <f t="shared" si="18"/>
        <v>898.22118885601833</v>
      </c>
    </row>
    <row r="25" spans="1:23" s="3" customFormat="1" x14ac:dyDescent="0.25">
      <c r="A25" s="4">
        <v>1E+18</v>
      </c>
      <c r="B25" s="4">
        <f t="shared" si="6"/>
        <v>20.5761316872428</v>
      </c>
      <c r="C25" s="3">
        <f t="shared" si="0"/>
        <v>41.736711957220585</v>
      </c>
      <c r="D25" s="4">
        <f t="shared" si="1"/>
        <v>33.38936956577647</v>
      </c>
      <c r="E25" s="4">
        <f t="shared" si="7"/>
        <v>0.18817921359077541</v>
      </c>
      <c r="F25" s="4">
        <f t="shared" si="2"/>
        <v>111.37494848444943</v>
      </c>
      <c r="G25" s="4">
        <f t="shared" si="8"/>
        <v>5.6414708986885567E-2</v>
      </c>
      <c r="H25" s="4">
        <f t="shared" si="3"/>
        <v>29.081358328442104</v>
      </c>
      <c r="I25" s="4">
        <f t="shared" si="9"/>
        <v>7.0636023053820063</v>
      </c>
      <c r="J25" s="4">
        <f t="shared" si="10"/>
        <v>28.21964062499999</v>
      </c>
      <c r="K25" s="44">
        <f t="shared" si="4"/>
        <v>1.0780704494879927</v>
      </c>
      <c r="L25" s="44">
        <f t="shared" si="11"/>
        <v>1.5113350640209999</v>
      </c>
      <c r="M25" s="4">
        <f t="shared" si="5"/>
        <v>961.59</v>
      </c>
      <c r="N25" s="29">
        <f t="shared" si="19"/>
        <v>0.18452217698306017</v>
      </c>
      <c r="O25" s="29">
        <f t="shared" si="12"/>
        <v>177.43468016514083</v>
      </c>
      <c r="P25" s="29">
        <f t="shared" si="13"/>
        <v>7.7013489504612602</v>
      </c>
      <c r="Q25" s="32">
        <f t="shared" si="14"/>
        <v>8.7013489504612593</v>
      </c>
      <c r="R25" s="32">
        <f t="shared" si="15"/>
        <v>75.713473557693263</v>
      </c>
      <c r="S25" s="32">
        <f t="shared" si="16"/>
        <v>8.6436955960800272</v>
      </c>
      <c r="T25" s="32">
        <f t="shared" si="17"/>
        <v>2.4062614451770452</v>
      </c>
      <c r="U25" s="32">
        <f t="shared" si="18"/>
        <v>723.9251281241535</v>
      </c>
      <c r="V25" s="27"/>
      <c r="W25" s="27"/>
    </row>
    <row r="26" spans="1:23" s="3" customFormat="1" x14ac:dyDescent="0.25">
      <c r="A26" s="4">
        <v>2E+18</v>
      </c>
      <c r="B26" s="4">
        <f t="shared" si="6"/>
        <v>41.152263374485599</v>
      </c>
      <c r="C26" s="3">
        <f t="shared" si="0"/>
        <v>29.512312049380338</v>
      </c>
      <c r="D26" s="4">
        <f t="shared" si="1"/>
        <v>23.609849639504272</v>
      </c>
      <c r="E26" s="4">
        <f t="shared" si="7"/>
        <v>0.26612559601677804</v>
      </c>
      <c r="F26" s="4">
        <f t="shared" si="2"/>
        <v>78.753981327656589</v>
      </c>
      <c r="G26" s="4">
        <f t="shared" si="8"/>
        <v>7.9782446566584897E-2</v>
      </c>
      <c r="H26" s="4">
        <f t="shared" si="3"/>
        <v>10.281812840078647</v>
      </c>
      <c r="I26" s="4">
        <f t="shared" si="9"/>
        <v>4.9947210897405467</v>
      </c>
      <c r="J26" s="4">
        <f t="shared" si="10"/>
        <v>14.109820312499995</v>
      </c>
      <c r="K26" s="44">
        <f t="shared" si="4"/>
        <v>1.5246218508595779</v>
      </c>
      <c r="L26" s="44">
        <f t="shared" si="11"/>
        <v>1.1953619801886133</v>
      </c>
      <c r="M26" s="4">
        <f t="shared" si="5"/>
        <v>1359.8936194423445</v>
      </c>
      <c r="N26" s="29">
        <f t="shared" si="19"/>
        <v>0.14594433763770581</v>
      </c>
      <c r="O26" s="29">
        <f t="shared" si="12"/>
        <v>198.46877354725535</v>
      </c>
      <c r="P26" s="29">
        <f t="shared" si="13"/>
        <v>4.3071548342040975</v>
      </c>
      <c r="Q26" s="32">
        <f t="shared" si="14"/>
        <v>5.3071548342040975</v>
      </c>
      <c r="R26" s="32">
        <f t="shared" si="15"/>
        <v>28.165892434215923</v>
      </c>
      <c r="S26" s="32">
        <f t="shared" si="16"/>
        <v>5.2120909848366921</v>
      </c>
      <c r="T26" s="32">
        <f t="shared" si="17"/>
        <v>2.8055539871461561</v>
      </c>
      <c r="U26" s="32">
        <f t="shared" si="18"/>
        <v>310.44726513567127</v>
      </c>
      <c r="V26" s="27"/>
      <c r="W26" s="27"/>
    </row>
    <row r="27" spans="1:23" s="3" customFormat="1" x14ac:dyDescent="0.25">
      <c r="A27" s="4">
        <v>4.16E+18</v>
      </c>
      <c r="B27" s="4">
        <f t="shared" si="6"/>
        <v>85.596707818930042</v>
      </c>
      <c r="C27" s="3">
        <f t="shared" si="0"/>
        <v>20.463106606064333</v>
      </c>
      <c r="D27" s="4">
        <f t="shared" si="1"/>
        <v>16.370485284851465</v>
      </c>
      <c r="E27" s="4">
        <f t="shared" si="7"/>
        <v>0.38381179286076339</v>
      </c>
      <c r="F27" s="4">
        <f t="shared" si="2"/>
        <v>54.606061119961417</v>
      </c>
      <c r="G27" s="4">
        <f t="shared" si="8"/>
        <v>0.11506388079111511</v>
      </c>
      <c r="H27" s="4">
        <f t="shared" si="3"/>
        <v>3.4274781249655675</v>
      </c>
      <c r="I27" s="4">
        <f t="shared" si="9"/>
        <v>3.4632159607117141</v>
      </c>
      <c r="J27" s="4">
        <f t="shared" si="10"/>
        <v>6.7835674579326897</v>
      </c>
      <c r="K27" s="44">
        <f t="shared" si="4"/>
        <v>2.1988409035868082</v>
      </c>
      <c r="L27" s="44">
        <f t="shared" si="11"/>
        <v>0.49135825831309571</v>
      </c>
      <c r="M27" s="4">
        <f t="shared" si="5"/>
        <v>1961.2664696302745</v>
      </c>
      <c r="N27" s="29">
        <f t="shared" si="19"/>
        <v>5.9990995816184833E-2</v>
      </c>
      <c r="O27" s="29">
        <f t="shared" si="12"/>
        <v>117.6583285740134</v>
      </c>
      <c r="P27" s="29">
        <f t="shared" si="13"/>
        <v>1.2276021427905497</v>
      </c>
      <c r="Q27" s="32">
        <f t="shared" si="14"/>
        <v>2.2276021427905497</v>
      </c>
      <c r="R27" s="32">
        <f t="shared" si="15"/>
        <v>4.9622113065650488</v>
      </c>
      <c r="S27" s="32">
        <f t="shared" si="16"/>
        <v>1.9905304083497566</v>
      </c>
      <c r="T27" s="32">
        <f t="shared" si="17"/>
        <v>4.8512241751465224</v>
      </c>
      <c r="U27" s="32">
        <f t="shared" si="18"/>
        <v>86.316096072494204</v>
      </c>
      <c r="V27" s="27"/>
      <c r="W27" s="27"/>
    </row>
    <row r="28" spans="1:23" s="67" customFormat="1" x14ac:dyDescent="0.25">
      <c r="A28" s="66">
        <v>8.3E+18</v>
      </c>
      <c r="B28" s="66">
        <f t="shared" si="6"/>
        <v>170.78189300411523</v>
      </c>
      <c r="C28" s="67">
        <f t="shared" si="0"/>
        <v>14.487024210717935</v>
      </c>
      <c r="D28" s="66">
        <f t="shared" si="1"/>
        <v>11.589619368574349</v>
      </c>
      <c r="E28" s="66">
        <f t="shared" si="7"/>
        <v>0.54213905628485604</v>
      </c>
      <c r="F28" s="66">
        <f t="shared" si="2"/>
        <v>38.658808983694811</v>
      </c>
      <c r="G28" s="66">
        <f t="shared" si="8"/>
        <v>0.16252920026143733</v>
      </c>
      <c r="H28" s="66">
        <f t="shared" si="3"/>
        <v>1.2161791371475064</v>
      </c>
      <c r="I28" s="66">
        <f t="shared" si="9"/>
        <v>2.4518121532390773</v>
      </c>
      <c r="J28" s="66">
        <f t="shared" si="10"/>
        <v>3.3999567018072274</v>
      </c>
      <c r="K28" s="68">
        <f t="shared" si="4"/>
        <v>3.1058908417218589</v>
      </c>
      <c r="L28" s="68">
        <f t="shared" si="11"/>
        <v>6.2596879687952328E-2</v>
      </c>
      <c r="M28" s="66">
        <f t="shared" si="5"/>
        <v>2770.3139214229855</v>
      </c>
      <c r="N28" s="69">
        <f t="shared" si="19"/>
        <v>7.642588852293822E-3</v>
      </c>
      <c r="O28" s="69">
        <f t="shared" si="12"/>
        <v>21.172370293221693</v>
      </c>
      <c r="P28" s="69">
        <f t="shared" si="13"/>
        <v>0.1107183697357436</v>
      </c>
      <c r="Q28" s="70">
        <f t="shared" si="14"/>
        <v>1.1107183697357437</v>
      </c>
      <c r="R28" s="70">
        <f t="shared" si="15"/>
        <v>1.2336952968684283</v>
      </c>
      <c r="S28" s="70">
        <f t="shared" si="16"/>
        <v>0.483420414203236</v>
      </c>
      <c r="T28" s="70">
        <f t="shared" si="17"/>
        <v>9.0876806691333023</v>
      </c>
      <c r="U28" s="70">
        <f t="shared" si="18"/>
        <v>23.094327158168444</v>
      </c>
    </row>
    <row r="29" spans="1:23" s="3" customFormat="1" x14ac:dyDescent="0.25">
      <c r="A29" s="4">
        <v>1.4E+19</v>
      </c>
      <c r="B29" s="4">
        <f t="shared" si="6"/>
        <v>288.06584362139921</v>
      </c>
      <c r="C29" s="3">
        <f t="shared" si="0"/>
        <v>11.154605471027905</v>
      </c>
      <c r="D29" s="4">
        <f t="shared" si="1"/>
        <v>8.9236843768223242</v>
      </c>
      <c r="E29" s="4">
        <f t="shared" si="7"/>
        <v>0.70410214456923614</v>
      </c>
      <c r="F29" s="4">
        <f t="shared" si="2"/>
        <v>29.766207049886241</v>
      </c>
      <c r="G29" s="4">
        <f t="shared" si="8"/>
        <v>0.21108451260348265</v>
      </c>
      <c r="H29" s="4">
        <f t="shared" si="3"/>
        <v>0.55516571023997574</v>
      </c>
      <c r="I29" s="4">
        <f t="shared" si="9"/>
        <v>1.8878271245118587</v>
      </c>
      <c r="J29" s="4">
        <f t="shared" si="10"/>
        <v>2.015688616071428</v>
      </c>
      <c r="K29" s="44">
        <f t="shared" si="4"/>
        <v>4.0337702607894519</v>
      </c>
      <c r="L29" s="44">
        <f t="shared" si="11"/>
        <v>2.9616425825575001E-3</v>
      </c>
      <c r="M29" s="4">
        <f t="shared" si="5"/>
        <v>3597.940326547955</v>
      </c>
      <c r="N29" s="29">
        <f t="shared" si="19"/>
        <v>3.6159336853157863E-4</v>
      </c>
      <c r="O29" s="29">
        <f t="shared" si="12"/>
        <v>1.300991362452083</v>
      </c>
      <c r="P29" s="29">
        <f t="shared" si="13"/>
        <v>4.0334313669097566E-3</v>
      </c>
      <c r="Q29" s="32">
        <f t="shared" si="14"/>
        <v>1.0040334313669097</v>
      </c>
      <c r="R29" s="32">
        <f t="shared" si="15"/>
        <v>1.008083131302411</v>
      </c>
      <c r="S29" s="32">
        <f t="shared" si="16"/>
        <v>8.990623617086306E-2</v>
      </c>
      <c r="T29" s="32">
        <f t="shared" si="17"/>
        <v>10.196728212749216</v>
      </c>
      <c r="U29" s="32">
        <f t="shared" si="18"/>
        <v>12.202465400491288</v>
      </c>
      <c r="V29" s="27"/>
      <c r="W29" s="27"/>
    </row>
    <row r="30" spans="1:23" s="3" customFormat="1" x14ac:dyDescent="0.25">
      <c r="A30" s="4">
        <f t="shared" si="20"/>
        <v>2.4895911740544918E+19</v>
      </c>
      <c r="B30" s="4">
        <f t="shared" si="6"/>
        <v>512.26155844742641</v>
      </c>
      <c r="C30" s="3">
        <f t="shared" si="0"/>
        <v>8.3647740501119578</v>
      </c>
      <c r="D30" s="4">
        <f t="shared" si="1"/>
        <v>6.6918192400895666</v>
      </c>
      <c r="E30" s="4">
        <f t="shared" si="7"/>
        <v>0.93893530021523552</v>
      </c>
      <c r="F30" s="4">
        <f t="shared" si="2"/>
        <v>22.321506300500616</v>
      </c>
      <c r="G30" s="4">
        <f t="shared" si="8"/>
        <v>0.28148572155449342</v>
      </c>
      <c r="H30" s="4">
        <f t="shared" si="3"/>
        <v>0.23411143883164329</v>
      </c>
      <c r="I30" s="4">
        <f t="shared" si="9"/>
        <v>1.4156706288921843</v>
      </c>
      <c r="J30" s="4">
        <f t="shared" si="10"/>
        <v>1.1335050075327076</v>
      </c>
      <c r="K30" s="44">
        <f t="shared" si="4"/>
        <v>5.3791190951857741</v>
      </c>
      <c r="L30" s="44">
        <f t="shared" si="11"/>
        <v>7.0252625970618216E-6</v>
      </c>
      <c r="M30" s="4">
        <f t="shared" si="5"/>
        <v>4797.9305370964057</v>
      </c>
      <c r="N30" s="29">
        <f t="shared" si="19"/>
        <v>8.5772955259741266E-7</v>
      </c>
      <c r="O30" s="29">
        <f t="shared" si="12"/>
        <v>4.1153268129771638E-3</v>
      </c>
      <c r="P30" s="29">
        <f t="shared" si="13"/>
        <v>7.1747139035809768E-6</v>
      </c>
      <c r="Q30" s="32">
        <f t="shared" si="14"/>
        <v>1.0000071747139037</v>
      </c>
      <c r="R30" s="32">
        <f t="shared" si="15"/>
        <v>1.0000143494792839</v>
      </c>
      <c r="S30" s="32">
        <f t="shared" si="16"/>
        <v>3.7880706545568741E-3</v>
      </c>
      <c r="T30" s="32">
        <f t="shared" si="17"/>
        <v>8.3331477098614073</v>
      </c>
      <c r="U30" s="32">
        <f t="shared" si="18"/>
        <v>8.3965204200838635</v>
      </c>
      <c r="V30" s="27"/>
      <c r="W30" s="27"/>
    </row>
    <row r="31" spans="1:23" s="3" customFormat="1" x14ac:dyDescent="0.25">
      <c r="A31" s="4">
        <f t="shared" si="20"/>
        <v>4.4271887242357309E+19</v>
      </c>
      <c r="B31" s="4">
        <f t="shared" si="6"/>
        <v>910.94418194150853</v>
      </c>
      <c r="C31" s="3">
        <f t="shared" si="0"/>
        <v>6.2726956225533499</v>
      </c>
      <c r="D31" s="4">
        <f t="shared" si="1"/>
        <v>5.0181564980426803</v>
      </c>
      <c r="E31" s="4">
        <f t="shared" si="7"/>
        <v>1.2520903462517217</v>
      </c>
      <c r="F31" s="4">
        <f t="shared" si="2"/>
        <v>16.738768318323341</v>
      </c>
      <c r="G31" s="4">
        <f t="shared" si="8"/>
        <v>0.37536724254087467</v>
      </c>
      <c r="H31" s="4">
        <f t="shared" si="3"/>
        <v>9.8723975167938349E-2</v>
      </c>
      <c r="I31" s="4">
        <f t="shared" si="9"/>
        <v>1.0616032069282848</v>
      </c>
      <c r="J31" s="4">
        <f t="shared" si="10"/>
        <v>0.63741670804583939</v>
      </c>
      <c r="K31" s="44">
        <f t="shared" si="4"/>
        <v>7.1731705995892181</v>
      </c>
      <c r="L31" s="44">
        <f t="shared" si="11"/>
        <v>1.2067719662096361E-10</v>
      </c>
      <c r="M31" s="4">
        <f t="shared" si="5"/>
        <v>6398.1432012489458</v>
      </c>
      <c r="N31" s="29">
        <f t="shared" si="19"/>
        <v>1.4733740758630072E-11</v>
      </c>
      <c r="O31" s="29">
        <f t="shared" si="12"/>
        <v>9.4268583263793487E-8</v>
      </c>
      <c r="P31" s="29">
        <f t="shared" si="13"/>
        <v>9.2420271160494724E-11</v>
      </c>
      <c r="Q31" s="32">
        <f t="shared" si="14"/>
        <v>1.0000000000924203</v>
      </c>
      <c r="R31" s="32">
        <f t="shared" si="15"/>
        <v>1.0000000001848406</v>
      </c>
      <c r="S31" s="32">
        <f t="shared" si="16"/>
        <v>1.3595609117675914E-5</v>
      </c>
      <c r="T31" s="32">
        <f t="shared" si="17"/>
        <v>6.2726103420152759</v>
      </c>
      <c r="U31" s="32">
        <f t="shared" si="18"/>
        <v>6.2727809042508724</v>
      </c>
      <c r="V31" s="27"/>
      <c r="W31" s="27"/>
    </row>
    <row r="32" spans="1:23" s="3" customFormat="1" x14ac:dyDescent="0.25">
      <c r="A32" s="4">
        <f t="shared" si="20"/>
        <v>7.8727785526648865E+19</v>
      </c>
      <c r="B32" s="4">
        <f t="shared" si="6"/>
        <v>1619.9132824413348</v>
      </c>
      <c r="C32" s="3">
        <f t="shared" si="0"/>
        <v>4.7038581242578017</v>
      </c>
      <c r="D32" s="4">
        <f t="shared" si="1"/>
        <v>3.7630864994062416</v>
      </c>
      <c r="E32" s="4">
        <f t="shared" si="7"/>
        <v>1.6696893117314677</v>
      </c>
      <c r="F32" s="4">
        <f t="shared" si="2"/>
        <v>12.552305433268243</v>
      </c>
      <c r="G32" s="4">
        <f t="shared" si="8"/>
        <v>0.50056026286030497</v>
      </c>
      <c r="H32" s="4">
        <f t="shared" si="3"/>
        <v>4.1631555132889797E-2</v>
      </c>
      <c r="I32" s="4">
        <f t="shared" si="9"/>
        <v>0.79609009748428572</v>
      </c>
      <c r="J32" s="4">
        <f t="shared" si="10"/>
        <v>0.35844575630096714</v>
      </c>
      <c r="K32" s="44">
        <f t="shared" si="4"/>
        <v>9.565576731116062</v>
      </c>
      <c r="L32" s="44">
        <f t="shared" si="11"/>
        <v>3.2416974525391385E-19</v>
      </c>
      <c r="M32" s="4">
        <f t="shared" si="5"/>
        <v>8532.0610849155291</v>
      </c>
      <c r="N32" s="29">
        <f t="shared" si="19"/>
        <v>3.9578587521916364E-20</v>
      </c>
      <c r="O32" s="29">
        <f t="shared" si="12"/>
        <v>3.3768692639166594E-16</v>
      </c>
      <c r="P32" s="29">
        <f t="shared" si="13"/>
        <v>1.8617206046161475E-19</v>
      </c>
      <c r="Q32" s="32">
        <f t="shared" si="14"/>
        <v>1</v>
      </c>
      <c r="R32" s="32">
        <f t="shared" si="15"/>
        <v>1</v>
      </c>
      <c r="S32" s="32">
        <f t="shared" si="16"/>
        <v>0</v>
      </c>
      <c r="T32" s="32">
        <f t="shared" si="17"/>
        <v>4.7038581242578017</v>
      </c>
      <c r="U32" s="32">
        <f t="shared" si="18"/>
        <v>4.7038581242578017</v>
      </c>
      <c r="V32" s="27"/>
      <c r="W32" s="27"/>
    </row>
    <row r="33" spans="1:23" s="3" customFormat="1" x14ac:dyDescent="0.25">
      <c r="A33" s="4">
        <f t="shared" si="20"/>
        <v>1.3999999999999998E+20</v>
      </c>
      <c r="B33" s="4">
        <f t="shared" si="6"/>
        <v>2880.658436213992</v>
      </c>
      <c r="C33" s="3">
        <f t="shared" si="0"/>
        <v>3.5273959689023529</v>
      </c>
      <c r="D33" s="4">
        <f t="shared" si="1"/>
        <v>2.8219167751218825</v>
      </c>
      <c r="E33" s="4">
        <f t="shared" si="7"/>
        <v>2.2265664822479416</v>
      </c>
      <c r="F33" s="4">
        <f t="shared" si="2"/>
        <v>9.412901158180178</v>
      </c>
      <c r="G33" s="4">
        <f t="shared" si="8"/>
        <v>0.66750783861352392</v>
      </c>
      <c r="H33" s="4">
        <f t="shared" si="3"/>
        <v>1.7555881231833874E-2</v>
      </c>
      <c r="I33" s="4">
        <f t="shared" si="9"/>
        <v>0.59698335421037618</v>
      </c>
      <c r="J33" s="4">
        <f t="shared" si="10"/>
        <v>0.2015688616071428</v>
      </c>
      <c r="K33" s="44">
        <f t="shared" si="4"/>
        <v>12.755901581946059</v>
      </c>
      <c r="L33" s="44">
        <f t="shared" si="11"/>
        <v>1.4863346822762689E-34</v>
      </c>
      <c r="M33" s="4">
        <f t="shared" si="5"/>
        <v>11377.686317261519</v>
      </c>
      <c r="N33" s="29">
        <f t="shared" si="19"/>
        <v>1.8146982613461773E-35</v>
      </c>
      <c r="O33" s="29">
        <f t="shared" si="12"/>
        <v>2.0647067578076668E-31</v>
      </c>
      <c r="P33" s="29">
        <f t="shared" si="13"/>
        <v>6.4011593318466145E-35</v>
      </c>
      <c r="Q33" s="32">
        <f t="shared" si="14"/>
        <v>1</v>
      </c>
      <c r="R33" s="32">
        <f t="shared" si="15"/>
        <v>1</v>
      </c>
      <c r="S33" s="32">
        <f t="shared" si="16"/>
        <v>0</v>
      </c>
      <c r="T33" s="32">
        <f t="shared" si="17"/>
        <v>3.5273959689023529</v>
      </c>
      <c r="U33" s="32">
        <f t="shared" si="18"/>
        <v>3.5273959689023529</v>
      </c>
      <c r="V33" s="27"/>
      <c r="W33" s="27"/>
    </row>
    <row r="34" spans="1:23" s="3" customFormat="1" x14ac:dyDescent="0.25">
      <c r="A34" s="4">
        <f t="shared" si="20"/>
        <v>2.4895911740544916E+20</v>
      </c>
      <c r="B34" s="4">
        <f t="shared" si="6"/>
        <v>5122.6155844742625</v>
      </c>
      <c r="C34" s="3">
        <f t="shared" si="0"/>
        <v>2.6451738111025218</v>
      </c>
      <c r="D34" s="4">
        <f t="shared" si="1"/>
        <v>2.1161390488820175</v>
      </c>
      <c r="E34" s="4">
        <f t="shared" si="7"/>
        <v>2.9691741242141299</v>
      </c>
      <c r="F34" s="4">
        <f t="shared" si="2"/>
        <v>7.0586800715380829</v>
      </c>
      <c r="G34" s="4">
        <f t="shared" si="8"/>
        <v>0.89013600892815126</v>
      </c>
      <c r="H34" s="4">
        <f t="shared" si="3"/>
        <v>7.4032537300718149E-3</v>
      </c>
      <c r="I34" s="4">
        <f t="shared" si="9"/>
        <v>0.4476743603902274</v>
      </c>
      <c r="J34" s="4">
        <f t="shared" si="10"/>
        <v>0.11335050075327076</v>
      </c>
      <c r="K34" s="44">
        <f t="shared" si="4"/>
        <v>17.010268146091121</v>
      </c>
      <c r="L34" s="44">
        <f t="shared" si="11"/>
        <v>6.286599271743439E-62</v>
      </c>
      <c r="M34" s="4">
        <f t="shared" si="5"/>
        <v>15172.388552499637</v>
      </c>
      <c r="N34" s="29">
        <f t="shared" si="19"/>
        <v>7.6754454459352216E-63</v>
      </c>
      <c r="O34" s="29">
        <f t="shared" si="12"/>
        <v>1.1645484061924302E-58</v>
      </c>
      <c r="P34" s="29">
        <f t="shared" si="13"/>
        <v>2.0302887282133964E-62</v>
      </c>
      <c r="Q34" s="32">
        <f t="shared" si="14"/>
        <v>1</v>
      </c>
      <c r="R34" s="32">
        <f t="shared" si="15"/>
        <v>1</v>
      </c>
      <c r="S34" s="32">
        <f t="shared" si="16"/>
        <v>0</v>
      </c>
      <c r="T34" s="32">
        <f t="shared" si="17"/>
        <v>2.6451738111025218</v>
      </c>
      <c r="U34" s="32">
        <f t="shared" si="18"/>
        <v>2.6451738111025218</v>
      </c>
      <c r="V34" s="27"/>
      <c r="W34" s="27"/>
    </row>
    <row r="35" spans="1:23" s="3" customFormat="1" x14ac:dyDescent="0.25">
      <c r="A35" s="4">
        <f t="shared" si="20"/>
        <v>4.4271887242357303E+20</v>
      </c>
      <c r="B35" s="4">
        <f t="shared" si="6"/>
        <v>9109.441819415084</v>
      </c>
      <c r="C35" s="3">
        <f t="shared" si="0"/>
        <v>1.9836005236236447</v>
      </c>
      <c r="D35" s="4">
        <f t="shared" si="1"/>
        <v>1.5868804188989158</v>
      </c>
      <c r="E35" s="4">
        <f t="shared" si="7"/>
        <v>3.9594573304643093</v>
      </c>
      <c r="F35" s="4">
        <f t="shared" si="2"/>
        <v>5.2932633111768137</v>
      </c>
      <c r="G35" s="4">
        <f t="shared" si="8"/>
        <v>1.1870154454460136</v>
      </c>
      <c r="H35" s="4">
        <f t="shared" si="3"/>
        <v>3.1219262119658946E-3</v>
      </c>
      <c r="I35" s="4">
        <f t="shared" si="9"/>
        <v>0.33570841052324252</v>
      </c>
      <c r="J35" s="4">
        <f t="shared" si="10"/>
        <v>6.3741670804583941E-2</v>
      </c>
      <c r="K35" s="44">
        <f t="shared" si="4"/>
        <v>22.683557139657598</v>
      </c>
      <c r="L35" s="44">
        <f t="shared" si="11"/>
        <v>1.0544895546932499E-110</v>
      </c>
      <c r="M35" s="4">
        <f t="shared" si="5"/>
        <v>20232.70531186774</v>
      </c>
      <c r="N35" s="29">
        <f t="shared" si="19"/>
        <v>1.2874491756990859E-111</v>
      </c>
      <c r="O35" s="29">
        <f t="shared" si="12"/>
        <v>2.6048579775926637E-107</v>
      </c>
      <c r="P35" s="29">
        <f t="shared" si="13"/>
        <v>2.5537848590555365E-111</v>
      </c>
      <c r="Q35" s="32">
        <f t="shared" si="14"/>
        <v>1</v>
      </c>
      <c r="R35" s="32">
        <f t="shared" si="15"/>
        <v>1</v>
      </c>
      <c r="S35" s="32">
        <f t="shared" si="16"/>
        <v>0</v>
      </c>
      <c r="T35" s="32">
        <f t="shared" si="17"/>
        <v>1.9836005236236447</v>
      </c>
      <c r="U35" s="32">
        <f t="shared" si="18"/>
        <v>1.9836005236236447</v>
      </c>
      <c r="V35" s="27"/>
      <c r="W35" s="27"/>
    </row>
    <row r="36" spans="1:23" x14ac:dyDescent="0.25">
      <c r="A36" s="4">
        <f t="shared" si="20"/>
        <v>7.8727785526648858E+20</v>
      </c>
      <c r="B36" s="4">
        <f t="shared" si="6"/>
        <v>16199.132824413347</v>
      </c>
      <c r="C36" s="3">
        <f t="shared" si="0"/>
        <v>1.4874905462941983</v>
      </c>
      <c r="D36" s="4">
        <f t="shared" si="1"/>
        <v>1.1899924370353587</v>
      </c>
      <c r="E36" s="4">
        <f t="shared" si="7"/>
        <v>5.2800212099103376</v>
      </c>
      <c r="F36" s="4">
        <f t="shared" si="2"/>
        <v>3.9693875055234336</v>
      </c>
      <c r="G36" s="4">
        <f t="shared" si="8"/>
        <v>1.5829105368111542</v>
      </c>
      <c r="H36" s="4">
        <f t="shared" si="3"/>
        <v>1.3165053675480564E-3</v>
      </c>
      <c r="I36" s="4">
        <f t="shared" si="9"/>
        <v>0.25174579307558242</v>
      </c>
      <c r="J36" s="4">
        <f t="shared" si="10"/>
        <v>3.5844575630096721E-2</v>
      </c>
      <c r="K36" s="44">
        <f t="shared" si="4"/>
        <v>30.249009603434796</v>
      </c>
      <c r="L36" s="44">
        <f t="shared" si="11"/>
        <v>1.5470877648112554E-197</v>
      </c>
      <c r="M36" s="4">
        <f t="shared" si="5"/>
        <v>26980.746164020358</v>
      </c>
      <c r="N36" s="29">
        <f t="shared" si="19"/>
        <v>1.8888730179217413E-198</v>
      </c>
      <c r="O36" s="29">
        <f t="shared" si="12"/>
        <v>5.0963203432613581E-194</v>
      </c>
      <c r="P36" s="29">
        <f t="shared" si="13"/>
        <v>2.809680757308782E-198</v>
      </c>
      <c r="Q36" s="32">
        <f t="shared" si="14"/>
        <v>1</v>
      </c>
      <c r="R36" s="32">
        <f t="shared" si="15"/>
        <v>1</v>
      </c>
      <c r="S36" s="32">
        <f t="shared" si="16"/>
        <v>0</v>
      </c>
      <c r="T36" s="32">
        <f t="shared" si="17"/>
        <v>1.4874905462941983</v>
      </c>
      <c r="U36" s="32">
        <f t="shared" si="18"/>
        <v>1.4874905462941983</v>
      </c>
      <c r="V36" s="32"/>
      <c r="W36" s="32"/>
    </row>
    <row r="37" spans="1:23" x14ac:dyDescent="0.25">
      <c r="A37" s="4">
        <f t="shared" si="20"/>
        <v>1.3999999999999997E+21</v>
      </c>
      <c r="B37" s="4">
        <f t="shared" si="6"/>
        <v>28806.584362139914</v>
      </c>
      <c r="C37" s="3">
        <f t="shared" si="0"/>
        <v>1.1154605471027907</v>
      </c>
      <c r="D37" s="4">
        <f t="shared" si="1"/>
        <v>0.89236843768223262</v>
      </c>
      <c r="E37" s="4">
        <f t="shared" si="7"/>
        <v>7.0410214456923601</v>
      </c>
      <c r="F37" s="4">
        <f t="shared" si="2"/>
        <v>2.9766207049886244</v>
      </c>
      <c r="G37" s="4">
        <f t="shared" si="8"/>
        <v>2.1108451260348264</v>
      </c>
      <c r="H37" s="4">
        <f t="shared" si="3"/>
        <v>5.5516571023997614E-4</v>
      </c>
      <c r="I37" s="4">
        <f t="shared" si="9"/>
        <v>0.18878271245118591</v>
      </c>
      <c r="J37" s="4">
        <f t="shared" si="10"/>
        <v>2.0156886160714281E-2</v>
      </c>
      <c r="K37" s="44">
        <f t="shared" si="4"/>
        <v>40.337702607894506</v>
      </c>
      <c r="L37" s="44">
        <f t="shared" si="11"/>
        <v>0</v>
      </c>
      <c r="M37" s="4">
        <f t="shared" si="5"/>
        <v>35979.403265479537</v>
      </c>
      <c r="N37" s="29">
        <f t="shared" si="19"/>
        <v>0</v>
      </c>
      <c r="O37" s="29">
        <f t="shared" si="12"/>
        <v>0</v>
      </c>
      <c r="P37" s="29">
        <f t="shared" si="13"/>
        <v>0</v>
      </c>
      <c r="Q37" s="32">
        <f t="shared" si="14"/>
        <v>1</v>
      </c>
      <c r="R37" s="32">
        <f t="shared" si="15"/>
        <v>1</v>
      </c>
      <c r="S37" s="32">
        <f t="shared" si="16"/>
        <v>0</v>
      </c>
      <c r="T37" s="32">
        <f t="shared" si="17"/>
        <v>1.1154605471027907</v>
      </c>
      <c r="U37" s="32">
        <f t="shared" si="18"/>
        <v>1.1154605471027907</v>
      </c>
      <c r="V37" s="32"/>
      <c r="W37" s="32"/>
    </row>
    <row r="38" spans="1:23" x14ac:dyDescent="0.25">
      <c r="A38" s="4">
        <f t="shared" si="20"/>
        <v>2.4895911740544915E+21</v>
      </c>
      <c r="B38" s="4">
        <f t="shared" si="6"/>
        <v>51226.155844742629</v>
      </c>
      <c r="C38" s="3">
        <f t="shared" si="0"/>
        <v>0.83647740501119572</v>
      </c>
      <c r="D38" s="4">
        <f t="shared" si="1"/>
        <v>0.6691819240089566</v>
      </c>
      <c r="E38" s="4">
        <f t="shared" si="7"/>
        <v>9.3893530021523564</v>
      </c>
      <c r="F38" s="4">
        <f t="shared" si="2"/>
        <v>2.2321506300500613</v>
      </c>
      <c r="G38" s="4">
        <f t="shared" si="8"/>
        <v>2.8148572155449343</v>
      </c>
      <c r="H38" s="4">
        <f t="shared" si="3"/>
        <v>2.3411143883164326E-4</v>
      </c>
      <c r="I38" s="4">
        <f t="shared" si="9"/>
        <v>0.14156706288921841</v>
      </c>
      <c r="J38" s="4">
        <f t="shared" si="10"/>
        <v>1.1335050075327077E-2</v>
      </c>
      <c r="K38" s="44">
        <f t="shared" si="4"/>
        <v>53.791190951857743</v>
      </c>
      <c r="L38" s="44">
        <f t="shared" si="11"/>
        <v>0</v>
      </c>
      <c r="M38" s="4">
        <f t="shared" si="5"/>
        <v>47979.305370964059</v>
      </c>
      <c r="N38" s="29">
        <f t="shared" si="19"/>
        <v>0</v>
      </c>
      <c r="O38" s="29">
        <f t="shared" si="12"/>
        <v>0</v>
      </c>
      <c r="P38" s="29">
        <f t="shared" si="13"/>
        <v>0</v>
      </c>
      <c r="Q38" s="32">
        <f t="shared" si="14"/>
        <v>1</v>
      </c>
      <c r="R38" s="32">
        <f t="shared" si="15"/>
        <v>1</v>
      </c>
      <c r="S38" s="32">
        <f t="shared" si="16"/>
        <v>0</v>
      </c>
      <c r="T38" s="32">
        <f t="shared" si="17"/>
        <v>0.83647740501119572</v>
      </c>
      <c r="U38" s="32">
        <f t="shared" si="18"/>
        <v>0.83647740501119572</v>
      </c>
      <c r="V38" s="32"/>
      <c r="W38" s="32"/>
    </row>
    <row r="39" spans="1:23" x14ac:dyDescent="0.25">
      <c r="A39" s="4">
        <f t="shared" si="20"/>
        <v>4.4271887242357302E+21</v>
      </c>
      <c r="B39" s="4">
        <f t="shared" si="6"/>
        <v>91094.418194150829</v>
      </c>
      <c r="C39" s="3">
        <f t="shared" si="0"/>
        <v>0.62726956225533514</v>
      </c>
      <c r="D39" s="4">
        <f t="shared" si="1"/>
        <v>0.50181564980426818</v>
      </c>
      <c r="E39" s="4">
        <f t="shared" si="7"/>
        <v>12.520903462517213</v>
      </c>
      <c r="F39" s="4">
        <f t="shared" si="2"/>
        <v>1.6738768318323345</v>
      </c>
      <c r="G39" s="4">
        <f t="shared" si="8"/>
        <v>3.7536724254087459</v>
      </c>
      <c r="H39" s="4">
        <f t="shared" si="3"/>
        <v>9.8723975167938421E-5</v>
      </c>
      <c r="I39" s="4">
        <f t="shared" si="9"/>
        <v>0.10616032069282852</v>
      </c>
      <c r="J39" s="4">
        <f t="shared" si="10"/>
        <v>6.3741670804583943E-3</v>
      </c>
      <c r="K39" s="44">
        <f t="shared" si="4"/>
        <v>71.731705995892156</v>
      </c>
      <c r="L39" s="44">
        <f t="shared" si="11"/>
        <v>0</v>
      </c>
      <c r="M39" s="4">
        <f t="shared" si="5"/>
        <v>63981.432012489458</v>
      </c>
      <c r="N39" s="29">
        <f t="shared" si="19"/>
        <v>0</v>
      </c>
      <c r="O39" s="29">
        <f t="shared" si="12"/>
        <v>0</v>
      </c>
      <c r="P39" s="29">
        <f t="shared" si="13"/>
        <v>0</v>
      </c>
      <c r="Q39" s="32">
        <f t="shared" si="14"/>
        <v>1</v>
      </c>
      <c r="R39" s="32">
        <f t="shared" si="15"/>
        <v>1</v>
      </c>
      <c r="S39" s="32">
        <f t="shared" si="16"/>
        <v>0</v>
      </c>
      <c r="T39" s="32">
        <f t="shared" si="17"/>
        <v>0.62726956225533514</v>
      </c>
      <c r="U39" s="32">
        <f t="shared" si="18"/>
        <v>0.62726956225533514</v>
      </c>
      <c r="V39" s="32"/>
      <c r="W39" s="32"/>
    </row>
    <row r="40" spans="1:23" x14ac:dyDescent="0.25">
      <c r="A40" s="4">
        <f t="shared" si="20"/>
        <v>7.8727785526648856E+21</v>
      </c>
      <c r="B40" s="4">
        <f t="shared" si="6"/>
        <v>161991.32824413347</v>
      </c>
      <c r="C40" s="3">
        <f t="shared" si="0"/>
        <v>0.4703858124257802</v>
      </c>
      <c r="D40" s="4">
        <f t="shared" si="1"/>
        <v>0.37630864994062418</v>
      </c>
      <c r="E40" s="4">
        <f t="shared" si="7"/>
        <v>16.696893117314676</v>
      </c>
      <c r="F40" s="4">
        <f t="shared" si="2"/>
        <v>1.2552305433268245</v>
      </c>
      <c r="G40" s="4">
        <f t="shared" si="8"/>
        <v>5.0056026286030493</v>
      </c>
      <c r="H40" s="4">
        <f t="shared" si="3"/>
        <v>4.1631555132889806E-5</v>
      </c>
      <c r="I40" s="4">
        <f t="shared" si="9"/>
        <v>7.9609009748428577E-2</v>
      </c>
      <c r="J40" s="4">
        <f t="shared" si="10"/>
        <v>3.584457563009672E-3</v>
      </c>
      <c r="K40" s="44">
        <f t="shared" si="4"/>
        <v>95.655767311160616</v>
      </c>
      <c r="L40" s="44">
        <f t="shared" si="11"/>
        <v>0</v>
      </c>
      <c r="M40" s="4">
        <f t="shared" si="5"/>
        <v>85320.610849155288</v>
      </c>
      <c r="N40" s="29">
        <f t="shared" si="19"/>
        <v>0</v>
      </c>
      <c r="O40" s="29">
        <f t="shared" si="12"/>
        <v>0</v>
      </c>
      <c r="P40" s="29">
        <f t="shared" si="13"/>
        <v>0</v>
      </c>
      <c r="Q40" s="32">
        <f t="shared" si="14"/>
        <v>1</v>
      </c>
      <c r="R40" s="32">
        <f t="shared" si="15"/>
        <v>1</v>
      </c>
      <c r="S40" s="32">
        <f t="shared" si="16"/>
        <v>0</v>
      </c>
      <c r="T40" s="32">
        <f t="shared" si="17"/>
        <v>0.4703858124257802</v>
      </c>
      <c r="U40" s="32">
        <f t="shared" si="18"/>
        <v>0.4703858124257802</v>
      </c>
      <c r="V40" s="32"/>
      <c r="W40" s="32"/>
    </row>
    <row r="41" spans="1:23" x14ac:dyDescent="0.25">
      <c r="A41" s="4">
        <f t="shared" si="20"/>
        <v>1.3999999999999998E+22</v>
      </c>
      <c r="B41" s="4">
        <f t="shared" si="6"/>
        <v>288065.8436213992</v>
      </c>
      <c r="C41" s="3">
        <f t="shared" si="0"/>
        <v>0.35273959689023532</v>
      </c>
      <c r="D41" s="4">
        <f t="shared" si="1"/>
        <v>0.28219167751218827</v>
      </c>
      <c r="E41" s="4">
        <f t="shared" si="7"/>
        <v>22.265664822479415</v>
      </c>
      <c r="F41" s="4">
        <f t="shared" si="2"/>
        <v>0.94129011581801791</v>
      </c>
      <c r="G41" s="4">
        <f t="shared" si="8"/>
        <v>6.6750783861352376</v>
      </c>
      <c r="H41" s="4">
        <f t="shared" si="3"/>
        <v>1.755588123183388E-5</v>
      </c>
      <c r="I41" s="4">
        <f t="shared" si="9"/>
        <v>5.9698335421037613E-2</v>
      </c>
      <c r="J41" s="4">
        <f t="shared" si="10"/>
        <v>2.0156886160714281E-3</v>
      </c>
      <c r="K41" s="44">
        <f t="shared" si="4"/>
        <v>127.55901581946058</v>
      </c>
      <c r="L41" s="44">
        <f t="shared" si="11"/>
        <v>0</v>
      </c>
      <c r="M41" s="4">
        <f t="shared" si="5"/>
        <v>113776.86317261519</v>
      </c>
      <c r="N41" s="29">
        <f t="shared" si="19"/>
        <v>0</v>
      </c>
      <c r="O41" s="29">
        <f t="shared" si="12"/>
        <v>0</v>
      </c>
      <c r="P41" s="29">
        <f t="shared" si="13"/>
        <v>0</v>
      </c>
      <c r="Q41" s="32">
        <f t="shared" si="14"/>
        <v>1</v>
      </c>
      <c r="R41" s="32">
        <f t="shared" si="15"/>
        <v>1</v>
      </c>
      <c r="S41" s="32">
        <f t="shared" si="16"/>
        <v>0</v>
      </c>
      <c r="T41" s="32">
        <f t="shared" si="17"/>
        <v>0.35273959689023532</v>
      </c>
      <c r="U41" s="32">
        <f t="shared" si="18"/>
        <v>0.35273959689023532</v>
      </c>
      <c r="V41" s="32"/>
      <c r="W41" s="32"/>
    </row>
    <row r="42" spans="1:23" x14ac:dyDescent="0.25">
      <c r="A42" s="4">
        <f t="shared" si="20"/>
        <v>2.4895911740544914E+22</v>
      </c>
      <c r="B42" s="4">
        <f t="shared" si="6"/>
        <v>512261.55844742624</v>
      </c>
      <c r="C42" s="3">
        <f t="shared" si="0"/>
        <v>0.26451738111025219</v>
      </c>
      <c r="D42" s="4">
        <f t="shared" si="1"/>
        <v>0.21161390488820175</v>
      </c>
      <c r="E42" s="4">
        <f t="shared" si="7"/>
        <v>29.691741242141298</v>
      </c>
      <c r="F42" s="4">
        <f t="shared" si="2"/>
        <v>0.70586800715380815</v>
      </c>
      <c r="G42" s="4">
        <f t="shared" si="8"/>
        <v>8.9013600892815141</v>
      </c>
      <c r="H42" s="4">
        <f t="shared" si="3"/>
        <v>7.4032537300718161E-6</v>
      </c>
      <c r="I42" s="4">
        <f t="shared" si="9"/>
        <v>4.4767436039022737E-2</v>
      </c>
      <c r="J42" s="4">
        <f t="shared" si="10"/>
        <v>1.1335050075327077E-3</v>
      </c>
      <c r="K42" s="44">
        <f t="shared" si="4"/>
        <v>170.10268146091121</v>
      </c>
      <c r="L42" s="44">
        <f t="shared" si="11"/>
        <v>0</v>
      </c>
      <c r="M42" s="4">
        <f t="shared" si="5"/>
        <v>151723.88552499635</v>
      </c>
      <c r="N42" s="29">
        <f t="shared" si="19"/>
        <v>0</v>
      </c>
      <c r="O42" s="29">
        <f t="shared" si="12"/>
        <v>0</v>
      </c>
      <c r="P42" s="29">
        <f t="shared" si="13"/>
        <v>0</v>
      </c>
      <c r="Q42" s="32">
        <f t="shared" si="14"/>
        <v>1</v>
      </c>
      <c r="R42" s="32">
        <f t="shared" si="15"/>
        <v>1</v>
      </c>
      <c r="S42" s="32">
        <f t="shared" si="16"/>
        <v>0</v>
      </c>
      <c r="T42" s="32">
        <f t="shared" si="17"/>
        <v>0.26451738111025219</v>
      </c>
      <c r="U42" s="32">
        <f t="shared" si="18"/>
        <v>0.26451738111025219</v>
      </c>
      <c r="V42" s="32"/>
      <c r="W42" s="32"/>
    </row>
    <row r="43" spans="1:23" x14ac:dyDescent="0.25">
      <c r="D43" s="4">
        <f>2*C42*C42</f>
        <v>0.1399388898188528</v>
      </c>
      <c r="E43" s="4"/>
      <c r="F43" s="4">
        <f t="shared" si="2"/>
        <v>0.46678589165459528</v>
      </c>
      <c r="G43" s="4"/>
      <c r="K43" s="44">
        <f t="shared" si="4"/>
        <v>257.22722755978225</v>
      </c>
      <c r="L43" s="44">
        <f t="shared" si="11"/>
        <v>0</v>
      </c>
      <c r="M43"/>
      <c r="N43" s="29">
        <f t="shared" si="19"/>
        <v>0</v>
      </c>
      <c r="O43" s="29">
        <f t="shared" si="12"/>
        <v>0</v>
      </c>
      <c r="V43" s="32"/>
      <c r="W43" s="32"/>
    </row>
    <row r="44" spans="1:23" x14ac:dyDescent="0.25">
      <c r="C44" s="3">
        <f>2*C27^2</f>
        <v>837.47746394230751</v>
      </c>
      <c r="D44" s="14">
        <f>0.00000000000045*D43*B5</f>
        <v>1.8878680686863274E-5</v>
      </c>
      <c r="E44" s="14"/>
      <c r="G44" s="1">
        <f>F24/B3</f>
        <v>2.7671328422418457</v>
      </c>
      <c r="H44" s="4">
        <f>D22/8</f>
        <v>6.5991535915600572</v>
      </c>
      <c r="I44" s="4">
        <f>E6*E6</f>
        <v>423.10486225065341</v>
      </c>
      <c r="J44" s="4">
        <f>9*0.5/C22^2</f>
        <v>1.0333228685473384E-3</v>
      </c>
      <c r="K44"/>
      <c r="L44"/>
      <c r="M44"/>
      <c r="V44" s="32"/>
      <c r="W44" s="32"/>
    </row>
    <row r="45" spans="1:23" x14ac:dyDescent="0.25">
      <c r="B45">
        <f>10/75</f>
        <v>0.13333333333333333</v>
      </c>
      <c r="F45" s="4">
        <f>23/24</f>
        <v>0.95833333333333337</v>
      </c>
      <c r="H45" s="1">
        <f>2*E6*E6*H44</f>
        <v>5584.2679426558452</v>
      </c>
      <c r="I45">
        <f>0.25*27</f>
        <v>6.75</v>
      </c>
      <c r="J45" s="1">
        <f>J44*10000</f>
        <v>10.333228685473383</v>
      </c>
      <c r="K45"/>
      <c r="L45"/>
      <c r="M45"/>
      <c r="P45" s="32">
        <f>1.5/2</f>
        <v>0.75</v>
      </c>
      <c r="V45" s="32"/>
      <c r="W45" s="32"/>
    </row>
    <row r="46" spans="1:23" x14ac:dyDescent="0.25">
      <c r="D46">
        <f>SQRT(2*E2*1000000000000/(PI()*740000000000000))</f>
        <v>0.18952514495901399</v>
      </c>
      <c r="F46" s="1">
        <f>1-F45</f>
        <v>4.166666666666663E-2</v>
      </c>
      <c r="G46" s="14">
        <f>2*E6*E6</f>
        <v>846.20972450130682</v>
      </c>
      <c r="H46">
        <f>1/0.9^2</f>
        <v>1.2345679012345678</v>
      </c>
      <c r="K46"/>
      <c r="L46"/>
      <c r="M46"/>
      <c r="P46" s="32">
        <f>P45+0.5</f>
        <v>1.25</v>
      </c>
      <c r="V46" s="32"/>
      <c r="W46" s="32"/>
    </row>
    <row r="47" spans="1:23" x14ac:dyDescent="0.25">
      <c r="D47">
        <f>10000*D46</f>
        <v>1895.2514495901398</v>
      </c>
      <c r="F47">
        <f>EXP(2.5)</f>
        <v>12.182493960703473</v>
      </c>
      <c r="G47" s="14">
        <f>G46*100</f>
        <v>84620.972450130677</v>
      </c>
      <c r="H47">
        <f>1/1.1^2</f>
        <v>0.82644628099173545</v>
      </c>
      <c r="I47">
        <f>500/45</f>
        <v>11.111111111111111</v>
      </c>
      <c r="K47"/>
      <c r="L47">
        <f>EXP(-4)</f>
        <v>1.8315638888734179E-2</v>
      </c>
      <c r="M47"/>
      <c r="V47" s="32"/>
      <c r="W47" s="32"/>
    </row>
    <row r="48" spans="1:23" x14ac:dyDescent="0.25">
      <c r="G48" s="14">
        <f>G47*0.000001</f>
        <v>8.4620972450130671E-2</v>
      </c>
      <c r="H48">
        <f>H46-H47</f>
        <v>0.40812162024283238</v>
      </c>
      <c r="I48">
        <f>I47^2</f>
        <v>123.45679012345678</v>
      </c>
      <c r="K48"/>
      <c r="L48"/>
      <c r="M48"/>
      <c r="V48" s="32"/>
      <c r="W48" s="32"/>
    </row>
    <row r="49" spans="7:23" x14ac:dyDescent="0.25">
      <c r="G49" s="14">
        <f>G48*H49</f>
        <v>0.20734253774593267</v>
      </c>
      <c r="H49">
        <f>1/H48</f>
        <v>2.45025</v>
      </c>
      <c r="I49">
        <f>1-1/I48</f>
        <v>0.9919</v>
      </c>
      <c r="K49">
        <f>10*10</f>
        <v>100</v>
      </c>
      <c r="L49"/>
      <c r="M49"/>
      <c r="V49" s="32"/>
      <c r="W49" s="32"/>
    </row>
    <row r="50" spans="7:23" x14ac:dyDescent="0.25">
      <c r="K50">
        <f>3.5*3.5</f>
        <v>12.25</v>
      </c>
      <c r="L50"/>
      <c r="M50"/>
      <c r="V50" s="32"/>
      <c r="W50" s="32"/>
    </row>
    <row r="51" spans="7:23" x14ac:dyDescent="0.25">
      <c r="G51">
        <f>PI()^3</f>
        <v>31.006276680299816</v>
      </c>
      <c r="K51"/>
      <c r="L51"/>
      <c r="M51"/>
      <c r="V51" s="32"/>
      <c r="W51" s="32"/>
    </row>
    <row r="52" spans="7:23" x14ac:dyDescent="0.25">
      <c r="G52">
        <f>SQRT(2/G51)</f>
        <v>0.25397454373696393</v>
      </c>
      <c r="K52"/>
      <c r="L52"/>
      <c r="M52"/>
      <c r="V52" s="32"/>
      <c r="W52" s="32"/>
    </row>
    <row r="53" spans="7:23" x14ac:dyDescent="0.25">
      <c r="G53">
        <f>2.5*G52/(B4*0.001*0.35*0.35)</f>
        <v>135.61549807695971</v>
      </c>
      <c r="H53">
        <f>G53/10</f>
        <v>13.561549807695972</v>
      </c>
      <c r="J53">
        <f>1/300000000</f>
        <v>3.3333333333333334E-9</v>
      </c>
      <c r="K53"/>
      <c r="L53"/>
      <c r="M53"/>
      <c r="V53" s="32"/>
      <c r="W53" s="32"/>
    </row>
    <row r="54" spans="7:23" x14ac:dyDescent="0.25">
      <c r="G54">
        <f>SQRT(1+G53)</f>
        <v>11.688263261792134</v>
      </c>
      <c r="H54">
        <f>SQRT(1+H53)</f>
        <v>3.8159598802524082</v>
      </c>
      <c r="K54">
        <f>3</f>
        <v>3</v>
      </c>
      <c r="L54"/>
      <c r="M54"/>
      <c r="V54" s="32"/>
      <c r="W54" s="32"/>
    </row>
    <row r="55" spans="7:23" x14ac:dyDescent="0.25">
      <c r="G55">
        <f>G54*3.5</f>
        <v>40.90892141627247</v>
      </c>
      <c r="H55">
        <f>3.5*H54</f>
        <v>13.355859580883429</v>
      </c>
      <c r="J55">
        <f>1/120^2</f>
        <v>6.9444444444444444E-5</v>
      </c>
      <c r="K55"/>
      <c r="L55"/>
      <c r="M55"/>
      <c r="V55" s="32"/>
      <c r="W55" s="32"/>
    </row>
    <row r="56" spans="7:23" x14ac:dyDescent="0.25">
      <c r="I56">
        <f>10*4/6</f>
        <v>6.666666666666667</v>
      </c>
      <c r="J56">
        <f>1/150^2</f>
        <v>4.4444444444444447E-5</v>
      </c>
      <c r="K56"/>
      <c r="L56"/>
      <c r="M56"/>
      <c r="V56" s="32"/>
      <c r="W56" s="32"/>
    </row>
    <row r="57" spans="7:23" x14ac:dyDescent="0.25">
      <c r="J57">
        <f>0.5*J53*(J55-J56)</f>
        <v>4.1666666666666662E-14</v>
      </c>
      <c r="K57"/>
      <c r="L57"/>
      <c r="M57"/>
      <c r="V57" s="32"/>
      <c r="W57" s="32"/>
    </row>
    <row r="58" spans="7:23" x14ac:dyDescent="0.25">
      <c r="K58"/>
      <c r="L58"/>
      <c r="M58"/>
      <c r="V58" s="32"/>
      <c r="W58" s="32"/>
    </row>
    <row r="59" spans="7:23" x14ac:dyDescent="0.25">
      <c r="K59"/>
      <c r="L59"/>
      <c r="M59"/>
      <c r="V59" s="32"/>
      <c r="W59" s="32"/>
    </row>
    <row r="60" spans="7:23" x14ac:dyDescent="0.25">
      <c r="K60"/>
      <c r="L60"/>
      <c r="M60"/>
      <c r="V60" s="32"/>
      <c r="W60" s="32"/>
    </row>
    <row r="61" spans="7:23" x14ac:dyDescent="0.25">
      <c r="K61"/>
      <c r="L61"/>
      <c r="M61"/>
      <c r="V61" s="32"/>
      <c r="W61" s="32"/>
    </row>
    <row r="62" spans="7:23" x14ac:dyDescent="0.25">
      <c r="K62"/>
      <c r="L62"/>
      <c r="M62"/>
      <c r="V62" s="32"/>
      <c r="W62" s="32"/>
    </row>
    <row r="63" spans="7:23" x14ac:dyDescent="0.25">
      <c r="K63"/>
      <c r="L63"/>
      <c r="M63"/>
      <c r="V63" s="32"/>
      <c r="W63" s="32"/>
    </row>
    <row r="64" spans="7:23" x14ac:dyDescent="0.25">
      <c r="K64"/>
      <c r="L64"/>
      <c r="M64"/>
      <c r="V64" s="32"/>
      <c r="W64" s="32"/>
    </row>
    <row r="65" spans="11:23" x14ac:dyDescent="0.25">
      <c r="K65"/>
      <c r="L65"/>
      <c r="M65"/>
      <c r="V65" s="32"/>
      <c r="W65" s="32"/>
    </row>
    <row r="66" spans="11:23" x14ac:dyDescent="0.25">
      <c r="K66"/>
      <c r="L66"/>
      <c r="M66"/>
      <c r="V66" s="32"/>
      <c r="W66" s="32"/>
    </row>
    <row r="67" spans="11:23" x14ac:dyDescent="0.25">
      <c r="K67"/>
      <c r="L67"/>
      <c r="M67"/>
      <c r="V67" s="32"/>
      <c r="W67" s="32"/>
    </row>
    <row r="68" spans="11:23" x14ac:dyDescent="0.25">
      <c r="K68"/>
      <c r="L68"/>
      <c r="M68"/>
      <c r="V68" s="32"/>
      <c r="W68" s="32"/>
    </row>
    <row r="69" spans="11:23" x14ac:dyDescent="0.25">
      <c r="K69"/>
      <c r="L69"/>
      <c r="M69"/>
      <c r="V69" s="32"/>
      <c r="W69" s="32"/>
    </row>
    <row r="70" spans="11:23" x14ac:dyDescent="0.25">
      <c r="K70"/>
      <c r="L70"/>
      <c r="M70"/>
      <c r="V70" s="32"/>
      <c r="W70" s="32"/>
    </row>
    <row r="71" spans="11:23" x14ac:dyDescent="0.25">
      <c r="K71"/>
      <c r="L71"/>
      <c r="M71"/>
      <c r="V71" s="32"/>
      <c r="W71" s="32"/>
    </row>
    <row r="72" spans="11:23" x14ac:dyDescent="0.25">
      <c r="K72"/>
      <c r="L72"/>
      <c r="M72"/>
      <c r="V72" s="32"/>
      <c r="W72" s="32"/>
    </row>
    <row r="73" spans="11:23" x14ac:dyDescent="0.25">
      <c r="K73"/>
      <c r="L73"/>
      <c r="V73" s="32"/>
    </row>
    <row r="74" spans="11:23" x14ac:dyDescent="0.25">
      <c r="K74"/>
      <c r="L74"/>
      <c r="V74" s="32"/>
    </row>
    <row r="75" spans="11:23" x14ac:dyDescent="0.25">
      <c r="K75"/>
      <c r="L75"/>
      <c r="V75" s="32"/>
    </row>
    <row r="76" spans="11:23" x14ac:dyDescent="0.25">
      <c r="K76"/>
      <c r="L76"/>
      <c r="V76" s="32"/>
    </row>
    <row r="77" spans="11:23" x14ac:dyDescent="0.25">
      <c r="K77"/>
      <c r="L77"/>
      <c r="V77" s="32"/>
    </row>
    <row r="78" spans="11:23" x14ac:dyDescent="0.25">
      <c r="K78"/>
      <c r="L78"/>
      <c r="V78" s="32"/>
    </row>
    <row r="79" spans="11:23" x14ac:dyDescent="0.25">
      <c r="K79"/>
      <c r="L79"/>
      <c r="V79" s="32"/>
    </row>
    <row r="80" spans="11:23" x14ac:dyDescent="0.25">
      <c r="K80"/>
      <c r="L80"/>
      <c r="V80" s="32"/>
    </row>
    <row r="81" spans="11:22" x14ac:dyDescent="0.25">
      <c r="K81"/>
      <c r="L81"/>
      <c r="V81" s="32"/>
    </row>
    <row r="82" spans="11:22" x14ac:dyDescent="0.25">
      <c r="K82"/>
      <c r="L82"/>
      <c r="V82" s="32"/>
    </row>
    <row r="83" spans="11:22" x14ac:dyDescent="0.25">
      <c r="K83"/>
      <c r="L83"/>
      <c r="V83" s="32"/>
    </row>
    <row r="84" spans="11:22" x14ac:dyDescent="0.25">
      <c r="K84"/>
      <c r="L84"/>
      <c r="V84" s="32"/>
    </row>
    <row r="85" spans="11:22" x14ac:dyDescent="0.25">
      <c r="K85"/>
      <c r="L85"/>
      <c r="V85" s="32"/>
    </row>
    <row r="86" spans="11:22" x14ac:dyDescent="0.25">
      <c r="K86"/>
      <c r="L86"/>
      <c r="V86" s="32"/>
    </row>
    <row r="87" spans="11:22" x14ac:dyDescent="0.25">
      <c r="K87"/>
      <c r="L87"/>
      <c r="V87" s="32"/>
    </row>
    <row r="88" spans="11:22" x14ac:dyDescent="0.25">
      <c r="K88"/>
      <c r="L88"/>
      <c r="V88" s="32"/>
    </row>
    <row r="89" spans="11:22" x14ac:dyDescent="0.25">
      <c r="K89"/>
      <c r="L89"/>
      <c r="V89" s="32"/>
    </row>
    <row r="90" spans="11:22" x14ac:dyDescent="0.25">
      <c r="K90"/>
      <c r="L90"/>
      <c r="V90" s="32"/>
    </row>
    <row r="91" spans="11:22" x14ac:dyDescent="0.25">
      <c r="K91"/>
      <c r="L91"/>
      <c r="V91" s="32"/>
    </row>
    <row r="92" spans="11:22" x14ac:dyDescent="0.25">
      <c r="K92"/>
      <c r="L92"/>
      <c r="V92" s="32"/>
    </row>
    <row r="93" spans="11:22" x14ac:dyDescent="0.25">
      <c r="K93"/>
      <c r="L93"/>
      <c r="V93" s="32"/>
    </row>
    <row r="94" spans="11:22" x14ac:dyDescent="0.25">
      <c r="K94"/>
      <c r="L94"/>
      <c r="V94" s="32"/>
    </row>
    <row r="95" spans="11:22" x14ac:dyDescent="0.25">
      <c r="K95"/>
      <c r="L95"/>
      <c r="V95" s="32"/>
    </row>
    <row r="96" spans="11:22" x14ac:dyDescent="0.25">
      <c r="K96"/>
      <c r="L96"/>
      <c r="V96" s="32"/>
    </row>
    <row r="97" spans="11:11" x14ac:dyDescent="0.25">
      <c r="K97"/>
    </row>
    <row r="98" spans="11:11" x14ac:dyDescent="0.25">
      <c r="K98"/>
    </row>
    <row r="99" spans="11:11" x14ac:dyDescent="0.25">
      <c r="K99"/>
    </row>
    <row r="100" spans="11:11" x14ac:dyDescent="0.25">
      <c r="K100"/>
    </row>
    <row r="101" spans="11:11" x14ac:dyDescent="0.25">
      <c r="K101"/>
    </row>
    <row r="102" spans="11:11" x14ac:dyDescent="0.25">
      <c r="K102"/>
    </row>
    <row r="103" spans="11:11" x14ac:dyDescent="0.25">
      <c r="K103"/>
    </row>
    <row r="104" spans="11:11" x14ac:dyDescent="0.25">
      <c r="K104"/>
    </row>
    <row r="105" spans="11:11" x14ac:dyDescent="0.25">
      <c r="K105"/>
    </row>
    <row r="106" spans="11:11" x14ac:dyDescent="0.25">
      <c r="K106"/>
    </row>
    <row r="107" spans="11:11" x14ac:dyDescent="0.25">
      <c r="K107"/>
    </row>
    <row r="108" spans="11:11" x14ac:dyDescent="0.25">
      <c r="K108"/>
    </row>
    <row r="109" spans="11:11" x14ac:dyDescent="0.25">
      <c r="K109"/>
    </row>
    <row r="110" spans="11:11" x14ac:dyDescent="0.25">
      <c r="K110"/>
    </row>
    <row r="111" spans="11:11" x14ac:dyDescent="0.25">
      <c r="K111"/>
    </row>
    <row r="112" spans="11:11" x14ac:dyDescent="0.25">
      <c r="K112"/>
    </row>
    <row r="113" spans="11:11" x14ac:dyDescent="0.25">
      <c r="K113"/>
    </row>
    <row r="114" spans="11:11" x14ac:dyDescent="0.25">
      <c r="K114"/>
    </row>
    <row r="115" spans="11:11" x14ac:dyDescent="0.25">
      <c r="K115"/>
    </row>
    <row r="116" spans="11:11" x14ac:dyDescent="0.25">
      <c r="K116"/>
    </row>
    <row r="117" spans="11:11" x14ac:dyDescent="0.25">
      <c r="K117"/>
    </row>
    <row r="118" spans="11:11" x14ac:dyDescent="0.25">
      <c r="K118"/>
    </row>
    <row r="119" spans="11:11" x14ac:dyDescent="0.25">
      <c r="K119"/>
    </row>
    <row r="120" spans="11:11" x14ac:dyDescent="0.25">
      <c r="K120"/>
    </row>
    <row r="121" spans="11:11" x14ac:dyDescent="0.25">
      <c r="K121"/>
    </row>
    <row r="122" spans="11:11" x14ac:dyDescent="0.25">
      <c r="K122"/>
    </row>
    <row r="123" spans="11:11" x14ac:dyDescent="0.25">
      <c r="K123"/>
    </row>
    <row r="124" spans="11:11" x14ac:dyDescent="0.25">
      <c r="K124"/>
    </row>
    <row r="125" spans="11:11" x14ac:dyDescent="0.25">
      <c r="K125"/>
    </row>
    <row r="126" spans="11:11" x14ac:dyDescent="0.25">
      <c r="K126"/>
    </row>
    <row r="127" spans="11:11" x14ac:dyDescent="0.25">
      <c r="K127"/>
    </row>
    <row r="128" spans="11:11" x14ac:dyDescent="0.25">
      <c r="K128"/>
    </row>
    <row r="129" spans="11:11" x14ac:dyDescent="0.25">
      <c r="K129"/>
    </row>
    <row r="130" spans="11:11" x14ac:dyDescent="0.25">
      <c r="K130"/>
    </row>
    <row r="131" spans="11:11" x14ac:dyDescent="0.25">
      <c r="K131"/>
    </row>
    <row r="132" spans="11:11" x14ac:dyDescent="0.25">
      <c r="K132"/>
    </row>
    <row r="133" spans="11:11" x14ac:dyDescent="0.25">
      <c r="K133"/>
    </row>
    <row r="134" spans="11:11" x14ac:dyDescent="0.25">
      <c r="K134"/>
    </row>
    <row r="135" spans="11:11" x14ac:dyDescent="0.25">
      <c r="K135"/>
    </row>
    <row r="136" spans="11:11" x14ac:dyDescent="0.25">
      <c r="K136"/>
    </row>
    <row r="137" spans="11:11" x14ac:dyDescent="0.25">
      <c r="K137"/>
    </row>
    <row r="138" spans="11:11" x14ac:dyDescent="0.25">
      <c r="K138"/>
    </row>
    <row r="139" spans="11:11" x14ac:dyDescent="0.25">
      <c r="K139"/>
    </row>
    <row r="140" spans="11:11" x14ac:dyDescent="0.25">
      <c r="K140"/>
    </row>
    <row r="141" spans="11:11" x14ac:dyDescent="0.25">
      <c r="K141"/>
    </row>
    <row r="142" spans="11:11" x14ac:dyDescent="0.25">
      <c r="K142"/>
    </row>
    <row r="143" spans="11:11" x14ac:dyDescent="0.25">
      <c r="K143"/>
    </row>
    <row r="144" spans="11:11" x14ac:dyDescent="0.25">
      <c r="K144"/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  <row r="187" spans="11:11" x14ac:dyDescent="0.25">
      <c r="K187"/>
    </row>
    <row r="188" spans="11:11" x14ac:dyDescent="0.25">
      <c r="K188"/>
    </row>
    <row r="189" spans="11:11" x14ac:dyDescent="0.25">
      <c r="K189"/>
    </row>
    <row r="190" spans="11:11" x14ac:dyDescent="0.25">
      <c r="K190"/>
    </row>
    <row r="191" spans="11:11" x14ac:dyDescent="0.25">
      <c r="K191"/>
    </row>
    <row r="192" spans="11:11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9:11" x14ac:dyDescent="0.25">
      <c r="K225"/>
    </row>
    <row r="226" spans="9:11" x14ac:dyDescent="0.25">
      <c r="K226"/>
    </row>
    <row r="227" spans="9:11" x14ac:dyDescent="0.25">
      <c r="K227"/>
    </row>
    <row r="228" spans="9:11" x14ac:dyDescent="0.25">
      <c r="K228"/>
    </row>
    <row r="229" spans="9:11" x14ac:dyDescent="0.25">
      <c r="K229"/>
    </row>
    <row r="230" spans="9:11" x14ac:dyDescent="0.25">
      <c r="K230"/>
    </row>
    <row r="231" spans="9:11" x14ac:dyDescent="0.25">
      <c r="K231"/>
    </row>
    <row r="240" spans="9:11" x14ac:dyDescent="0.25">
      <c r="I240">
        <f>0.18/(8*1.5)</f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workbookViewId="0">
      <selection activeCell="D2" sqref="D2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20.71093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</cols>
  <sheetData>
    <row r="1" spans="1:9" x14ac:dyDescent="0.25">
      <c r="A1" t="s">
        <v>88</v>
      </c>
      <c r="B1" s="86">
        <v>42822</v>
      </c>
      <c r="E1" s="14"/>
      <c r="F1" s="14"/>
      <c r="H1" t="s">
        <v>171</v>
      </c>
      <c r="I1" s="6">
        <v>299792458</v>
      </c>
    </row>
    <row r="2" spans="1:9" x14ac:dyDescent="0.25"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</row>
    <row r="3" spans="1:9" ht="34.5" customHeight="1" x14ac:dyDescent="0.25">
      <c r="A3" t="s">
        <v>89</v>
      </c>
      <c r="B3" s="88" t="s">
        <v>330</v>
      </c>
      <c r="C3" s="88"/>
      <c r="D3" s="88"/>
      <c r="E3">
        <f>1.5*26/30</f>
        <v>1.3</v>
      </c>
      <c r="F3">
        <f>1.5*(16.1/20)</f>
        <v>1.2075</v>
      </c>
      <c r="G3">
        <f>15*SQRT(650/675)</f>
        <v>14.719601443879744</v>
      </c>
    </row>
    <row r="4" spans="1:9" x14ac:dyDescent="0.25">
      <c r="B4" t="s">
        <v>95</v>
      </c>
      <c r="E4">
        <f>16.1*8/7</f>
        <v>18.400000000000002</v>
      </c>
      <c r="G4">
        <f>F3/2</f>
        <v>0.60375000000000001</v>
      </c>
      <c r="H4" s="5" t="s">
        <v>152</v>
      </c>
      <c r="I4" s="3" t="s">
        <v>91</v>
      </c>
    </row>
    <row r="5" spans="1:9" x14ac:dyDescent="0.25">
      <c r="B5" t="s">
        <v>90</v>
      </c>
      <c r="C5" s="80" t="s">
        <v>91</v>
      </c>
      <c r="D5" t="s">
        <v>92</v>
      </c>
      <c r="E5" t="s">
        <v>93</v>
      </c>
      <c r="F5" s="5"/>
      <c r="G5" s="3"/>
      <c r="H5" s="3"/>
      <c r="I5"/>
    </row>
    <row r="6" spans="1:9" x14ac:dyDescent="0.25">
      <c r="A6" t="s">
        <v>0</v>
      </c>
      <c r="C6" s="80"/>
      <c r="F6" s="5" t="s">
        <v>153</v>
      </c>
      <c r="G6" s="4">
        <v>2E+17</v>
      </c>
      <c r="H6" s="3" t="s">
        <v>155</v>
      </c>
      <c r="I6"/>
    </row>
    <row r="7" spans="1:9" x14ac:dyDescent="0.25">
      <c r="B7" t="s">
        <v>1</v>
      </c>
      <c r="C7" s="80">
        <v>1000</v>
      </c>
      <c r="D7" t="s">
        <v>126</v>
      </c>
      <c r="F7" s="5" t="s">
        <v>158</v>
      </c>
      <c r="G7" s="3">
        <v>0.8</v>
      </c>
      <c r="H7" s="3" t="s">
        <v>159</v>
      </c>
      <c r="I7"/>
    </row>
    <row r="8" spans="1:9" x14ac:dyDescent="0.25">
      <c r="B8" t="s">
        <v>2</v>
      </c>
      <c r="C8" s="80">
        <v>600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</row>
    <row r="9" spans="1:9" x14ac:dyDescent="0.25">
      <c r="B9" t="s">
        <v>8</v>
      </c>
      <c r="C9" s="21">
        <f>G24</f>
        <v>0.96425369518666448</v>
      </c>
      <c r="E9" s="14">
        <f>E10*1000000000/I1</f>
        <v>5.905802487165535</v>
      </c>
      <c r="F9" s="5" t="s">
        <v>209</v>
      </c>
      <c r="G9" s="6">
        <f>SQRT(G8/G6)</f>
        <v>93.326125093673525</v>
      </c>
      <c r="H9" s="3"/>
      <c r="I9"/>
    </row>
    <row r="10" spans="1:9" x14ac:dyDescent="0.25">
      <c r="B10" t="s">
        <v>9</v>
      </c>
      <c r="C10" s="80">
        <v>3</v>
      </c>
      <c r="E10" s="14">
        <f>0.149/E16</f>
        <v>1.7705150440898691</v>
      </c>
      <c r="F10" s="5" t="s">
        <v>156</v>
      </c>
      <c r="G10" s="6">
        <f xml:space="preserve"> 56414.602*SQRT(G6)</f>
        <v>25229376999119.117</v>
      </c>
      <c r="H10" s="3" t="s">
        <v>189</v>
      </c>
      <c r="I10"/>
    </row>
    <row r="11" spans="1:9" x14ac:dyDescent="0.25">
      <c r="B11" t="s">
        <v>10</v>
      </c>
      <c r="C11" s="80">
        <v>20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</row>
    <row r="12" spans="1:9" x14ac:dyDescent="0.25">
      <c r="B12" t="s">
        <v>11</v>
      </c>
      <c r="C12" s="22">
        <f>G20</f>
        <v>4.2467512877693689</v>
      </c>
      <c r="E12">
        <f>E13/2</f>
        <v>0.84932180028801907</v>
      </c>
      <c r="F12" s="5" t="s">
        <v>160</v>
      </c>
      <c r="G12" s="7">
        <f>SQRT(G6/G8)</f>
        <v>1.0715113254689164E-2</v>
      </c>
      <c r="H12" s="3" t="s">
        <v>87</v>
      </c>
      <c r="I12"/>
    </row>
    <row r="13" spans="1:9" x14ac:dyDescent="0.25">
      <c r="B13" t="s">
        <v>110</v>
      </c>
      <c r="C13" s="80">
        <v>15</v>
      </c>
      <c r="E13">
        <f>2/SQRT(2*LN(2))</f>
        <v>1.6986436005760381</v>
      </c>
      <c r="F13" s="5" t="s">
        <v>161</v>
      </c>
      <c r="G13" s="6">
        <f>0.0001*G7*SQRT(G8/G6)</f>
        <v>7.466090007493883E-3</v>
      </c>
      <c r="H13" s="3" t="s">
        <v>162</v>
      </c>
      <c r="I13"/>
    </row>
    <row r="14" spans="1:9" x14ac:dyDescent="0.25">
      <c r="B14" t="s">
        <v>12</v>
      </c>
      <c r="C14" s="23">
        <f>G34/2</f>
        <v>0.34941689944248544</v>
      </c>
      <c r="D14" t="s">
        <v>139</v>
      </c>
      <c r="E14" s="14">
        <f>0.5*G14</f>
        <v>37.330450037469411</v>
      </c>
      <c r="F14" s="5" t="s">
        <v>181</v>
      </c>
      <c r="G14" s="6">
        <f>10000*G13</f>
        <v>74.660900074938823</v>
      </c>
      <c r="H14" s="3" t="s">
        <v>166</v>
      </c>
      <c r="I14" s="14"/>
    </row>
    <row r="15" spans="1:9" x14ac:dyDescent="0.25">
      <c r="B15" t="s">
        <v>254</v>
      </c>
      <c r="C15" s="80">
        <v>2</v>
      </c>
      <c r="D15" t="s">
        <v>138</v>
      </c>
      <c r="E15" s="14">
        <f>E14/16.7</f>
        <v>2.235356289668827</v>
      </c>
      <c r="F15" s="5" t="s">
        <v>190</v>
      </c>
      <c r="G15" s="6">
        <f>2*PI()*1000000000000000/G10</f>
        <v>249.04242809479453</v>
      </c>
      <c r="H15" s="3" t="s">
        <v>169</v>
      </c>
      <c r="I15"/>
    </row>
    <row r="16" spans="1:9" x14ac:dyDescent="0.25">
      <c r="B16" t="s">
        <v>13</v>
      </c>
      <c r="C16" s="22">
        <f>-4/G$18</f>
        <v>-3.9999977359743228</v>
      </c>
      <c r="D16" t="s">
        <v>255</v>
      </c>
      <c r="E16" s="14">
        <f>0.0001*G16</f>
        <v>8.4156302708285224E-2</v>
      </c>
      <c r="F16" s="5" t="s">
        <v>163</v>
      </c>
      <c r="G16" s="6">
        <f>2*PI()/G13</f>
        <v>841.56302708285216</v>
      </c>
      <c r="H16" s="3" t="s">
        <v>164</v>
      </c>
      <c r="I16" s="1"/>
    </row>
    <row r="17" spans="2:9" x14ac:dyDescent="0.25">
      <c r="B17" t="s">
        <v>14</v>
      </c>
      <c r="C17" s="80">
        <v>5000000</v>
      </c>
      <c r="D17" t="s">
        <v>140</v>
      </c>
      <c r="E17">
        <f>1/G17</f>
        <v>1.9816630879857532E-2</v>
      </c>
      <c r="F17" s="5" t="s">
        <v>165</v>
      </c>
      <c r="G17" s="3">
        <v>50.462664721501305</v>
      </c>
      <c r="H17" s="3" t="s">
        <v>166</v>
      </c>
      <c r="I17" s="1"/>
    </row>
    <row r="18" spans="2:9" x14ac:dyDescent="0.25">
      <c r="B18" t="s">
        <v>15</v>
      </c>
      <c r="C18" s="22">
        <f>5/G$18</f>
        <v>4.9999971699679033</v>
      </c>
      <c r="D18" t="s">
        <v>141</v>
      </c>
      <c r="E18" s="14">
        <f>10000*G18</f>
        <v>10000.005660067396</v>
      </c>
      <c r="F18" s="5" t="s">
        <v>195</v>
      </c>
      <c r="G18" s="3">
        <f>0.0001*PI()*G17*G17/G7</f>
        <v>1.0000005660067397</v>
      </c>
      <c r="H18" s="3" t="s">
        <v>162</v>
      </c>
      <c r="I18"/>
    </row>
    <row r="19" spans="2:9" x14ac:dyDescent="0.25">
      <c r="B19" t="s">
        <v>16</v>
      </c>
      <c r="C19" s="80">
        <f>(C18-C16)/50</f>
        <v>0.17999989811884454</v>
      </c>
      <c r="D19" t="s">
        <v>142</v>
      </c>
      <c r="F19" s="5" t="s">
        <v>196</v>
      </c>
      <c r="G19" s="6">
        <f>G18*G16</f>
        <v>841.5635034131974</v>
      </c>
      <c r="H19" s="3" t="s">
        <v>167</v>
      </c>
      <c r="I19"/>
    </row>
    <row r="20" spans="2:9" x14ac:dyDescent="0.25">
      <c r="B20" t="s">
        <v>17</v>
      </c>
      <c r="C20" s="80">
        <v>300</v>
      </c>
      <c r="D20" t="s">
        <v>143</v>
      </c>
      <c r="E20">
        <v>7.1294579999999996</v>
      </c>
      <c r="F20" s="5" t="s">
        <v>11</v>
      </c>
      <c r="G20" s="7">
        <f>0.0001*G17*G16</f>
        <v>4.2467512877693689</v>
      </c>
      <c r="H20" s="3" t="s">
        <v>167</v>
      </c>
      <c r="I20"/>
    </row>
    <row r="21" spans="2:9" x14ac:dyDescent="0.25">
      <c r="B21" t="s">
        <v>18</v>
      </c>
      <c r="C21" s="80">
        <v>6</v>
      </c>
      <c r="D21" t="s">
        <v>144</v>
      </c>
      <c r="E21" s="20">
        <f>10000*E20/G16</f>
        <v>84.716863390650147</v>
      </c>
      <c r="F21" s="5" t="s">
        <v>168</v>
      </c>
      <c r="G21" s="3">
        <v>45</v>
      </c>
      <c r="H21" s="3" t="s">
        <v>169</v>
      </c>
      <c r="I21"/>
    </row>
    <row r="22" spans="2:9" x14ac:dyDescent="0.25">
      <c r="B22" t="s">
        <v>19</v>
      </c>
      <c r="C22" s="80">
        <v>50</v>
      </c>
      <c r="D22" t="s">
        <v>128</v>
      </c>
      <c r="E22">
        <f>G21/G22</f>
        <v>1.1774100225154747</v>
      </c>
      <c r="F22" s="5" t="s">
        <v>170</v>
      </c>
      <c r="G22" s="13">
        <f>G21/SQRT(2*LN(2))</f>
        <v>38.219481012960856</v>
      </c>
      <c r="H22" s="3" t="s">
        <v>169</v>
      </c>
      <c r="I22"/>
    </row>
    <row r="23" spans="2:9" x14ac:dyDescent="0.25">
      <c r="B23" t="s">
        <v>20</v>
      </c>
      <c r="C23" s="80">
        <v>20</v>
      </c>
      <c r="D23" t="s">
        <v>145</v>
      </c>
      <c r="E23">
        <f>1/E22</f>
        <v>0.84932180028801907</v>
      </c>
      <c r="F23" s="5" t="s">
        <v>173</v>
      </c>
      <c r="G23" s="10">
        <f>I$1*0.000000000000001*1000000*G21</f>
        <v>13.490660610000003</v>
      </c>
      <c r="H23" s="3" t="s">
        <v>166</v>
      </c>
      <c r="I23"/>
    </row>
    <row r="24" spans="2:9" x14ac:dyDescent="0.25">
      <c r="B24" t="s">
        <v>21</v>
      </c>
      <c r="C24" s="80">
        <v>100</v>
      </c>
      <c r="D24" t="s">
        <v>146</v>
      </c>
      <c r="F24" s="5" t="s">
        <v>8</v>
      </c>
      <c r="G24" s="11">
        <f>0.000000000000001*G22*G10</f>
        <v>0.96425369518666448</v>
      </c>
      <c r="H24" s="3" t="s">
        <v>167</v>
      </c>
      <c r="I24"/>
    </row>
    <row r="25" spans="2:9" x14ac:dyDescent="0.25">
      <c r="B25" t="s">
        <v>22</v>
      </c>
      <c r="C25" s="22">
        <f>G12</f>
        <v>1.0715113254689164E-2</v>
      </c>
      <c r="E25">
        <f>G25*375/600</f>
        <v>14.977658559491665</v>
      </c>
      <c r="F25" s="5" t="s">
        <v>175</v>
      </c>
      <c r="G25" s="11">
        <f>C9+C10+C11</f>
        <v>23.964253695186663</v>
      </c>
      <c r="H25" s="3" t="s">
        <v>167</v>
      </c>
      <c r="I25"/>
    </row>
    <row r="26" spans="2:9" x14ac:dyDescent="0.25">
      <c r="B26" t="s">
        <v>23</v>
      </c>
      <c r="C26" s="80">
        <v>2</v>
      </c>
      <c r="E26" s="12"/>
      <c r="F26" s="5" t="s">
        <v>178</v>
      </c>
      <c r="G26" s="11">
        <f>G20*C13</f>
        <v>63.701269316540532</v>
      </c>
      <c r="H26" s="3" t="s">
        <v>167</v>
      </c>
      <c r="I26"/>
    </row>
    <row r="27" spans="2:9" x14ac:dyDescent="0.25">
      <c r="B27" t="s">
        <v>24</v>
      </c>
      <c r="C27" s="80">
        <v>0.3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284.75887038734385</v>
      </c>
      <c r="H27" s="3" t="s">
        <v>166</v>
      </c>
      <c r="I27"/>
    </row>
    <row r="28" spans="2:9" x14ac:dyDescent="0.25">
      <c r="B28" t="s">
        <v>25</v>
      </c>
      <c r="C28" s="80">
        <v>1</v>
      </c>
      <c r="D28">
        <f>2.142311</f>
        <v>2.1423109999999999</v>
      </c>
      <c r="F28" s="5" t="s">
        <v>179</v>
      </c>
      <c r="G28" s="6">
        <f>G26*10000/G16</f>
        <v>756.93997082251951</v>
      </c>
      <c r="H28" s="3" t="s">
        <v>166</v>
      </c>
      <c r="I28"/>
    </row>
    <row r="29" spans="2:9" x14ac:dyDescent="0.25">
      <c r="B29" t="s">
        <v>26</v>
      </c>
      <c r="C29" s="80">
        <v>0</v>
      </c>
      <c r="D29">
        <f>D27/D28</f>
        <v>1.0559008472626059</v>
      </c>
      <c r="E29">
        <f>6.7/G29</f>
        <v>279.58308592542267</v>
      </c>
      <c r="F29" s="5" t="s">
        <v>177</v>
      </c>
      <c r="G29" s="3">
        <f>G25/C7</f>
        <v>2.3964253695186663E-2</v>
      </c>
      <c r="H29" s="3" t="s">
        <v>167</v>
      </c>
      <c r="I29"/>
    </row>
    <row r="30" spans="2:9" x14ac:dyDescent="0.25">
      <c r="B30" t="s">
        <v>27</v>
      </c>
      <c r="C30" s="80">
        <v>3</v>
      </c>
      <c r="D30" t="s">
        <v>147</v>
      </c>
      <c r="E30">
        <f>3*(2.894+E29)/2.893</f>
        <v>292.92473479995442</v>
      </c>
      <c r="F30" s="5" t="s">
        <v>180</v>
      </c>
      <c r="G30" s="6">
        <f>10000*G29/G16</f>
        <v>0.28475887038734382</v>
      </c>
      <c r="H30" s="3" t="s">
        <v>166</v>
      </c>
      <c r="I30"/>
    </row>
    <row r="31" spans="2:9" x14ac:dyDescent="0.25">
      <c r="B31" t="s">
        <v>28</v>
      </c>
      <c r="C31" s="80">
        <v>1</v>
      </c>
      <c r="D31">
        <f>D29^2</f>
        <v>1.1149265992498891</v>
      </c>
      <c r="E31" s="12">
        <f>6/G31</f>
        <v>56.513787537122624</v>
      </c>
      <c r="F31" s="5" t="s">
        <v>182</v>
      </c>
      <c r="G31" s="3">
        <f>G26/C8</f>
        <v>0.10616878219423422</v>
      </c>
      <c r="H31" s="3" t="s">
        <v>167</v>
      </c>
      <c r="I31"/>
    </row>
    <row r="32" spans="2:9" x14ac:dyDescent="0.25">
      <c r="B32" t="s">
        <v>29</v>
      </c>
      <c r="C32" s="80">
        <v>10</v>
      </c>
      <c r="D32">
        <f>D31*0.6</f>
        <v>0.66895595954993348</v>
      </c>
      <c r="E32" s="14">
        <f>57*G32</f>
        <v>71.909297228139366</v>
      </c>
      <c r="F32" s="5" t="s">
        <v>183</v>
      </c>
      <c r="G32" s="6">
        <f>G31*10000/G16</f>
        <v>1.2615666180375327</v>
      </c>
      <c r="H32" s="3" t="s">
        <v>166</v>
      </c>
      <c r="I32"/>
    </row>
    <row r="33" spans="2:9" x14ac:dyDescent="0.25">
      <c r="B33" t="s">
        <v>30</v>
      </c>
      <c r="C33" s="80">
        <v>1</v>
      </c>
      <c r="F33" s="5" t="s">
        <v>185</v>
      </c>
      <c r="G33" s="26">
        <v>1.043844E+18</v>
      </c>
      <c r="H33" s="3" t="s">
        <v>186</v>
      </c>
      <c r="I33"/>
    </row>
    <row r="34" spans="2:9" x14ac:dyDescent="0.25">
      <c r="B34" t="s">
        <v>31</v>
      </c>
      <c r="C34" s="80">
        <v>0.125</v>
      </c>
      <c r="F34" s="5" t="s">
        <v>184</v>
      </c>
      <c r="G34" s="11">
        <f>0.855*SQRT(0.000000000000000001*G33)*G7</f>
        <v>0.69883379888497088</v>
      </c>
      <c r="H34" s="3" t="s">
        <v>87</v>
      </c>
      <c r="I34"/>
    </row>
    <row r="35" spans="2:9" x14ac:dyDescent="0.25">
      <c r="B35" t="s">
        <v>32</v>
      </c>
      <c r="C35" s="80">
        <v>2</v>
      </c>
      <c r="D35" t="s">
        <v>129</v>
      </c>
      <c r="F35" s="5" t="s">
        <v>187</v>
      </c>
      <c r="G35" s="13">
        <f>G22*G17*G17*0.000000000000000001*G33/(225.38*225.38)</f>
        <v>1.9999999999999998</v>
      </c>
      <c r="H35" s="3" t="s">
        <v>188</v>
      </c>
      <c r="I35"/>
    </row>
    <row r="36" spans="2:9" x14ac:dyDescent="0.25">
      <c r="B36" t="s">
        <v>33</v>
      </c>
      <c r="C36" s="80">
        <v>800</v>
      </c>
      <c r="F36" s="5" t="s">
        <v>202</v>
      </c>
      <c r="G36" s="3">
        <v>100</v>
      </c>
      <c r="H36" s="3" t="s">
        <v>169</v>
      </c>
      <c r="I36"/>
    </row>
    <row r="37" spans="2:9" x14ac:dyDescent="0.25">
      <c r="B37" t="s">
        <v>34</v>
      </c>
      <c r="C37" s="80">
        <v>1000</v>
      </c>
      <c r="F37" s="5" t="s">
        <v>192</v>
      </c>
      <c r="G37" s="6">
        <f>0.000000000000001*G36*G10</f>
        <v>2.5229376999119117</v>
      </c>
      <c r="H37" s="3" t="s">
        <v>167</v>
      </c>
      <c r="I37"/>
    </row>
    <row r="38" spans="2:9" x14ac:dyDescent="0.25">
      <c r="B38" t="s">
        <v>35</v>
      </c>
      <c r="C38" s="80">
        <v>1</v>
      </c>
      <c r="F38" s="5" t="s">
        <v>193</v>
      </c>
      <c r="G38" s="3">
        <v>10</v>
      </c>
      <c r="H38" s="3" t="s">
        <v>166</v>
      </c>
      <c r="I38"/>
    </row>
    <row r="39" spans="2:9" x14ac:dyDescent="0.25">
      <c r="B39" t="s">
        <v>36</v>
      </c>
      <c r="C39" s="80">
        <v>1</v>
      </c>
      <c r="F39" s="5" t="s">
        <v>194</v>
      </c>
      <c r="G39" s="6">
        <f>0.0001*G38*G16</f>
        <v>0.84156302708285213</v>
      </c>
      <c r="H39" s="3"/>
      <c r="I39"/>
    </row>
    <row r="40" spans="2:9" x14ac:dyDescent="0.25">
      <c r="B40" t="s">
        <v>213</v>
      </c>
      <c r="C40" s="80">
        <v>1</v>
      </c>
      <c r="F40" s="5" t="s">
        <v>197</v>
      </c>
      <c r="G40" s="3">
        <v>6.2542</v>
      </c>
      <c r="H40" s="3" t="s">
        <v>198</v>
      </c>
      <c r="I40"/>
    </row>
    <row r="41" spans="2:9" x14ac:dyDescent="0.25">
      <c r="B41" t="s">
        <v>130</v>
      </c>
      <c r="C41" s="22">
        <v>3</v>
      </c>
      <c r="F41" s="5" t="s">
        <v>200</v>
      </c>
      <c r="G41" s="3">
        <f>SQRT(1+(G40/I2)^2)</f>
        <v>12.279949285643866</v>
      </c>
      <c r="H41" s="3"/>
      <c r="I41"/>
    </row>
    <row r="42" spans="2:9" x14ac:dyDescent="0.25">
      <c r="B42" t="s">
        <v>131</v>
      </c>
      <c r="C42" s="22">
        <v>4</v>
      </c>
      <c r="F42" s="5" t="s">
        <v>201</v>
      </c>
      <c r="G42" s="6">
        <f>2*G41*G41*(0.5*PI()+C10-C84)/G19</f>
        <v>-5.529422319374639</v>
      </c>
      <c r="H42" s="3"/>
      <c r="I42"/>
    </row>
    <row r="43" spans="2:9" x14ac:dyDescent="0.25">
      <c r="B43" t="s">
        <v>132</v>
      </c>
      <c r="C43" s="22">
        <v>5</v>
      </c>
      <c r="F43" s="5" t="s">
        <v>203</v>
      </c>
      <c r="G43" s="6">
        <f>0.5*G41*G41*G13</f>
        <v>0.56293256402863789</v>
      </c>
      <c r="H43" s="3" t="s">
        <v>162</v>
      </c>
      <c r="I43"/>
    </row>
    <row r="44" spans="2:9" x14ac:dyDescent="0.25">
      <c r="B44" t="s">
        <v>133</v>
      </c>
      <c r="C44" s="22">
        <v>6</v>
      </c>
      <c r="F44" s="5" t="s">
        <v>203</v>
      </c>
      <c r="G44" s="6">
        <f>G43/G18</f>
        <v>0.56293224540519304</v>
      </c>
      <c r="H44" s="3" t="s">
        <v>195</v>
      </c>
      <c r="I44"/>
    </row>
    <row r="45" spans="2:9" x14ac:dyDescent="0.25">
      <c r="B45" t="s">
        <v>37</v>
      </c>
      <c r="C45" s="80">
        <v>0</v>
      </c>
      <c r="F45" s="5" t="s">
        <v>204</v>
      </c>
      <c r="G45" s="3">
        <f>PI()*G41*G41</f>
        <v>473.74323262745196</v>
      </c>
      <c r="H45" s="3"/>
      <c r="I45"/>
    </row>
    <row r="46" spans="2:9" x14ac:dyDescent="0.25">
      <c r="B46" t="s">
        <v>38</v>
      </c>
      <c r="C46" s="80">
        <v>1000000000</v>
      </c>
      <c r="D46" t="s">
        <v>148</v>
      </c>
      <c r="F46" s="5" t="s">
        <v>205</v>
      </c>
      <c r="G46" s="6">
        <f>G45/G19</f>
        <v>0.56293224540519293</v>
      </c>
      <c r="H46" s="3"/>
      <c r="I46"/>
    </row>
    <row r="47" spans="2:9" x14ac:dyDescent="0.25">
      <c r="B47" t="s">
        <v>39</v>
      </c>
      <c r="C47" s="80">
        <v>0</v>
      </c>
      <c r="D47" t="s">
        <v>134</v>
      </c>
      <c r="F47" s="5"/>
      <c r="G47" s="3"/>
      <c r="H47" s="3"/>
      <c r="I47"/>
    </row>
    <row r="48" spans="2:9" x14ac:dyDescent="0.25">
      <c r="B48" t="s">
        <v>40</v>
      </c>
      <c r="C48" s="80">
        <v>0.75</v>
      </c>
      <c r="D48" t="s">
        <v>135</v>
      </c>
      <c r="F48" s="5"/>
      <c r="G48" s="3"/>
      <c r="H48" s="3"/>
      <c r="I48"/>
    </row>
    <row r="49" spans="1:9" x14ac:dyDescent="0.25">
      <c r="B49" t="s">
        <v>41</v>
      </c>
      <c r="C49" s="80">
        <v>0</v>
      </c>
      <c r="D49" t="s">
        <v>149</v>
      </c>
      <c r="F49" s="5"/>
      <c r="G49" s="3"/>
      <c r="H49" s="3"/>
      <c r="I49"/>
    </row>
    <row r="50" spans="1:9" x14ac:dyDescent="0.25">
      <c r="B50" t="s">
        <v>42</v>
      </c>
      <c r="C50" s="80">
        <v>2.25</v>
      </c>
      <c r="F50" s="5"/>
      <c r="G50" s="3"/>
      <c r="H50" s="3"/>
      <c r="I50"/>
    </row>
    <row r="51" spans="1:9" x14ac:dyDescent="0.25">
      <c r="C51" s="80"/>
      <c r="F51" s="5"/>
      <c r="G51" s="3"/>
      <c r="H51" s="3"/>
      <c r="I51"/>
    </row>
    <row r="52" spans="1:9" x14ac:dyDescent="0.25">
      <c r="C52" s="80"/>
      <c r="F52" s="5"/>
      <c r="G52" s="3"/>
      <c r="H52" s="3"/>
      <c r="I52"/>
    </row>
    <row r="53" spans="1:9" x14ac:dyDescent="0.25">
      <c r="C53" s="80"/>
      <c r="F53" s="5"/>
      <c r="G53" s="7"/>
      <c r="H53" s="3"/>
      <c r="I53"/>
    </row>
    <row r="54" spans="1:9" x14ac:dyDescent="0.25">
      <c r="B54" t="s">
        <v>45</v>
      </c>
      <c r="C54" s="80" t="s">
        <v>46</v>
      </c>
      <c r="F54" s="5"/>
      <c r="G54" s="7"/>
      <c r="H54" s="3"/>
      <c r="I54"/>
    </row>
    <row r="55" spans="1:9" x14ac:dyDescent="0.25">
      <c r="B55" t="s">
        <v>210</v>
      </c>
      <c r="C55" s="80" t="s">
        <v>47</v>
      </c>
      <c r="F55" s="5"/>
      <c r="G55" s="7"/>
      <c r="H55" s="3"/>
      <c r="I55"/>
    </row>
    <row r="56" spans="1:9" x14ac:dyDescent="0.25">
      <c r="A56" t="s">
        <v>43</v>
      </c>
      <c r="B56" t="s">
        <v>48</v>
      </c>
      <c r="C56" s="80" t="s">
        <v>46</v>
      </c>
      <c r="F56" s="5"/>
      <c r="G56" s="3"/>
      <c r="H56" s="3"/>
      <c r="I56"/>
    </row>
    <row r="57" spans="1:9" x14ac:dyDescent="0.25">
      <c r="B57" t="s">
        <v>214</v>
      </c>
      <c r="C57" s="80">
        <v>4</v>
      </c>
      <c r="F57" s="5"/>
      <c r="G57" s="3"/>
      <c r="H57" s="3"/>
      <c r="I57"/>
    </row>
    <row r="58" spans="1:9" x14ac:dyDescent="0.25">
      <c r="A58" t="s">
        <v>44</v>
      </c>
      <c r="B58" t="s">
        <v>49</v>
      </c>
      <c r="C58" s="80" t="s">
        <v>46</v>
      </c>
      <c r="F58" s="5"/>
      <c r="G58" s="3"/>
      <c r="H58" s="3"/>
      <c r="I58"/>
    </row>
    <row r="59" spans="1:9" x14ac:dyDescent="0.25">
      <c r="B59" t="s">
        <v>50</v>
      </c>
      <c r="C59" s="80" t="s">
        <v>46</v>
      </c>
      <c r="D59" t="s">
        <v>137</v>
      </c>
      <c r="F59" s="5"/>
      <c r="G59" s="3"/>
      <c r="H59" s="3"/>
      <c r="I59"/>
    </row>
    <row r="60" spans="1:9" x14ac:dyDescent="0.25">
      <c r="B60" t="s">
        <v>51</v>
      </c>
      <c r="C60" s="80" t="s">
        <v>46</v>
      </c>
      <c r="F60" s="5"/>
      <c r="G60" s="3"/>
      <c r="H60" s="3"/>
      <c r="I60"/>
    </row>
    <row r="61" spans="1:9" x14ac:dyDescent="0.25">
      <c r="B61" t="s">
        <v>52</v>
      </c>
      <c r="C61" s="80" t="s">
        <v>47</v>
      </c>
      <c r="F61" s="5"/>
      <c r="G61" s="3"/>
      <c r="H61" s="3"/>
      <c r="I61"/>
    </row>
    <row r="62" spans="1:9" x14ac:dyDescent="0.25">
      <c r="B62" t="s">
        <v>53</v>
      </c>
      <c r="C62" s="80" t="s">
        <v>47</v>
      </c>
      <c r="F62" s="5"/>
      <c r="G62" s="3"/>
      <c r="H62" s="3"/>
      <c r="I62"/>
    </row>
    <row r="63" spans="1:9" x14ac:dyDescent="0.25">
      <c r="B63" t="s">
        <v>54</v>
      </c>
      <c r="C63" s="80" t="s">
        <v>47</v>
      </c>
      <c r="D63" t="s">
        <v>150</v>
      </c>
      <c r="F63" s="5"/>
      <c r="G63" s="3"/>
      <c r="H63" s="3"/>
      <c r="I63"/>
    </row>
    <row r="64" spans="1:9" x14ac:dyDescent="0.25">
      <c r="B64" t="s">
        <v>55</v>
      </c>
      <c r="C64" s="80" t="s">
        <v>46</v>
      </c>
      <c r="F64" s="5"/>
      <c r="G64" s="3"/>
      <c r="H64" s="3"/>
      <c r="I64"/>
    </row>
    <row r="65" spans="1:9" x14ac:dyDescent="0.25">
      <c r="B65" t="s">
        <v>56</v>
      </c>
      <c r="C65" s="80" t="s">
        <v>47</v>
      </c>
      <c r="F65" s="5"/>
      <c r="G65" s="3"/>
      <c r="H65" s="3"/>
      <c r="I65"/>
    </row>
    <row r="66" spans="1:9" x14ac:dyDescent="0.25">
      <c r="B66" t="s">
        <v>57</v>
      </c>
      <c r="C66" s="80" t="s">
        <v>46</v>
      </c>
      <c r="F66" s="5"/>
      <c r="G66" s="3"/>
      <c r="H66" s="3"/>
      <c r="I66"/>
    </row>
    <row r="67" spans="1:9" x14ac:dyDescent="0.25">
      <c r="B67" t="s">
        <v>58</v>
      </c>
      <c r="C67" s="80" t="s">
        <v>46</v>
      </c>
      <c r="F67" s="5"/>
      <c r="G67" s="3"/>
      <c r="H67" s="3"/>
      <c r="I67"/>
    </row>
    <row r="68" spans="1:9" x14ac:dyDescent="0.25">
      <c r="B68" t="s">
        <v>59</v>
      </c>
      <c r="C68" s="80" t="s">
        <v>46</v>
      </c>
      <c r="F68" s="5"/>
      <c r="G68" s="3"/>
      <c r="H68" s="3"/>
      <c r="I68"/>
    </row>
    <row r="69" spans="1:9" x14ac:dyDescent="0.25">
      <c r="C69" s="80"/>
      <c r="F69" s="5"/>
      <c r="G69" s="3"/>
      <c r="H69" s="3"/>
      <c r="I69"/>
    </row>
    <row r="70" spans="1:9" x14ac:dyDescent="0.25">
      <c r="C70" s="80"/>
      <c r="D70" t="s">
        <v>151</v>
      </c>
      <c r="F70" s="5"/>
      <c r="G70" s="3"/>
      <c r="H70" s="3"/>
      <c r="I70"/>
    </row>
    <row r="71" spans="1:9" x14ac:dyDescent="0.25">
      <c r="C71" s="80"/>
      <c r="F71" s="5"/>
      <c r="G71" s="3"/>
      <c r="H71" s="3"/>
      <c r="I71"/>
    </row>
    <row r="72" spans="1:9" x14ac:dyDescent="0.25">
      <c r="B72" t="s">
        <v>136</v>
      </c>
      <c r="C72" s="80">
        <v>0.8</v>
      </c>
      <c r="F72" s="5"/>
      <c r="G72" s="3"/>
      <c r="H72" s="3"/>
      <c r="I72"/>
    </row>
    <row r="73" spans="1:9" x14ac:dyDescent="0.25">
      <c r="C73" s="80"/>
      <c r="F73" s="5"/>
      <c r="G73" s="3"/>
      <c r="H73" s="3"/>
      <c r="I73"/>
    </row>
    <row r="74" spans="1:9" x14ac:dyDescent="0.25">
      <c r="A74" t="s">
        <v>43</v>
      </c>
      <c r="C74" s="80"/>
      <c r="F74" s="5"/>
      <c r="G74" s="3">
        <f>1/1.1^2</f>
        <v>0.82644628099173545</v>
      </c>
      <c r="H74" s="3"/>
      <c r="I74"/>
    </row>
    <row r="75" spans="1:9" x14ac:dyDescent="0.25">
      <c r="C75" s="80"/>
      <c r="F75" s="5"/>
      <c r="G75" s="3">
        <f>1/0.9^2</f>
        <v>1.2345679012345678</v>
      </c>
      <c r="H75" s="3"/>
      <c r="I75"/>
    </row>
    <row r="76" spans="1:9" x14ac:dyDescent="0.25">
      <c r="A76" t="s">
        <v>60</v>
      </c>
      <c r="C76" s="80"/>
      <c r="F76" s="5"/>
      <c r="G76" s="3">
        <f>G75-G74</f>
        <v>0.40812162024283238</v>
      </c>
      <c r="H76" s="3"/>
      <c r="I76"/>
    </row>
    <row r="77" spans="1:9" x14ac:dyDescent="0.25">
      <c r="B77" t="s">
        <v>62</v>
      </c>
      <c r="C77" s="80" t="s">
        <v>47</v>
      </c>
      <c r="F77" s="5"/>
      <c r="G77" s="3"/>
      <c r="H77" s="3"/>
      <c r="I77"/>
    </row>
    <row r="78" spans="1:9" x14ac:dyDescent="0.25">
      <c r="A78" t="s">
        <v>43</v>
      </c>
      <c r="B78" t="s">
        <v>63</v>
      </c>
      <c r="C78" s="80" t="s">
        <v>46</v>
      </c>
      <c r="F78" s="5"/>
      <c r="G78" s="3">
        <f>0.01/30000000000</f>
        <v>3.3333333333333334E-13</v>
      </c>
      <c r="H78" s="3"/>
      <c r="I78"/>
    </row>
    <row r="79" spans="1:9" x14ac:dyDescent="0.25">
      <c r="B79" t="s">
        <v>64</v>
      </c>
      <c r="C79" s="80" t="s">
        <v>46</v>
      </c>
      <c r="F79" s="5"/>
      <c r="G79" s="3"/>
      <c r="H79" s="3"/>
      <c r="I79"/>
    </row>
    <row r="80" spans="1:9" x14ac:dyDescent="0.25">
      <c r="A80" t="s">
        <v>61</v>
      </c>
      <c r="B80" t="s">
        <v>65</v>
      </c>
      <c r="C80" s="80" t="s">
        <v>46</v>
      </c>
      <c r="F80" s="5"/>
      <c r="G80" s="3"/>
      <c r="H80" s="3"/>
      <c r="I80"/>
    </row>
    <row r="81" spans="2:9" x14ac:dyDescent="0.25">
      <c r="B81" t="s">
        <v>211</v>
      </c>
      <c r="C81" s="80">
        <v>2</v>
      </c>
      <c r="F81" s="5"/>
      <c r="G81" s="3"/>
      <c r="H81" s="3"/>
      <c r="I81"/>
    </row>
    <row r="82" spans="2:9" x14ac:dyDescent="0.25">
      <c r="B82" t="s">
        <v>66</v>
      </c>
      <c r="C82" s="80" t="s">
        <v>46</v>
      </c>
      <c r="F82" s="5"/>
      <c r="G82" s="3"/>
      <c r="H82" s="3"/>
      <c r="I82"/>
    </row>
    <row r="83" spans="2:9" x14ac:dyDescent="0.25">
      <c r="B83" t="s">
        <v>67</v>
      </c>
      <c r="C83" s="25">
        <v>0.5</v>
      </c>
      <c r="F83" s="5"/>
      <c r="G83" s="3"/>
      <c r="H83" s="3"/>
      <c r="I83"/>
    </row>
    <row r="84" spans="2:9" x14ac:dyDescent="0.25">
      <c r="B84" t="s">
        <v>68</v>
      </c>
      <c r="C84" s="80">
        <v>20</v>
      </c>
      <c r="F84" s="5"/>
      <c r="G84" s="3"/>
      <c r="H84" s="3"/>
      <c r="I84"/>
    </row>
    <row r="85" spans="2:9" x14ac:dyDescent="0.25">
      <c r="B85" t="s">
        <v>69</v>
      </c>
      <c r="C85" s="80">
        <v>-1E-4</v>
      </c>
      <c r="F85" s="5"/>
      <c r="G85" s="3"/>
      <c r="H85" s="3"/>
      <c r="I85"/>
    </row>
    <row r="86" spans="2:9" x14ac:dyDescent="0.25">
      <c r="B86" t="s">
        <v>70</v>
      </c>
      <c r="C86" s="25">
        <v>0.15</v>
      </c>
      <c r="F86" s="5"/>
      <c r="G86" s="3"/>
      <c r="H86" s="3"/>
      <c r="I86"/>
    </row>
    <row r="87" spans="2:9" x14ac:dyDescent="0.25">
      <c r="B87" t="s">
        <v>71</v>
      </c>
      <c r="C87" s="80">
        <v>0.15</v>
      </c>
      <c r="F87" s="5"/>
      <c r="G87" s="3"/>
      <c r="H87" s="3"/>
      <c r="I87"/>
    </row>
    <row r="88" spans="2:9" x14ac:dyDescent="0.25">
      <c r="B88" t="s">
        <v>72</v>
      </c>
      <c r="C88" s="80">
        <v>12.28</v>
      </c>
      <c r="F88" s="5"/>
      <c r="G88" s="3"/>
      <c r="H88" s="3"/>
      <c r="I88"/>
    </row>
    <row r="89" spans="2:9" x14ac:dyDescent="0.25">
      <c r="B89" t="s">
        <v>191</v>
      </c>
      <c r="C89" s="80">
        <v>1E-3</v>
      </c>
      <c r="F89" s="5"/>
      <c r="G89" s="3"/>
      <c r="H89" s="3"/>
      <c r="I89"/>
    </row>
    <row r="90" spans="2:9" x14ac:dyDescent="0.25">
      <c r="B90" t="s">
        <v>73</v>
      </c>
      <c r="C90" s="21">
        <f>C16</f>
        <v>-3.9999977359743228</v>
      </c>
      <c r="F90" s="5"/>
      <c r="G90" s="3"/>
      <c r="H90" s="3"/>
      <c r="I90"/>
    </row>
    <row r="91" spans="2:9" x14ac:dyDescent="0.25">
      <c r="B91" t="s">
        <v>215</v>
      </c>
      <c r="C91" s="80">
        <v>168000</v>
      </c>
      <c r="F91" s="5"/>
      <c r="G91" s="3"/>
      <c r="H91" s="3"/>
      <c r="I91"/>
    </row>
    <row r="92" spans="2:9" x14ac:dyDescent="0.25">
      <c r="B92" t="s">
        <v>216</v>
      </c>
      <c r="C92" s="80">
        <v>1</v>
      </c>
      <c r="F92" s="5"/>
      <c r="G92" s="3"/>
      <c r="H92" s="3"/>
      <c r="I92"/>
    </row>
    <row r="93" spans="2:9" x14ac:dyDescent="0.25">
      <c r="B93" t="s">
        <v>74</v>
      </c>
      <c r="C93" s="80">
        <v>20</v>
      </c>
      <c r="F93" s="5"/>
      <c r="G93" s="3"/>
      <c r="H93" s="3"/>
      <c r="I93"/>
    </row>
    <row r="94" spans="2:9" x14ac:dyDescent="0.25">
      <c r="B94" t="s">
        <v>75</v>
      </c>
      <c r="C94" s="80">
        <v>50</v>
      </c>
      <c r="F94" s="5"/>
      <c r="G94" s="3"/>
      <c r="H94" s="3"/>
      <c r="I94"/>
    </row>
    <row r="95" spans="2:9" x14ac:dyDescent="0.25">
      <c r="B95" t="s">
        <v>76</v>
      </c>
      <c r="C95" s="80">
        <v>0</v>
      </c>
      <c r="D95">
        <f>0.975*C84</f>
        <v>19.5</v>
      </c>
      <c r="F95" s="5"/>
      <c r="G95" s="3"/>
      <c r="H95" s="3"/>
      <c r="I95"/>
    </row>
    <row r="96" spans="2:9" x14ac:dyDescent="0.25">
      <c r="B96" t="s">
        <v>77</v>
      </c>
      <c r="C96" s="80">
        <v>5.0000000000000001E-4</v>
      </c>
      <c r="F96" s="5"/>
      <c r="G96" s="3"/>
      <c r="H96" s="3"/>
      <c r="I96"/>
    </row>
    <row r="97" spans="2:9" x14ac:dyDescent="0.25">
      <c r="B97" t="s">
        <v>78</v>
      </c>
      <c r="C97" s="80">
        <v>0</v>
      </c>
      <c r="F97" s="5"/>
      <c r="G97" s="3"/>
      <c r="H97" s="3"/>
      <c r="I97"/>
    </row>
    <row r="98" spans="2:9" x14ac:dyDescent="0.25">
      <c r="B98" t="s">
        <v>79</v>
      </c>
      <c r="C98" s="80">
        <v>0</v>
      </c>
      <c r="F98" s="5"/>
      <c r="G98" s="3"/>
      <c r="H98" s="3"/>
      <c r="I98"/>
    </row>
    <row r="99" spans="2:9" x14ac:dyDescent="0.25">
      <c r="B99" t="s">
        <v>80</v>
      </c>
      <c r="C99" s="24">
        <f>C90</f>
        <v>-3.9999977359743228</v>
      </c>
      <c r="F99" s="5"/>
      <c r="G99" s="3"/>
      <c r="H99" s="3"/>
      <c r="I99"/>
    </row>
    <row r="100" spans="2:9" x14ac:dyDescent="0.25">
      <c r="B100" t="s">
        <v>81</v>
      </c>
      <c r="C100" s="80">
        <v>12.28</v>
      </c>
      <c r="F100" s="5"/>
      <c r="G100" s="3"/>
      <c r="H100" s="3"/>
      <c r="I100"/>
    </row>
    <row r="101" spans="2:9" x14ac:dyDescent="0.25">
      <c r="B101" t="s">
        <v>82</v>
      </c>
      <c r="C101" s="80">
        <v>150</v>
      </c>
      <c r="F101" s="5"/>
      <c r="G101" s="3"/>
      <c r="H101" s="3"/>
      <c r="I101"/>
    </row>
    <row r="102" spans="2:9" x14ac:dyDescent="0.25">
      <c r="B102" t="s">
        <v>83</v>
      </c>
      <c r="C102" s="80">
        <v>150</v>
      </c>
      <c r="F102" s="5"/>
      <c r="G102" s="3"/>
      <c r="H102" s="3"/>
      <c r="I102"/>
    </row>
    <row r="103" spans="2:9" x14ac:dyDescent="0.25">
      <c r="B103" t="s">
        <v>84</v>
      </c>
      <c r="C103" s="80">
        <v>200</v>
      </c>
      <c r="F103" s="5"/>
      <c r="G103" s="3"/>
      <c r="H103" s="3"/>
      <c r="I103"/>
    </row>
    <row r="104" spans="2:9" x14ac:dyDescent="0.25">
      <c r="B104" t="s">
        <v>85</v>
      </c>
      <c r="C104" s="80">
        <v>2.5</v>
      </c>
      <c r="F104" s="5"/>
      <c r="G104" s="3"/>
      <c r="H104" s="3"/>
      <c r="I104"/>
    </row>
    <row r="105" spans="2:9" x14ac:dyDescent="0.25">
      <c r="B105" t="s">
        <v>86</v>
      </c>
      <c r="C105" s="80">
        <v>802.5</v>
      </c>
      <c r="F105" s="5"/>
      <c r="G105" s="3"/>
      <c r="H105" s="3"/>
      <c r="I105"/>
    </row>
    <row r="106" spans="2:9" x14ac:dyDescent="0.25">
      <c r="B106" t="s">
        <v>87</v>
      </c>
      <c r="C106" s="80">
        <v>100</v>
      </c>
      <c r="F106" s="5"/>
      <c r="G106" s="3"/>
      <c r="H106" s="3"/>
      <c r="I106"/>
    </row>
    <row r="107" spans="2:9" x14ac:dyDescent="0.25">
      <c r="B107" t="s">
        <v>43</v>
      </c>
      <c r="C107" s="80"/>
      <c r="F107" s="5"/>
      <c r="G107" s="3"/>
      <c r="H107" s="3"/>
      <c r="I107"/>
    </row>
    <row r="108" spans="2:9" x14ac:dyDescent="0.25">
      <c r="C108" s="80"/>
      <c r="F108" s="5"/>
      <c r="G108" s="3"/>
      <c r="H108" s="3"/>
      <c r="I108"/>
    </row>
    <row r="109" spans="2:9" x14ac:dyDescent="0.25">
      <c r="C109" s="80"/>
      <c r="F109" s="5"/>
      <c r="G109" s="3"/>
      <c r="H109" s="3"/>
      <c r="I109"/>
    </row>
    <row r="110" spans="2:9" x14ac:dyDescent="0.25">
      <c r="C110" s="80"/>
      <c r="F110" s="5"/>
      <c r="G110" s="3"/>
      <c r="H110" s="3"/>
      <c r="I110"/>
    </row>
    <row r="111" spans="2:9" x14ac:dyDescent="0.25">
      <c r="C111" s="80"/>
      <c r="F111" s="5"/>
      <c r="G111" s="3"/>
      <c r="H111" s="3"/>
      <c r="I111"/>
    </row>
    <row r="112" spans="2:9" x14ac:dyDescent="0.25">
      <c r="C112" s="80"/>
      <c r="F112" s="5"/>
      <c r="G112" s="3"/>
      <c r="H112" s="3"/>
      <c r="I112"/>
    </row>
    <row r="113" spans="3:9" x14ac:dyDescent="0.25">
      <c r="C113" s="80"/>
      <c r="F113" s="5"/>
      <c r="G113" s="3"/>
      <c r="H113" s="3"/>
      <c r="I113"/>
    </row>
    <row r="114" spans="3:9" x14ac:dyDescent="0.25">
      <c r="C114" s="80"/>
      <c r="F114" s="5"/>
      <c r="G114" s="3"/>
      <c r="H114" s="3"/>
      <c r="I114"/>
    </row>
    <row r="115" spans="3:9" x14ac:dyDescent="0.25">
      <c r="C115" s="80"/>
      <c r="F115" s="5"/>
      <c r="G115" s="3"/>
      <c r="H115" s="3"/>
      <c r="I115"/>
    </row>
    <row r="116" spans="3:9" x14ac:dyDescent="0.25">
      <c r="C116" s="80"/>
      <c r="F116" s="5"/>
      <c r="G116" s="3"/>
      <c r="H116" s="3"/>
      <c r="I116"/>
    </row>
    <row r="117" spans="3:9" x14ac:dyDescent="0.25">
      <c r="C117" s="80"/>
      <c r="F117" s="5"/>
      <c r="G117" s="3"/>
      <c r="H117" s="3"/>
      <c r="I117"/>
    </row>
    <row r="118" spans="3:9" x14ac:dyDescent="0.25">
      <c r="C118" s="80"/>
      <c r="F118" s="5"/>
      <c r="G118" s="3"/>
      <c r="H118" s="3"/>
      <c r="I118"/>
    </row>
    <row r="119" spans="3:9" x14ac:dyDescent="0.25">
      <c r="C119" s="80"/>
      <c r="F119" s="5"/>
      <c r="G119" s="3"/>
      <c r="H119" s="3"/>
      <c r="I119"/>
    </row>
    <row r="120" spans="3:9" x14ac:dyDescent="0.25">
      <c r="C120" s="80"/>
      <c r="F120" s="5"/>
      <c r="G120" s="3"/>
      <c r="H120" s="3"/>
      <c r="I120"/>
    </row>
    <row r="121" spans="3:9" x14ac:dyDescent="0.25">
      <c r="C121" s="80"/>
      <c r="F121" s="5"/>
      <c r="G121" s="3"/>
      <c r="H121" s="3"/>
      <c r="I121"/>
    </row>
    <row r="122" spans="3:9" x14ac:dyDescent="0.25">
      <c r="C122" s="80"/>
      <c r="F122" s="5"/>
      <c r="G122" s="3"/>
      <c r="H122" s="3"/>
      <c r="I122"/>
    </row>
    <row r="123" spans="3:9" x14ac:dyDescent="0.25">
      <c r="C123" s="80"/>
      <c r="F123" s="5"/>
      <c r="G123" s="3"/>
      <c r="H123" s="3"/>
      <c r="I123"/>
    </row>
    <row r="124" spans="3:9" x14ac:dyDescent="0.25">
      <c r="C124" s="80"/>
      <c r="F124" s="5"/>
      <c r="G124" s="3"/>
      <c r="H124" s="3"/>
      <c r="I124"/>
    </row>
    <row r="125" spans="3:9" x14ac:dyDescent="0.25">
      <c r="C125" s="80"/>
      <c r="F125" s="5"/>
      <c r="G125" s="3"/>
      <c r="H125" s="3"/>
      <c r="I125"/>
    </row>
    <row r="126" spans="3:9" x14ac:dyDescent="0.25">
      <c r="C126" s="80"/>
      <c r="F126" s="5"/>
      <c r="G126" s="3"/>
      <c r="H126" s="3"/>
      <c r="I126"/>
    </row>
    <row r="127" spans="3:9" x14ac:dyDescent="0.25">
      <c r="C127" s="80"/>
      <c r="F127" s="5"/>
      <c r="G127" s="3"/>
      <c r="H127" s="3"/>
      <c r="I127"/>
    </row>
    <row r="128" spans="3:9" x14ac:dyDescent="0.25">
      <c r="C128" s="80"/>
      <c r="F128" s="5"/>
      <c r="G128" s="3"/>
      <c r="H128" s="3"/>
      <c r="I128"/>
    </row>
    <row r="129" spans="3:9" x14ac:dyDescent="0.25">
      <c r="C129" s="80"/>
      <c r="F129" s="5"/>
      <c r="G129" s="3"/>
      <c r="H129" s="3"/>
      <c r="I129"/>
    </row>
    <row r="130" spans="3:9" x14ac:dyDescent="0.25">
      <c r="C130" s="80"/>
      <c r="F130" s="5"/>
      <c r="G130" s="3"/>
      <c r="H130" s="3"/>
      <c r="I130"/>
    </row>
    <row r="131" spans="3:9" x14ac:dyDescent="0.25">
      <c r="C131" s="80"/>
      <c r="F131" s="5"/>
      <c r="G131" s="3"/>
      <c r="H131" s="3"/>
      <c r="I131"/>
    </row>
    <row r="132" spans="3:9" x14ac:dyDescent="0.25">
      <c r="C132" s="80"/>
      <c r="F132" s="5"/>
      <c r="G132" s="3"/>
      <c r="H132" s="3"/>
      <c r="I132"/>
    </row>
    <row r="133" spans="3:9" x14ac:dyDescent="0.25">
      <c r="C133" s="80"/>
      <c r="F133" s="5"/>
      <c r="G133" s="3"/>
      <c r="H133" s="3"/>
      <c r="I133"/>
    </row>
    <row r="134" spans="3:9" x14ac:dyDescent="0.25">
      <c r="C134" s="80"/>
      <c r="F134" s="5"/>
      <c r="G134" s="3"/>
      <c r="H134" s="3"/>
      <c r="I134"/>
    </row>
    <row r="135" spans="3:9" x14ac:dyDescent="0.25">
      <c r="C135" s="80"/>
      <c r="F135" s="5"/>
      <c r="G135" s="3"/>
      <c r="H135" s="3"/>
      <c r="I135"/>
    </row>
    <row r="136" spans="3:9" x14ac:dyDescent="0.25">
      <c r="C136" s="80"/>
      <c r="F136" s="5"/>
      <c r="G136" s="3"/>
      <c r="H136" s="3"/>
      <c r="I136"/>
    </row>
    <row r="137" spans="3:9" x14ac:dyDescent="0.25">
      <c r="C137" s="80"/>
      <c r="F137" s="5"/>
      <c r="G137" s="3"/>
      <c r="H137" s="3"/>
      <c r="I137"/>
    </row>
    <row r="138" spans="3:9" x14ac:dyDescent="0.25">
      <c r="C138" s="80"/>
      <c r="F138" s="5"/>
      <c r="G138" s="3"/>
      <c r="H138" s="3"/>
      <c r="I138"/>
    </row>
    <row r="139" spans="3:9" x14ac:dyDescent="0.25">
      <c r="C139" s="80"/>
      <c r="F139" s="5"/>
      <c r="G139" s="3"/>
      <c r="H139" s="3"/>
      <c r="I139"/>
    </row>
    <row r="140" spans="3:9" x14ac:dyDescent="0.25">
      <c r="C140" s="80"/>
      <c r="F140" s="5"/>
      <c r="G140" s="3"/>
      <c r="H140" s="3"/>
      <c r="I140"/>
    </row>
    <row r="141" spans="3:9" x14ac:dyDescent="0.25">
      <c r="C141" s="80"/>
      <c r="F141" s="5"/>
      <c r="G141" s="3"/>
      <c r="H141" s="3"/>
      <c r="I141"/>
    </row>
    <row r="142" spans="3:9" x14ac:dyDescent="0.25">
      <c r="C142" s="80"/>
      <c r="F142" s="5"/>
      <c r="G142" s="3"/>
      <c r="H142" s="3"/>
      <c r="I142"/>
    </row>
    <row r="143" spans="3:9" x14ac:dyDescent="0.25">
      <c r="C143" s="80"/>
      <c r="F143" s="5"/>
      <c r="G143" s="3"/>
      <c r="H143" s="3"/>
      <c r="I143"/>
    </row>
    <row r="144" spans="3:9" x14ac:dyDescent="0.25">
      <c r="C144" s="80"/>
      <c r="F144" s="5"/>
      <c r="G144" s="3"/>
      <c r="H144" s="3"/>
      <c r="I144"/>
    </row>
    <row r="145" spans="3:9" x14ac:dyDescent="0.25">
      <c r="C145" s="80"/>
      <c r="F145" s="5"/>
      <c r="G145" s="3"/>
      <c r="H145" s="3"/>
      <c r="I145"/>
    </row>
    <row r="146" spans="3:9" x14ac:dyDescent="0.25">
      <c r="C146" s="80"/>
      <c r="F146" s="5"/>
      <c r="G146" s="3"/>
      <c r="H146" s="3"/>
      <c r="I146"/>
    </row>
    <row r="147" spans="3:9" x14ac:dyDescent="0.25">
      <c r="C147" s="80"/>
      <c r="F147" s="5"/>
      <c r="G147" s="3"/>
      <c r="H147" s="3"/>
      <c r="I147"/>
    </row>
    <row r="148" spans="3:9" x14ac:dyDescent="0.25">
      <c r="C148" s="80"/>
      <c r="F148" s="5"/>
      <c r="G148" s="3"/>
      <c r="H148" s="3"/>
      <c r="I148"/>
    </row>
    <row r="149" spans="3:9" x14ac:dyDescent="0.25">
      <c r="C149" s="80"/>
      <c r="F149" s="5"/>
      <c r="G149" s="3"/>
      <c r="H149" s="3"/>
      <c r="I149"/>
    </row>
    <row r="150" spans="3:9" x14ac:dyDescent="0.25">
      <c r="C150" s="80"/>
      <c r="F150" s="5"/>
      <c r="G150" s="3"/>
      <c r="H150" s="3"/>
      <c r="I150"/>
    </row>
    <row r="151" spans="3:9" x14ac:dyDescent="0.25">
      <c r="C151" s="80"/>
      <c r="F151" s="5"/>
      <c r="G151" s="3"/>
      <c r="H151" s="3"/>
      <c r="I151"/>
    </row>
    <row r="152" spans="3:9" x14ac:dyDescent="0.25">
      <c r="C152" s="80"/>
      <c r="F152" s="5"/>
      <c r="G152" s="3"/>
      <c r="H152" s="3"/>
      <c r="I152"/>
    </row>
    <row r="153" spans="3:9" x14ac:dyDescent="0.25">
      <c r="C153" s="80"/>
      <c r="F153" s="5"/>
      <c r="G153" s="3"/>
      <c r="H153" s="3"/>
      <c r="I153"/>
    </row>
    <row r="154" spans="3:9" x14ac:dyDescent="0.25">
      <c r="C154" s="80"/>
      <c r="F154" s="5"/>
      <c r="G154" s="3"/>
      <c r="H154" s="3"/>
      <c r="I154"/>
    </row>
    <row r="155" spans="3:9" x14ac:dyDescent="0.25">
      <c r="C155" s="80"/>
      <c r="F155" s="5"/>
      <c r="G155" s="3"/>
      <c r="H155" s="3"/>
      <c r="I155"/>
    </row>
    <row r="156" spans="3:9" x14ac:dyDescent="0.25">
      <c r="C156" s="80"/>
      <c r="F156" s="5"/>
      <c r="G156" s="3"/>
      <c r="H156" s="3"/>
      <c r="I156"/>
    </row>
    <row r="157" spans="3:9" x14ac:dyDescent="0.25">
      <c r="C157" s="80"/>
      <c r="F157" s="5"/>
      <c r="G157" s="3"/>
      <c r="H157" s="3"/>
      <c r="I157"/>
    </row>
    <row r="158" spans="3:9" x14ac:dyDescent="0.25">
      <c r="C158" s="80"/>
      <c r="F158" s="5"/>
      <c r="G158" s="3"/>
      <c r="H158" s="3"/>
      <c r="I158"/>
    </row>
    <row r="159" spans="3:9" x14ac:dyDescent="0.25">
      <c r="C159" s="80"/>
      <c r="F159" s="5"/>
      <c r="G159" s="3"/>
      <c r="H159" s="3"/>
      <c r="I159"/>
    </row>
    <row r="160" spans="3:9" x14ac:dyDescent="0.25">
      <c r="C160" s="80"/>
      <c r="F160" s="5"/>
      <c r="G160" s="3"/>
      <c r="H160" s="3"/>
      <c r="I160"/>
    </row>
    <row r="161" spans="3:9" x14ac:dyDescent="0.25">
      <c r="C161" s="80"/>
      <c r="F161" s="5"/>
      <c r="G161" s="3"/>
      <c r="H161" s="3"/>
      <c r="I161"/>
    </row>
    <row r="162" spans="3:9" x14ac:dyDescent="0.25">
      <c r="C162" s="80"/>
      <c r="F162" s="5"/>
      <c r="G162" s="3"/>
      <c r="H162" s="3"/>
      <c r="I162"/>
    </row>
    <row r="163" spans="3:9" x14ac:dyDescent="0.25">
      <c r="C163" s="80"/>
      <c r="F163" s="5"/>
      <c r="G163" s="3"/>
      <c r="H163" s="3"/>
      <c r="I163"/>
    </row>
    <row r="164" spans="3:9" x14ac:dyDescent="0.25">
      <c r="C164" s="80"/>
      <c r="F164" s="5"/>
      <c r="G164" s="3"/>
      <c r="H164" s="3"/>
      <c r="I164"/>
    </row>
    <row r="165" spans="3:9" x14ac:dyDescent="0.25">
      <c r="C165" s="80"/>
      <c r="F165" s="5"/>
      <c r="G165" s="3"/>
      <c r="H165" s="3"/>
      <c r="I165"/>
    </row>
    <row r="166" spans="3:9" x14ac:dyDescent="0.25">
      <c r="C166" s="80"/>
      <c r="F166" s="5"/>
      <c r="G166" s="3"/>
      <c r="H166" s="3"/>
      <c r="I166"/>
    </row>
    <row r="167" spans="3:9" x14ac:dyDescent="0.25">
      <c r="C167" s="80"/>
      <c r="F167" s="5"/>
      <c r="G167" s="3"/>
      <c r="H167" s="3"/>
      <c r="I167"/>
    </row>
    <row r="168" spans="3:9" x14ac:dyDescent="0.25">
      <c r="C168" s="80"/>
      <c r="F168" s="5"/>
      <c r="G168" s="3"/>
      <c r="H168" s="3"/>
      <c r="I168"/>
    </row>
    <row r="169" spans="3:9" x14ac:dyDescent="0.25">
      <c r="C169" s="80"/>
      <c r="F169" s="5"/>
      <c r="G169" s="3"/>
      <c r="H169" s="3"/>
      <c r="I169"/>
    </row>
    <row r="170" spans="3:9" x14ac:dyDescent="0.25">
      <c r="C170" s="80"/>
      <c r="F170" s="5"/>
      <c r="G170" s="3"/>
      <c r="H170" s="3"/>
      <c r="I170"/>
    </row>
    <row r="171" spans="3:9" x14ac:dyDescent="0.25">
      <c r="C171" s="80"/>
      <c r="F171" s="5"/>
      <c r="G171" s="3">
        <v>-3.6663092742415202</v>
      </c>
      <c r="H171" s="3">
        <v>-3.6651670969660901</v>
      </c>
      <c r="I171"/>
    </row>
    <row r="172" spans="3:9" x14ac:dyDescent="0.25">
      <c r="C172" s="80"/>
      <c r="F172" s="5"/>
      <c r="G172" s="3">
        <v>-3.65298387269483</v>
      </c>
      <c r="H172" s="3">
        <v>-3.6529838726948198</v>
      </c>
      <c r="I172"/>
    </row>
    <row r="173" spans="3:9" x14ac:dyDescent="0.25">
      <c r="C173" s="80"/>
      <c r="F173" s="5"/>
      <c r="G173" s="3">
        <v>-3.6396584711481399</v>
      </c>
      <c r="H173" s="3">
        <v>-3.64080064842355</v>
      </c>
      <c r="I173"/>
    </row>
    <row r="174" spans="3:9" x14ac:dyDescent="0.25">
      <c r="C174" s="80"/>
      <c r="F174" s="5"/>
      <c r="G174" s="3">
        <v>-3.6263330696014502</v>
      </c>
      <c r="H174" s="3">
        <v>-3.6286174241522802</v>
      </c>
      <c r="I174"/>
    </row>
    <row r="175" spans="3:9" x14ac:dyDescent="0.25">
      <c r="C175" s="80"/>
      <c r="F175" s="5"/>
      <c r="G175" s="3">
        <v>-3.61300766805476</v>
      </c>
      <c r="H175" s="3">
        <v>-3.6164341998810099</v>
      </c>
      <c r="I175"/>
    </row>
    <row r="176" spans="3:9" x14ac:dyDescent="0.25">
      <c r="C176" s="80"/>
      <c r="F176" s="5"/>
      <c r="G176" s="3"/>
      <c r="H176" s="3">
        <v>-3.6042509756097498</v>
      </c>
      <c r="I176"/>
    </row>
    <row r="177" spans="3:9" x14ac:dyDescent="0.25">
      <c r="C177" s="80"/>
      <c r="F177" s="5"/>
      <c r="G177" s="3"/>
      <c r="H177" s="3">
        <v>-3.59206775133848</v>
      </c>
      <c r="I177"/>
    </row>
    <row r="178" spans="3:9" x14ac:dyDescent="0.25">
      <c r="C178" s="80"/>
      <c r="F178" s="5"/>
      <c r="G178" s="3"/>
      <c r="H178" s="3">
        <v>-3.5798845270672102</v>
      </c>
      <c r="I178"/>
    </row>
    <row r="179" spans="3:9" x14ac:dyDescent="0.25">
      <c r="C179" s="80"/>
      <c r="F179" s="5"/>
      <c r="G179" s="3"/>
      <c r="H179" s="3"/>
      <c r="I179"/>
    </row>
    <row r="180" spans="3:9" x14ac:dyDescent="0.25">
      <c r="C180" s="80"/>
      <c r="F180" s="5"/>
      <c r="G180" s="3"/>
      <c r="H180" s="3"/>
      <c r="I180"/>
    </row>
    <row r="181" spans="3:9" x14ac:dyDescent="0.25">
      <c r="C181" s="80"/>
      <c r="F181" s="5"/>
      <c r="G181" s="3"/>
      <c r="H181" s="3"/>
      <c r="I181"/>
    </row>
    <row r="182" spans="3:9" x14ac:dyDescent="0.25">
      <c r="C182" s="80"/>
      <c r="F182" s="5"/>
      <c r="G182" s="3"/>
      <c r="H182" s="3"/>
      <c r="I182"/>
    </row>
    <row r="183" spans="3:9" x14ac:dyDescent="0.25">
      <c r="C183" s="80"/>
      <c r="F183" s="5"/>
      <c r="G183" s="3"/>
      <c r="H183" s="3"/>
      <c r="I183"/>
    </row>
    <row r="184" spans="3:9" x14ac:dyDescent="0.25">
      <c r="C184" s="80"/>
      <c r="F184" s="5"/>
      <c r="G184" s="3"/>
      <c r="H184" s="3"/>
      <c r="I184"/>
    </row>
    <row r="185" spans="3:9" x14ac:dyDescent="0.25">
      <c r="C185" s="80"/>
      <c r="F185" s="5"/>
      <c r="G185" s="3"/>
      <c r="H185" s="3"/>
      <c r="I185"/>
    </row>
    <row r="186" spans="3:9" x14ac:dyDescent="0.25">
      <c r="C186" s="80"/>
      <c r="F186" s="5"/>
      <c r="G186" s="3"/>
      <c r="H186" s="3"/>
      <c r="I186"/>
    </row>
    <row r="187" spans="3:9" x14ac:dyDescent="0.25">
      <c r="C187" s="80"/>
      <c r="F187" s="5"/>
      <c r="G187" s="3"/>
      <c r="H187" s="3"/>
      <c r="I187"/>
    </row>
    <row r="188" spans="3:9" x14ac:dyDescent="0.25">
      <c r="C188" s="80"/>
      <c r="F188" s="5"/>
      <c r="G188" s="3"/>
      <c r="H188" s="3"/>
      <c r="I188"/>
    </row>
    <row r="189" spans="3:9" x14ac:dyDescent="0.25">
      <c r="C189" s="80"/>
      <c r="F189" s="5"/>
      <c r="G189" s="3"/>
      <c r="H189" s="3"/>
      <c r="I189"/>
    </row>
    <row r="190" spans="3:9" x14ac:dyDescent="0.25">
      <c r="C190" s="80"/>
      <c r="F190" s="5"/>
      <c r="G190" s="3"/>
      <c r="H190" s="3"/>
      <c r="I190"/>
    </row>
    <row r="191" spans="3:9" x14ac:dyDescent="0.25">
      <c r="C191" s="80"/>
      <c r="F191" s="5"/>
      <c r="G191" s="3"/>
      <c r="H191" s="3"/>
      <c r="I191"/>
    </row>
    <row r="192" spans="3:9" x14ac:dyDescent="0.25">
      <c r="C192" s="80"/>
      <c r="F192" s="5"/>
      <c r="G192" s="3"/>
      <c r="H192" s="3"/>
      <c r="I192"/>
    </row>
    <row r="193" spans="3:9" x14ac:dyDescent="0.25">
      <c r="C193" s="80"/>
      <c r="F193" s="5"/>
      <c r="G193" s="3"/>
      <c r="H193" s="3"/>
      <c r="I193"/>
    </row>
    <row r="194" spans="3:9" x14ac:dyDescent="0.25">
      <c r="C194" s="80"/>
      <c r="F194" s="5"/>
      <c r="G194" s="3"/>
      <c r="H194" s="3"/>
      <c r="I194"/>
    </row>
    <row r="195" spans="3:9" x14ac:dyDescent="0.25">
      <c r="C195" s="80"/>
      <c r="F195" s="5"/>
      <c r="G195" s="3"/>
      <c r="H195" s="3"/>
      <c r="I195"/>
    </row>
    <row r="196" spans="3:9" x14ac:dyDescent="0.25">
      <c r="C196" s="80"/>
      <c r="F196" s="5"/>
      <c r="G196" s="3"/>
      <c r="H196" s="3"/>
      <c r="I196"/>
    </row>
    <row r="197" spans="3:9" x14ac:dyDescent="0.25">
      <c r="C197" s="80"/>
      <c r="F197" s="5"/>
      <c r="G197" s="3"/>
      <c r="H197" s="3"/>
      <c r="I197"/>
    </row>
    <row r="198" spans="3:9" x14ac:dyDescent="0.25">
      <c r="C198" s="80"/>
      <c r="F198" s="5"/>
      <c r="G198" s="3"/>
      <c r="H198" s="3"/>
      <c r="I198"/>
    </row>
    <row r="199" spans="3:9" x14ac:dyDescent="0.25">
      <c r="C199" s="80"/>
      <c r="F199" s="5"/>
      <c r="G199" s="3"/>
      <c r="H199" s="3"/>
      <c r="I199"/>
    </row>
    <row r="200" spans="3:9" x14ac:dyDescent="0.25">
      <c r="C200" s="80"/>
      <c r="F200" s="5"/>
      <c r="G200" s="3"/>
      <c r="H200" s="3"/>
      <c r="I200"/>
    </row>
    <row r="201" spans="3:9" x14ac:dyDescent="0.25">
      <c r="C201" s="80"/>
      <c r="F201" s="5"/>
      <c r="G201" s="3"/>
      <c r="H201" s="3"/>
      <c r="I201"/>
    </row>
    <row r="202" spans="3:9" x14ac:dyDescent="0.25">
      <c r="C202" s="80"/>
      <c r="F202" s="5"/>
      <c r="G202" s="3"/>
      <c r="H202" s="3"/>
      <c r="I202"/>
    </row>
    <row r="203" spans="3:9" x14ac:dyDescent="0.25">
      <c r="C203" s="80"/>
      <c r="F203" s="5"/>
      <c r="G203" s="3"/>
      <c r="H203" s="3"/>
      <c r="I203"/>
    </row>
    <row r="204" spans="3:9" x14ac:dyDescent="0.25">
      <c r="C204" s="80"/>
      <c r="F204" s="5"/>
      <c r="G204" s="3"/>
      <c r="H204" s="3"/>
      <c r="I204"/>
    </row>
    <row r="205" spans="3:9" x14ac:dyDescent="0.25">
      <c r="C205" s="80"/>
      <c r="F205" s="5"/>
      <c r="G205" s="3"/>
      <c r="H205" s="3"/>
      <c r="I205"/>
    </row>
    <row r="206" spans="3:9" x14ac:dyDescent="0.25">
      <c r="C206" s="80"/>
      <c r="F206" s="5"/>
      <c r="G206" s="3"/>
      <c r="H206" s="3"/>
      <c r="I206"/>
    </row>
    <row r="207" spans="3:9" x14ac:dyDescent="0.25">
      <c r="C207" s="80"/>
      <c r="F207" s="5"/>
      <c r="G207" s="3"/>
      <c r="H207" s="3"/>
      <c r="I207"/>
    </row>
    <row r="208" spans="3:9" x14ac:dyDescent="0.25">
      <c r="F208" s="5"/>
      <c r="G208" s="3"/>
      <c r="H208" s="3"/>
      <c r="I208"/>
    </row>
    <row r="209" spans="6:9" x14ac:dyDescent="0.25">
      <c r="F209" s="5"/>
      <c r="G209" s="3"/>
      <c r="H209" s="3"/>
      <c r="I209"/>
    </row>
    <row r="210" spans="6:9" x14ac:dyDescent="0.25">
      <c r="F210" s="5"/>
      <c r="G210" s="3"/>
      <c r="H210" s="3"/>
      <c r="I210"/>
    </row>
    <row r="211" spans="6:9" x14ac:dyDescent="0.25">
      <c r="F211" s="5"/>
      <c r="G211" s="3"/>
      <c r="H211" s="3"/>
      <c r="I211"/>
    </row>
    <row r="212" spans="6:9" x14ac:dyDescent="0.25">
      <c r="F212" s="5"/>
      <c r="G212" s="3"/>
      <c r="H212" s="3"/>
      <c r="I212"/>
    </row>
    <row r="213" spans="6:9" x14ac:dyDescent="0.25">
      <c r="F213" s="5"/>
      <c r="G213" s="3"/>
      <c r="H213" s="3"/>
      <c r="I213"/>
    </row>
    <row r="214" spans="6:9" x14ac:dyDescent="0.25">
      <c r="F214" s="5"/>
      <c r="G214" s="3"/>
      <c r="H214" s="3"/>
      <c r="I214"/>
    </row>
    <row r="215" spans="6:9" x14ac:dyDescent="0.25">
      <c r="F215" s="5"/>
      <c r="G215" s="3"/>
      <c r="H215" s="3"/>
      <c r="I215"/>
    </row>
    <row r="216" spans="6:9" x14ac:dyDescent="0.25">
      <c r="F216" s="5"/>
      <c r="G216" s="3"/>
      <c r="H216" s="3"/>
      <c r="I216"/>
    </row>
    <row r="217" spans="6:9" x14ac:dyDescent="0.25">
      <c r="F217" s="5"/>
      <c r="G217" s="3"/>
      <c r="H217" s="3"/>
      <c r="I217"/>
    </row>
    <row r="218" spans="6:9" x14ac:dyDescent="0.25">
      <c r="G218" s="5"/>
      <c r="H218" s="3"/>
    </row>
    <row r="219" spans="6:9" x14ac:dyDescent="0.25">
      <c r="G219" s="5"/>
      <c r="H219" s="3"/>
    </row>
    <row r="220" spans="6:9" x14ac:dyDescent="0.25">
      <c r="G220" s="5"/>
      <c r="H220" s="3"/>
    </row>
    <row r="221" spans="6:9" x14ac:dyDescent="0.25">
      <c r="G221" s="5"/>
      <c r="H221" s="3"/>
    </row>
    <row r="222" spans="6:9" x14ac:dyDescent="0.25">
      <c r="G222" s="5"/>
      <c r="H222" s="3"/>
    </row>
    <row r="223" spans="6:9" x14ac:dyDescent="0.25">
      <c r="G223" s="5"/>
      <c r="H223" s="3"/>
    </row>
    <row r="224" spans="6:9" x14ac:dyDescent="0.25">
      <c r="G224" s="5"/>
      <c r="H224" s="3"/>
    </row>
    <row r="225" spans="7:8" x14ac:dyDescent="0.25">
      <c r="G225" s="5"/>
      <c r="H225" s="3"/>
    </row>
    <row r="226" spans="7:8" x14ac:dyDescent="0.25">
      <c r="G226" s="5"/>
      <c r="H226" s="3"/>
    </row>
    <row r="227" spans="7:8" x14ac:dyDescent="0.25">
      <c r="G227" s="5"/>
      <c r="H227" s="3"/>
    </row>
    <row r="228" spans="7:8" x14ac:dyDescent="0.25">
      <c r="G228" s="5"/>
      <c r="H228" s="3"/>
    </row>
    <row r="229" spans="7:8" x14ac:dyDescent="0.25">
      <c r="G229" s="5"/>
      <c r="H229" s="3"/>
    </row>
    <row r="230" spans="7:8" x14ac:dyDescent="0.25">
      <c r="G230" s="5"/>
      <c r="H230" s="3"/>
    </row>
    <row r="231" spans="7:8" x14ac:dyDescent="0.25">
      <c r="G231" s="5"/>
      <c r="H231" s="3"/>
    </row>
    <row r="232" spans="7:8" x14ac:dyDescent="0.25">
      <c r="G232" s="5"/>
      <c r="H232" s="3"/>
    </row>
    <row r="233" spans="7:8" x14ac:dyDescent="0.25">
      <c r="G233" s="5"/>
      <c r="H233" s="3"/>
    </row>
    <row r="234" spans="7:8" x14ac:dyDescent="0.25">
      <c r="G234" s="5"/>
      <c r="H234" s="3"/>
    </row>
    <row r="235" spans="7:8" x14ac:dyDescent="0.25">
      <c r="G235" s="5"/>
      <c r="H235" s="3"/>
    </row>
    <row r="236" spans="7:8" x14ac:dyDescent="0.25">
      <c r="G236" s="5"/>
      <c r="H236" s="3"/>
    </row>
    <row r="237" spans="7:8" x14ac:dyDescent="0.25">
      <c r="G237" s="5"/>
      <c r="H237" s="3"/>
    </row>
    <row r="238" spans="7:8" x14ac:dyDescent="0.25">
      <c r="G238" s="5"/>
      <c r="H238" s="3"/>
    </row>
    <row r="239" spans="7:8" x14ac:dyDescent="0.25">
      <c r="G239" s="5"/>
      <c r="H239" s="3"/>
    </row>
    <row r="240" spans="7:8" x14ac:dyDescent="0.25">
      <c r="G240" s="5"/>
      <c r="H240" s="3"/>
    </row>
    <row r="241" spans="7:8" x14ac:dyDescent="0.25">
      <c r="G241" s="5"/>
      <c r="H241" s="3"/>
    </row>
    <row r="242" spans="7:8" x14ac:dyDescent="0.25">
      <c r="G242" s="5"/>
      <c r="H242" s="3"/>
    </row>
    <row r="243" spans="7:8" x14ac:dyDescent="0.25">
      <c r="G243" s="5"/>
      <c r="H243" s="3"/>
    </row>
    <row r="244" spans="7:8" x14ac:dyDescent="0.25">
      <c r="G244" s="5"/>
      <c r="H244" s="3"/>
    </row>
    <row r="245" spans="7:8" x14ac:dyDescent="0.25">
      <c r="G245" s="5"/>
      <c r="H245" s="3"/>
    </row>
    <row r="246" spans="7:8" x14ac:dyDescent="0.25">
      <c r="G246" s="5"/>
      <c r="H246" s="3"/>
    </row>
    <row r="247" spans="7:8" x14ac:dyDescent="0.25">
      <c r="G247" s="5"/>
      <c r="H247" s="3"/>
    </row>
    <row r="248" spans="7:8" x14ac:dyDescent="0.25">
      <c r="G248" s="5"/>
      <c r="H248" s="3"/>
    </row>
    <row r="249" spans="7:8" x14ac:dyDescent="0.25">
      <c r="G249" s="5"/>
      <c r="H249" s="3"/>
    </row>
    <row r="250" spans="7:8" x14ac:dyDescent="0.25">
      <c r="G250" s="5"/>
      <c r="H250" s="3"/>
    </row>
    <row r="251" spans="7:8" x14ac:dyDescent="0.25">
      <c r="G251" s="5"/>
      <c r="H251" s="3"/>
    </row>
    <row r="252" spans="7:8" x14ac:dyDescent="0.25">
      <c r="G252" s="5"/>
      <c r="H252" s="3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workbookViewId="0">
      <selection activeCell="B15" sqref="B15"/>
    </sheetView>
  </sheetViews>
  <sheetFormatPr baseColWidth="10" defaultRowHeight="15" x14ac:dyDescent="0.25"/>
  <cols>
    <col min="1" max="1" width="13.140625" customWidth="1"/>
    <col min="6" max="6" width="13.7109375" customWidth="1"/>
  </cols>
  <sheetData>
    <row r="3" spans="1:19" x14ac:dyDescent="0.25">
      <c r="B3" t="s">
        <v>340</v>
      </c>
      <c r="C3" s="1">
        <v>84.16</v>
      </c>
    </row>
    <row r="6" spans="1:19" x14ac:dyDescent="0.25"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H6" t="s">
        <v>337</v>
      </c>
      <c r="I6" t="s">
        <v>338</v>
      </c>
      <c r="L6" t="s">
        <v>331</v>
      </c>
      <c r="M6" t="s">
        <v>332</v>
      </c>
      <c r="N6" t="s">
        <v>333</v>
      </c>
      <c r="O6" t="s">
        <v>334</v>
      </c>
      <c r="P6" t="s">
        <v>335</v>
      </c>
      <c r="Q6" t="s">
        <v>336</v>
      </c>
      <c r="R6" t="s">
        <v>337</v>
      </c>
      <c r="S6" t="s">
        <v>338</v>
      </c>
    </row>
    <row r="7" spans="1:19" x14ac:dyDescent="0.25">
      <c r="A7" t="s">
        <v>339</v>
      </c>
      <c r="B7">
        <v>18.745909000000001</v>
      </c>
      <c r="C7">
        <v>0</v>
      </c>
      <c r="D7" s="1">
        <v>2.8105978E-8</v>
      </c>
      <c r="E7">
        <v>18.719218000000001</v>
      </c>
      <c r="F7">
        <v>1.0616858E-3</v>
      </c>
      <c r="G7">
        <v>-3.1415902</v>
      </c>
      <c r="H7">
        <v>9</v>
      </c>
      <c r="I7">
        <v>0</v>
      </c>
      <c r="L7">
        <v>18.708860999999999</v>
      </c>
      <c r="M7" s="1">
        <v>4.6174603999999998E-6</v>
      </c>
      <c r="N7" s="1">
        <v>2.8105978E-8</v>
      </c>
      <c r="O7">
        <v>18.682117000000002</v>
      </c>
      <c r="P7">
        <v>1.0720044E-3</v>
      </c>
      <c r="Q7">
        <v>-3.0302188999999999</v>
      </c>
      <c r="R7">
        <v>9.1201440999999992</v>
      </c>
      <c r="S7" s="1">
        <v>2.4715938E-4</v>
      </c>
    </row>
    <row r="8" spans="1:19" x14ac:dyDescent="0.25">
      <c r="B8">
        <v>18.779375000000002</v>
      </c>
      <c r="C8">
        <v>-4.4178421000000002E-2</v>
      </c>
      <c r="D8">
        <v>-0.14208510999999999</v>
      </c>
      <c r="E8">
        <v>18.752663999999999</v>
      </c>
      <c r="F8">
        <v>5.8765768999999999</v>
      </c>
      <c r="G8">
        <v>-0.56516027999999996</v>
      </c>
      <c r="H8">
        <v>7.9515221</v>
      </c>
      <c r="I8">
        <v>-2.3558477</v>
      </c>
      <c r="L8">
        <v>18.795034000000001</v>
      </c>
      <c r="M8">
        <v>-4.2057241000000002E-2</v>
      </c>
      <c r="N8">
        <v>-0.14208510999999999</v>
      </c>
      <c r="O8">
        <v>18.768349000000001</v>
      </c>
      <c r="P8">
        <v>5.680409</v>
      </c>
      <c r="Q8">
        <v>-0.58423192999999995</v>
      </c>
      <c r="R8">
        <v>8.0711180000000002</v>
      </c>
      <c r="S8">
        <v>-2.2408598999999998</v>
      </c>
    </row>
    <row r="10" spans="1:19" x14ac:dyDescent="0.25">
      <c r="A10" t="s">
        <v>341</v>
      </c>
      <c r="B10">
        <f>-E8/B8+1</f>
        <v>1.4223583053217803E-3</v>
      </c>
      <c r="K10" t="s">
        <v>341</v>
      </c>
      <c r="L10">
        <f>-O8/L8+1</f>
        <v>1.419789929616555E-3</v>
      </c>
    </row>
    <row r="11" spans="1:19" x14ac:dyDescent="0.25">
      <c r="A11" t="s">
        <v>251</v>
      </c>
      <c r="B11" s="1">
        <f>B10*$C$3</f>
        <v>0.11970567497588103</v>
      </c>
      <c r="K11" t="s">
        <v>251</v>
      </c>
      <c r="L11" s="1">
        <f>L10*$C$3</f>
        <v>0.11948952047652926</v>
      </c>
    </row>
    <row r="12" spans="1:19" x14ac:dyDescent="0.25">
      <c r="A12" t="s">
        <v>342</v>
      </c>
      <c r="B12" s="1">
        <f>$H$8+B11</f>
        <v>8.0712277749758812</v>
      </c>
      <c r="K12" t="s">
        <v>342</v>
      </c>
      <c r="L12" s="1">
        <f>$H$8+L11</f>
        <v>8.0710116204765292</v>
      </c>
    </row>
    <row r="14" spans="1:19" x14ac:dyDescent="0.25">
      <c r="B14" s="1">
        <f>0.00614*C3</f>
        <v>0.51674239999999994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topLeftCell="H21" workbookViewId="0">
      <selection activeCell="H21"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3.570312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  <col min="18" max="18" width="15.85546875" style="3" customWidth="1"/>
    <col min="19" max="19" width="31" style="3" customWidth="1"/>
    <col min="20" max="20" width="25" customWidth="1"/>
    <col min="21" max="21" width="26.7109375" customWidth="1"/>
    <col min="22" max="22" width="17.140625" customWidth="1"/>
  </cols>
  <sheetData>
    <row r="1" spans="1:28" x14ac:dyDescent="0.25">
      <c r="A1" t="s">
        <v>88</v>
      </c>
      <c r="B1" s="2">
        <v>42537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8.86295360197702E-17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  <c r="R1" s="3" t="s">
        <v>253</v>
      </c>
      <c r="S1" s="3">
        <f>R3/S3</f>
        <v>1.515151515151515E-2</v>
      </c>
      <c r="U1">
        <f>1453-976.74</f>
        <v>476.26</v>
      </c>
    </row>
    <row r="2" spans="1:28" x14ac:dyDescent="0.25">
      <c r="D2" t="s">
        <v>212</v>
      </c>
      <c r="E2" t="s">
        <v>256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2.658886080593106E-2</v>
      </c>
      <c r="M2" s="4">
        <v>1.71255477258472E-14</v>
      </c>
      <c r="Q2" t="s">
        <v>206</v>
      </c>
      <c r="R2" s="3" t="s">
        <v>251</v>
      </c>
      <c r="S2" s="3" t="s">
        <v>252</v>
      </c>
      <c r="U2">
        <f>500-U1</f>
        <v>23.740000000000009</v>
      </c>
      <c r="W2" t="s">
        <v>319</v>
      </c>
    </row>
    <row r="3" spans="1:28" ht="34.5" customHeight="1" x14ac:dyDescent="0.25">
      <c r="A3" t="s">
        <v>89</v>
      </c>
      <c r="B3" s="87" t="s">
        <v>257</v>
      </c>
      <c r="C3" s="87"/>
      <c r="D3" s="87"/>
      <c r="E3">
        <f>1.5*26/30</f>
        <v>1.3</v>
      </c>
      <c r="G3">
        <f>15*SQRT(650/675)</f>
        <v>14.719601443879744</v>
      </c>
      <c r="Q3" t="s">
        <v>207</v>
      </c>
      <c r="R3" s="3">
        <f>$C$24*$G$18</f>
        <v>3.3333333333333331E-3</v>
      </c>
      <c r="S3" s="3">
        <v>0.22</v>
      </c>
      <c r="T3" s="1"/>
      <c r="W3">
        <v>0.1</v>
      </c>
      <c r="Y3">
        <v>-0.35</v>
      </c>
    </row>
    <row r="4" spans="1:28" x14ac:dyDescent="0.25">
      <c r="B4" t="s">
        <v>95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220</v>
      </c>
      <c r="R4" s="3" t="s">
        <v>250</v>
      </c>
      <c r="S4" s="3" t="s">
        <v>246</v>
      </c>
      <c r="T4" s="3" t="s">
        <v>247</v>
      </c>
      <c r="U4" s="3" t="s">
        <v>248</v>
      </c>
      <c r="V4" s="3" t="s">
        <v>249</v>
      </c>
      <c r="W4" s="3" t="s">
        <v>318</v>
      </c>
      <c r="Y4" s="3">
        <v>0.27599000000000001</v>
      </c>
      <c r="AA4">
        <v>0</v>
      </c>
      <c r="AB4">
        <v>1.002</v>
      </c>
    </row>
    <row r="5" spans="1:28" x14ac:dyDescent="0.25">
      <c r="B5" t="s">
        <v>90</v>
      </c>
      <c r="C5" s="75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-3.9296000763401495</v>
      </c>
      <c r="Q5" s="13">
        <f t="shared" ref="Q5:Q68" si="0">P5*$G$18</f>
        <v>-0.4</v>
      </c>
      <c r="R5" s="13">
        <f>$S$3*O5</f>
        <v>0</v>
      </c>
      <c r="S5">
        <f t="shared" ref="S5:S68" si="1">ABS(Q5-$K$38)</f>
        <v>0.35000000000000003</v>
      </c>
      <c r="T5" s="8">
        <f>$K$34/(1+EXP(($S5-$L$34)/$M$34))+$K$35/(1+EXP(($S5-$L$35)/$M$35))+$K$36/(1+EXP(($S5-$L$36)/$M$36))+$K$37/(1+EXP(($S5-$L$37)/$M$37))</f>
        <v>1.5305329673921196E-2</v>
      </c>
      <c r="U5" s="8">
        <f t="shared" ref="U5:U68" si="2">$K$39/(1+EXP(($S5-$L$39)/$M$39))+$K$40/(1+EXP(($S5-$L$40)/$M$40))+$K$41/(1+EXP(($S5-$L$41)/$M$41))+$K$42/(1+EXP(($S5-$L$42)/$M$42))</f>
        <v>1.7918983831161977E-10</v>
      </c>
      <c r="V5">
        <f t="shared" ref="V5:V68" si="3">IF(Q5-$K$38&gt;0,U5,T5)</f>
        <v>1.5305329673921196E-2</v>
      </c>
      <c r="W5" s="71">
        <f>(Q5+W$3)*10000</f>
        <v>-3000.0000000000005</v>
      </c>
      <c r="Y5">
        <v>-9.4E-2</v>
      </c>
      <c r="AA5">
        <v>1</v>
      </c>
      <c r="AB5">
        <v>1.002</v>
      </c>
    </row>
    <row r="6" spans="1:28" x14ac:dyDescent="0.25">
      <c r="A6" t="s">
        <v>0</v>
      </c>
      <c r="C6" s="75"/>
      <c r="E6">
        <f>25*0.05</f>
        <v>1.25</v>
      </c>
      <c r="G6" s="5" t="s">
        <v>153</v>
      </c>
      <c r="H6" s="4">
        <v>4E+18</v>
      </c>
      <c r="I6" s="3" t="s">
        <v>155</v>
      </c>
      <c r="J6" s="17" t="s">
        <v>97</v>
      </c>
      <c r="K6" s="3">
        <f>C7+5</f>
        <v>605</v>
      </c>
      <c r="M6"/>
      <c r="O6" s="3">
        <f>O5+1</f>
        <v>1</v>
      </c>
      <c r="P6" s="13">
        <f t="shared" ref="P6:P69" si="4">$C$24*O6+$C$21</f>
        <v>-3.8968534090373148</v>
      </c>
      <c r="Q6" s="13">
        <f t="shared" si="0"/>
        <v>-0.39666666666666667</v>
      </c>
      <c r="R6" s="13">
        <f t="shared" ref="R6:R69" si="5">$S$3*O6</f>
        <v>0.22</v>
      </c>
      <c r="S6">
        <f t="shared" si="1"/>
        <v>0.34666666666666668</v>
      </c>
      <c r="T6" s="8">
        <f t="shared" ref="T6:T69" si="6">$K$34/(1+EXP(($S6-$L$34)/$M$34))+$K$35/(1+EXP(($S6-$L$35)/$M$35))+$K$36/(1+EXP(($S6-$L$36)/$M$36))+$K$37/(1+EXP(($S6-$L$37)/$M$37))</f>
        <v>1.6588322042050307E-2</v>
      </c>
      <c r="U6" s="8">
        <f t="shared" si="2"/>
        <v>2.315639435419254E-10</v>
      </c>
      <c r="V6">
        <f t="shared" si="3"/>
        <v>1.6588322042050307E-2</v>
      </c>
      <c r="W6" s="71">
        <f t="shared" ref="W6:W69" si="7">(Q6+W$3)*10000</f>
        <v>-2966.6666666666665</v>
      </c>
      <c r="Y6">
        <f>Y4-Y3</f>
        <v>0.62599000000000005</v>
      </c>
      <c r="AA6">
        <v>2</v>
      </c>
      <c r="AB6">
        <v>1.002</v>
      </c>
    </row>
    <row r="7" spans="1:28" x14ac:dyDescent="0.25">
      <c r="B7" t="s">
        <v>1</v>
      </c>
      <c r="C7" s="75">
        <v>600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4"/>
        <v>-3.8641067417344805</v>
      </c>
      <c r="Q7" s="13">
        <f t="shared" si="0"/>
        <v>-0.39333333333333337</v>
      </c>
      <c r="R7" s="13">
        <f t="shared" si="5"/>
        <v>0.44</v>
      </c>
      <c r="S7">
        <f t="shared" si="1"/>
        <v>0.34333333333333338</v>
      </c>
      <c r="T7" s="8">
        <f t="shared" si="6"/>
        <v>1.7989558122912509E-2</v>
      </c>
      <c r="U7" s="8">
        <f t="shared" si="2"/>
        <v>2.9924609817342052E-10</v>
      </c>
      <c r="V7">
        <f t="shared" si="3"/>
        <v>1.7989558122912509E-2</v>
      </c>
      <c r="W7" s="71">
        <f t="shared" si="7"/>
        <v>-2933.3333333333335</v>
      </c>
      <c r="Y7">
        <f>Y5-Y3</f>
        <v>0.25600000000000001</v>
      </c>
      <c r="AA7">
        <v>3</v>
      </c>
      <c r="AB7">
        <v>1.002</v>
      </c>
    </row>
    <row r="8" spans="1:28" x14ac:dyDescent="0.25">
      <c r="B8" t="s">
        <v>2</v>
      </c>
      <c r="C8" s="75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8">O7+1</f>
        <v>3</v>
      </c>
      <c r="P8" s="13">
        <f t="shared" si="4"/>
        <v>-3.8313600744316458</v>
      </c>
      <c r="Q8" s="13">
        <f t="shared" si="0"/>
        <v>-0.39</v>
      </c>
      <c r="R8" s="13">
        <f t="shared" si="5"/>
        <v>0.66</v>
      </c>
      <c r="S8">
        <f t="shared" si="1"/>
        <v>0.34</v>
      </c>
      <c r="T8" s="8">
        <f t="shared" si="6"/>
        <v>1.9520894259672194E-2</v>
      </c>
      <c r="U8" s="8">
        <f t="shared" si="2"/>
        <v>3.8671058153028026E-10</v>
      </c>
      <c r="V8">
        <f t="shared" si="3"/>
        <v>1.9520894259672194E-2</v>
      </c>
      <c r="W8" s="71">
        <f t="shared" si="7"/>
        <v>-2900.0000000000005</v>
      </c>
      <c r="Y8">
        <f>3*Y7/Y6</f>
        <v>1.2268566590520615</v>
      </c>
      <c r="AA8">
        <v>4</v>
      </c>
      <c r="AB8">
        <v>1.002</v>
      </c>
    </row>
    <row r="9" spans="1:28" x14ac:dyDescent="0.25">
      <c r="B9" t="s">
        <v>3</v>
      </c>
      <c r="C9" s="75">
        <v>150</v>
      </c>
      <c r="E9" s="14">
        <f>E10*1000000000/I1</f>
        <v>1.3205775822989467</v>
      </c>
      <c r="F9" s="5" t="s">
        <v>209</v>
      </c>
      <c r="G9" s="6">
        <f>SQRT(G8/H6)</f>
        <v>20.868355978610293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8"/>
        <v>4</v>
      </c>
      <c r="P9" s="13">
        <f t="shared" si="4"/>
        <v>-3.7986134071288111</v>
      </c>
      <c r="Q9" s="13">
        <f t="shared" si="0"/>
        <v>-0.38666666666666666</v>
      </c>
      <c r="R9" s="13">
        <f t="shared" si="5"/>
        <v>0.88</v>
      </c>
      <c r="S9">
        <f t="shared" si="1"/>
        <v>0.33666666666666667</v>
      </c>
      <c r="T9" s="8">
        <f t="shared" si="6"/>
        <v>2.119548597734814E-2</v>
      </c>
      <c r="U9" s="8">
        <f t="shared" si="2"/>
        <v>4.9973942775797484E-10</v>
      </c>
      <c r="V9">
        <f t="shared" si="3"/>
        <v>2.119548597734814E-2</v>
      </c>
      <c r="W9" s="71">
        <f t="shared" si="7"/>
        <v>-2866.6666666666661</v>
      </c>
      <c r="Y9">
        <f>1.9-Y8</f>
        <v>0.67314334094793837</v>
      </c>
      <c r="AA9">
        <v>5</v>
      </c>
      <c r="AB9">
        <v>1.002</v>
      </c>
    </row>
    <row r="10" spans="1:28" x14ac:dyDescent="0.25">
      <c r="B10" t="s">
        <v>4</v>
      </c>
      <c r="C10" s="75">
        <v>250</v>
      </c>
      <c r="E10" s="14">
        <f>0.149/E16</f>
        <v>0.39589919937709855</v>
      </c>
      <c r="F10" s="5" t="s">
        <v>156</v>
      </c>
      <c r="G10" s="6">
        <f xml:space="preserve"> 56414.602*SQRT(H6)</f>
        <v>112829204000000</v>
      </c>
      <c r="H10" s="3" t="s">
        <v>189</v>
      </c>
      <c r="I10"/>
      <c r="J10" s="17" t="s">
        <v>101</v>
      </c>
      <c r="K10" s="3">
        <v>100</v>
      </c>
      <c r="M10"/>
      <c r="O10" s="3">
        <f t="shared" si="8"/>
        <v>5</v>
      </c>
      <c r="P10" s="13">
        <f t="shared" si="4"/>
        <v>-3.7658667398259764</v>
      </c>
      <c r="Q10" s="13">
        <f t="shared" si="0"/>
        <v>-0.3833333333333333</v>
      </c>
      <c r="R10" s="13">
        <f t="shared" si="5"/>
        <v>1.1000000000000001</v>
      </c>
      <c r="S10">
        <f t="shared" si="1"/>
        <v>0.33333333333333331</v>
      </c>
      <c r="T10" s="8">
        <f t="shared" si="6"/>
        <v>2.3027981900228648E-2</v>
      </c>
      <c r="U10" s="8">
        <f t="shared" si="2"/>
        <v>6.4580466004169999E-10</v>
      </c>
      <c r="V10">
        <f t="shared" si="3"/>
        <v>2.3027981900228648E-2</v>
      </c>
      <c r="W10" s="71">
        <f t="shared" si="7"/>
        <v>-2833.3333333333335</v>
      </c>
      <c r="AA10">
        <v>6</v>
      </c>
      <c r="AB10">
        <v>1.002</v>
      </c>
    </row>
    <row r="11" spans="1:28" x14ac:dyDescent="0.25">
      <c r="B11" t="s">
        <v>5</v>
      </c>
      <c r="C11" s="75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8"/>
        <v>6</v>
      </c>
      <c r="P11" s="13">
        <f t="shared" si="4"/>
        <v>-3.7331200725231422</v>
      </c>
      <c r="Q11" s="13">
        <f t="shared" si="0"/>
        <v>-0.38</v>
      </c>
      <c r="R11" s="13">
        <f t="shared" si="5"/>
        <v>1.32</v>
      </c>
      <c r="S11">
        <f t="shared" si="1"/>
        <v>0.33</v>
      </c>
      <c r="T11" s="8">
        <f t="shared" si="6"/>
        <v>2.5034776784699002E-2</v>
      </c>
      <c r="U11" s="8">
        <f t="shared" si="2"/>
        <v>8.3456224530405705E-10</v>
      </c>
      <c r="V11">
        <f t="shared" si="3"/>
        <v>2.5034776784699002E-2</v>
      </c>
      <c r="W11" s="71">
        <f t="shared" si="7"/>
        <v>-2800.0000000000005</v>
      </c>
      <c r="AA11">
        <v>7</v>
      </c>
      <c r="AB11">
        <v>1.002</v>
      </c>
    </row>
    <row r="12" spans="1:28" x14ac:dyDescent="0.25">
      <c r="B12" t="s">
        <v>6</v>
      </c>
      <c r="C12" s="75">
        <v>5</v>
      </c>
      <c r="F12" s="5" t="s">
        <v>160</v>
      </c>
      <c r="G12" s="7">
        <f>SQRT(H6/G8)</f>
        <v>4.7919443248187969E-2</v>
      </c>
      <c r="H12" s="3" t="s">
        <v>87</v>
      </c>
      <c r="I12"/>
      <c r="J12" s="17" t="s">
        <v>218</v>
      </c>
      <c r="K12" s="3">
        <v>4</v>
      </c>
      <c r="M12"/>
      <c r="O12" s="3">
        <f t="shared" si="8"/>
        <v>7</v>
      </c>
      <c r="P12" s="13">
        <f t="shared" si="4"/>
        <v>-3.7003734052203074</v>
      </c>
      <c r="Q12" s="13">
        <f t="shared" si="0"/>
        <v>-0.37666666666666665</v>
      </c>
      <c r="R12" s="13">
        <f t="shared" si="5"/>
        <v>1.54</v>
      </c>
      <c r="S12">
        <f t="shared" si="1"/>
        <v>0.32666666666666666</v>
      </c>
      <c r="T12" s="8">
        <f t="shared" si="6"/>
        <v>2.7234351195829235E-2</v>
      </c>
      <c r="U12" s="8">
        <f t="shared" si="2"/>
        <v>1.0784904233528386E-9</v>
      </c>
      <c r="V12">
        <f t="shared" si="3"/>
        <v>2.7234351195829235E-2</v>
      </c>
      <c r="W12" s="71">
        <f t="shared" si="7"/>
        <v>-2766.6666666666661</v>
      </c>
      <c r="AA12">
        <v>8</v>
      </c>
      <c r="AB12">
        <v>1.002</v>
      </c>
    </row>
    <row r="13" spans="1:28" x14ac:dyDescent="0.25">
      <c r="B13" t="s">
        <v>7</v>
      </c>
      <c r="C13" s="75">
        <v>2</v>
      </c>
      <c r="F13" s="5" t="s">
        <v>161</v>
      </c>
      <c r="G13" s="6">
        <f>0.0001*G7*SQRT(G8/H6)</f>
        <v>1.6694684782888236E-3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8"/>
        <v>8</v>
      </c>
      <c r="P13" s="13">
        <f t="shared" si="4"/>
        <v>-3.6676267379174727</v>
      </c>
      <c r="Q13" s="13">
        <f t="shared" si="0"/>
        <v>-0.37333333333333329</v>
      </c>
      <c r="R13" s="13">
        <f t="shared" si="5"/>
        <v>1.76</v>
      </c>
      <c r="S13">
        <f t="shared" si="1"/>
        <v>0.32333333333333331</v>
      </c>
      <c r="T13" s="8">
        <f t="shared" si="6"/>
        <v>2.9647738237692407E-2</v>
      </c>
      <c r="U13" s="8">
        <f t="shared" si="2"/>
        <v>1.3937146086418199E-9</v>
      </c>
      <c r="V13">
        <f t="shared" si="3"/>
        <v>2.9647738237692407E-2</v>
      </c>
      <c r="W13" s="71">
        <f t="shared" si="7"/>
        <v>-2733.333333333333</v>
      </c>
      <c r="AA13">
        <v>9</v>
      </c>
      <c r="AB13">
        <v>1.002</v>
      </c>
    </row>
    <row r="14" spans="1:28" x14ac:dyDescent="0.25">
      <c r="B14" t="s">
        <v>8</v>
      </c>
      <c r="C14" s="21">
        <f>G24</f>
        <v>2.6831924746576368</v>
      </c>
      <c r="D14" t="s">
        <v>139</v>
      </c>
      <c r="E14" s="14">
        <f>0.5*G14</f>
        <v>8.3473423914441174</v>
      </c>
      <c r="F14" s="5" t="s">
        <v>181</v>
      </c>
      <c r="G14" s="6">
        <f>10000*G13</f>
        <v>16.694684782888235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8"/>
        <v>9</v>
      </c>
      <c r="P14" s="13">
        <f t="shared" si="4"/>
        <v>-3.6348800706146385</v>
      </c>
      <c r="Q14" s="13">
        <f t="shared" si="0"/>
        <v>-0.37</v>
      </c>
      <c r="R14" s="13">
        <f t="shared" si="5"/>
        <v>1.98</v>
      </c>
      <c r="S14">
        <f t="shared" si="1"/>
        <v>0.32</v>
      </c>
      <c r="T14" s="8">
        <f t="shared" si="6"/>
        <v>3.2299175975529934E-2</v>
      </c>
      <c r="U14" s="8">
        <f t="shared" si="2"/>
        <v>1.8010733966018772E-9</v>
      </c>
      <c r="V14">
        <f t="shared" si="3"/>
        <v>3.2299175975529934E-2</v>
      </c>
      <c r="W14" s="71">
        <f t="shared" si="7"/>
        <v>-2700</v>
      </c>
      <c r="AA14">
        <v>10</v>
      </c>
      <c r="AB14">
        <v>1.002</v>
      </c>
    </row>
    <row r="15" spans="1:28" x14ac:dyDescent="0.25">
      <c r="B15" t="s">
        <v>9</v>
      </c>
      <c r="C15" s="75">
        <v>10</v>
      </c>
      <c r="D15" t="s">
        <v>138</v>
      </c>
      <c r="E15" s="14">
        <f>E14/16.7</f>
        <v>0.49984086176312081</v>
      </c>
      <c r="F15" s="5" t="s">
        <v>190</v>
      </c>
      <c r="G15" s="6">
        <f>2*PI()*1000000000000000/G10</f>
        <v>55.687579850156403</v>
      </c>
      <c r="H15" s="3" t="s">
        <v>169</v>
      </c>
      <c r="I15"/>
      <c r="J15" s="17" t="s">
        <v>105</v>
      </c>
      <c r="K15" s="3">
        <v>150</v>
      </c>
      <c r="M15"/>
      <c r="O15" s="3">
        <f t="shared" si="8"/>
        <v>10</v>
      </c>
      <c r="P15" s="13">
        <f t="shared" si="4"/>
        <v>-3.6021334033118038</v>
      </c>
      <c r="Q15" s="13">
        <f t="shared" si="0"/>
        <v>-0.3666666666666667</v>
      </c>
      <c r="R15" s="13">
        <f t="shared" si="5"/>
        <v>2.2000000000000002</v>
      </c>
      <c r="S15">
        <f t="shared" si="1"/>
        <v>0.31666666666666671</v>
      </c>
      <c r="T15" s="8">
        <f t="shared" si="6"/>
        <v>3.5217029564135943E-2</v>
      </c>
      <c r="U15" s="8">
        <f t="shared" si="2"/>
        <v>2.3274961452480464E-9</v>
      </c>
      <c r="V15">
        <f t="shared" si="3"/>
        <v>3.5217029564135943E-2</v>
      </c>
      <c r="W15" s="71">
        <f t="shared" si="7"/>
        <v>-2666.666666666667</v>
      </c>
      <c r="AA15">
        <v>11</v>
      </c>
      <c r="AB15">
        <v>1.002</v>
      </c>
    </row>
    <row r="16" spans="1:28" x14ac:dyDescent="0.25">
      <c r="B16" t="s">
        <v>10</v>
      </c>
      <c r="C16" s="75">
        <f>15</f>
        <v>15</v>
      </c>
      <c r="D16" t="s">
        <v>255</v>
      </c>
      <c r="E16" s="14">
        <f>0.0001*G16</f>
        <v>0.37635842718155077</v>
      </c>
      <c r="F16" s="5" t="s">
        <v>163</v>
      </c>
      <c r="G16" s="6">
        <f>2*PI()/G13</f>
        <v>3763.5842718155077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8"/>
        <v>11</v>
      </c>
      <c r="P16" s="13">
        <f t="shared" si="4"/>
        <v>-3.5693867360089691</v>
      </c>
      <c r="Q16" s="13">
        <f t="shared" si="0"/>
        <v>-0.36333333333333334</v>
      </c>
      <c r="R16" s="13">
        <f t="shared" si="5"/>
        <v>2.42</v>
      </c>
      <c r="S16">
        <f t="shared" si="1"/>
        <v>0.31333333333333335</v>
      </c>
      <c r="T16" s="8">
        <f t="shared" si="6"/>
        <v>3.8435101742373155E-2</v>
      </c>
      <c r="U16" s="8">
        <f t="shared" si="2"/>
        <v>3.0077832001355306E-9</v>
      </c>
      <c r="V16">
        <f t="shared" si="3"/>
        <v>3.8435101742373155E-2</v>
      </c>
      <c r="W16" s="71">
        <f t="shared" si="7"/>
        <v>-2633.333333333333</v>
      </c>
      <c r="AA16">
        <v>12</v>
      </c>
      <c r="AB16">
        <v>1.002</v>
      </c>
    </row>
    <row r="17" spans="2:28" x14ac:dyDescent="0.25">
      <c r="B17" t="s">
        <v>11</v>
      </c>
      <c r="C17" s="22">
        <f>G20</f>
        <v>6.0593706776229688</v>
      </c>
      <c r="D17" t="s">
        <v>140</v>
      </c>
      <c r="E17">
        <f>1/G17</f>
        <v>6.2111801242236017E-2</v>
      </c>
      <c r="F17" s="5" t="s">
        <v>165</v>
      </c>
      <c r="G17" s="3">
        <v>16.100000000000001</v>
      </c>
      <c r="H17" s="3" t="s">
        <v>166</v>
      </c>
      <c r="I17" s="1">
        <f>100*I16*G16</f>
        <v>-93.096020547628399</v>
      </c>
      <c r="J17" s="17" t="s">
        <v>107</v>
      </c>
      <c r="K17" s="3">
        <v>18</v>
      </c>
      <c r="M17">
        <f>1.8*1.8</f>
        <v>3.24</v>
      </c>
      <c r="O17" s="3">
        <f t="shared" si="8"/>
        <v>12</v>
      </c>
      <c r="P17" s="13">
        <f t="shared" si="4"/>
        <v>-3.5366400687061343</v>
      </c>
      <c r="Q17" s="13">
        <f t="shared" si="0"/>
        <v>-0.36</v>
      </c>
      <c r="R17" s="13">
        <f t="shared" si="5"/>
        <v>2.64</v>
      </c>
      <c r="S17">
        <f t="shared" si="1"/>
        <v>0.31</v>
      </c>
      <c r="T17" s="8">
        <f t="shared" si="6"/>
        <v>4.1994496496446855E-2</v>
      </c>
      <c r="U17" s="8">
        <f t="shared" si="2"/>
        <v>3.8869064483569003E-9</v>
      </c>
      <c r="V17">
        <f t="shared" si="3"/>
        <v>4.1994496496446855E-2</v>
      </c>
      <c r="W17" s="71">
        <f t="shared" si="7"/>
        <v>-2600</v>
      </c>
      <c r="AA17">
        <v>13</v>
      </c>
      <c r="AB17">
        <v>1.002</v>
      </c>
    </row>
    <row r="18" spans="2:28" x14ac:dyDescent="0.25">
      <c r="B18" t="s">
        <v>110</v>
      </c>
      <c r="C18" s="75">
        <v>8</v>
      </c>
      <c r="D18" t="s">
        <v>141</v>
      </c>
      <c r="E18" s="14">
        <f>10000*G18</f>
        <v>1017.9152896712628</v>
      </c>
      <c r="F18" s="5" t="s">
        <v>195</v>
      </c>
      <c r="G18" s="3">
        <f>0.0001*PI()*G17*G17/G7</f>
        <v>0.10179152896712629</v>
      </c>
      <c r="H18" s="3" t="s">
        <v>162</v>
      </c>
      <c r="I18">
        <f>0.5*100/G18</f>
        <v>491.20000954251867</v>
      </c>
      <c r="J18" s="17" t="s">
        <v>108</v>
      </c>
      <c r="K18" s="3">
        <v>4</v>
      </c>
      <c r="M18"/>
      <c r="O18" s="3">
        <f t="shared" si="8"/>
        <v>13</v>
      </c>
      <c r="P18" s="13">
        <f t="shared" si="4"/>
        <v>-3.5038934014033001</v>
      </c>
      <c r="Q18" s="13">
        <f t="shared" si="0"/>
        <v>-0.35666666666666669</v>
      </c>
      <c r="R18" s="13">
        <f t="shared" si="5"/>
        <v>2.86</v>
      </c>
      <c r="S18">
        <f t="shared" si="1"/>
        <v>0.3066666666666667</v>
      </c>
      <c r="T18" s="8">
        <f t="shared" si="6"/>
        <v>4.5946260100589352E-2</v>
      </c>
      <c r="U18" s="8">
        <f t="shared" si="2"/>
        <v>5.0229822847556857E-9</v>
      </c>
      <c r="V18">
        <f t="shared" si="3"/>
        <v>4.5946260100589352E-2</v>
      </c>
      <c r="W18" s="71">
        <f t="shared" si="7"/>
        <v>-2566.666666666667</v>
      </c>
      <c r="AA18">
        <v>14</v>
      </c>
      <c r="AB18">
        <v>1.002</v>
      </c>
    </row>
    <row r="19" spans="2:28" x14ac:dyDescent="0.25">
      <c r="B19" t="s">
        <v>12</v>
      </c>
      <c r="C19" s="23">
        <f>G34/2</f>
        <v>0.75000217919683421</v>
      </c>
      <c r="D19" t="s">
        <v>142</v>
      </c>
      <c r="F19" s="5" t="s">
        <v>196</v>
      </c>
      <c r="G19" s="6">
        <f>G18*G16</f>
        <v>383.10099742472914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8"/>
        <v>14</v>
      </c>
      <c r="P19" s="13">
        <f t="shared" si="4"/>
        <v>-3.4711467341004654</v>
      </c>
      <c r="Q19" s="13">
        <f t="shared" si="0"/>
        <v>-0.35333333333333333</v>
      </c>
      <c r="R19" s="13">
        <f t="shared" si="5"/>
        <v>3.08</v>
      </c>
      <c r="S19">
        <f t="shared" si="1"/>
        <v>0.30333333333333334</v>
      </c>
      <c r="T19" s="8">
        <f t="shared" si="6"/>
        <v>5.0355096440011113E-2</v>
      </c>
      <c r="U19" s="8">
        <f t="shared" si="2"/>
        <v>6.491113524794967E-9</v>
      </c>
      <c r="V19">
        <f t="shared" si="3"/>
        <v>5.0355096440011113E-2</v>
      </c>
      <c r="W19" s="71">
        <f t="shared" si="7"/>
        <v>-2533.333333333333</v>
      </c>
      <c r="AA19">
        <v>15</v>
      </c>
      <c r="AB19">
        <v>1.002</v>
      </c>
    </row>
    <row r="20" spans="2:28" x14ac:dyDescent="0.25">
      <c r="B20" t="s">
        <v>254</v>
      </c>
      <c r="C20" s="75">
        <v>2</v>
      </c>
      <c r="D20" t="s">
        <v>143</v>
      </c>
      <c r="E20">
        <v>7.1294579999999996</v>
      </c>
      <c r="F20" s="5" t="s">
        <v>11</v>
      </c>
      <c r="G20" s="7">
        <f>0.0001*G17*G16</f>
        <v>6.0593706776229688</v>
      </c>
      <c r="H20" s="3" t="s">
        <v>167</v>
      </c>
      <c r="I20"/>
      <c r="J20"/>
      <c r="K20" s="3"/>
      <c r="M20"/>
      <c r="O20" s="3">
        <f t="shared" si="8"/>
        <v>15</v>
      </c>
      <c r="P20" s="13">
        <f t="shared" si="4"/>
        <v>-3.4384000667976311</v>
      </c>
      <c r="Q20" s="13">
        <f t="shared" si="0"/>
        <v>-0.35000000000000003</v>
      </c>
      <c r="R20" s="13">
        <f t="shared" si="5"/>
        <v>3.3</v>
      </c>
      <c r="S20">
        <f t="shared" si="1"/>
        <v>0.30000000000000004</v>
      </c>
      <c r="T20" s="8">
        <f t="shared" si="6"/>
        <v>5.5304535162371313E-2</v>
      </c>
      <c r="U20" s="8">
        <f t="shared" si="2"/>
        <v>8.3883542421001968E-9</v>
      </c>
      <c r="V20">
        <f t="shared" si="3"/>
        <v>5.5304535162371313E-2</v>
      </c>
      <c r="W20" s="71">
        <f t="shared" si="7"/>
        <v>-2500</v>
      </c>
      <c r="AA20">
        <v>16</v>
      </c>
      <c r="AB20">
        <v>1.002</v>
      </c>
    </row>
    <row r="21" spans="2:28" x14ac:dyDescent="0.25">
      <c r="B21" t="s">
        <v>13</v>
      </c>
      <c r="C21" s="22">
        <f>-0.4/G$18</f>
        <v>-3.9296000763401495</v>
      </c>
      <c r="D21" t="s">
        <v>144</v>
      </c>
      <c r="E21" s="20">
        <f>10000*E20/G16</f>
        <v>18.943266538205709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8"/>
        <v>16</v>
      </c>
      <c r="P21" s="13">
        <f t="shared" si="4"/>
        <v>-3.4056533994947964</v>
      </c>
      <c r="Q21" s="13">
        <f t="shared" si="0"/>
        <v>-0.34666666666666668</v>
      </c>
      <c r="R21" s="13">
        <f t="shared" si="5"/>
        <v>3.52</v>
      </c>
      <c r="S21">
        <f t="shared" si="1"/>
        <v>0.29666666666666669</v>
      </c>
      <c r="T21" s="8">
        <f t="shared" si="6"/>
        <v>6.0904007960779855E-2</v>
      </c>
      <c r="U21" s="8">
        <f t="shared" si="2"/>
        <v>1.084012574201201E-8</v>
      </c>
      <c r="V21">
        <f t="shared" si="3"/>
        <v>6.0904007960779855E-2</v>
      </c>
      <c r="W21" s="71">
        <f t="shared" si="7"/>
        <v>-2466.6666666666665</v>
      </c>
      <c r="AA21">
        <v>17</v>
      </c>
      <c r="AB21">
        <v>1.002</v>
      </c>
    </row>
    <row r="22" spans="2:28" x14ac:dyDescent="0.25">
      <c r="B22" t="s">
        <v>14</v>
      </c>
      <c r="C22" s="75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8"/>
        <v>17</v>
      </c>
      <c r="P22" s="13">
        <f t="shared" si="4"/>
        <v>-3.3729067321919617</v>
      </c>
      <c r="Q22" s="13">
        <f t="shared" si="0"/>
        <v>-0.34333333333333332</v>
      </c>
      <c r="R22" s="13">
        <f t="shared" si="5"/>
        <v>3.74</v>
      </c>
      <c r="S22">
        <f t="shared" si="1"/>
        <v>0.29333333333333333</v>
      </c>
      <c r="T22" s="8">
        <f t="shared" si="6"/>
        <v>6.7298327439297576E-2</v>
      </c>
      <c r="U22" s="8">
        <f t="shared" si="2"/>
        <v>1.4008507812862376E-8</v>
      </c>
      <c r="V22">
        <f t="shared" si="3"/>
        <v>6.7298327439297576E-2</v>
      </c>
      <c r="W22" s="71">
        <f t="shared" si="7"/>
        <v>-2433.333333333333</v>
      </c>
      <c r="AA22">
        <v>18</v>
      </c>
      <c r="AB22">
        <v>1.002</v>
      </c>
    </row>
    <row r="23" spans="2:28" x14ac:dyDescent="0.25">
      <c r="B23" t="s">
        <v>15</v>
      </c>
      <c r="C23" s="22">
        <f>0.1/G$18</f>
        <v>0.98240001908503738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8"/>
        <v>18</v>
      </c>
      <c r="P23" s="13">
        <f t="shared" si="4"/>
        <v>-3.340160064889127</v>
      </c>
      <c r="Q23" s="13">
        <f t="shared" si="0"/>
        <v>-0.33999999999999997</v>
      </c>
      <c r="R23" s="13">
        <f t="shared" si="5"/>
        <v>3.96</v>
      </c>
      <c r="S23">
        <f t="shared" si="1"/>
        <v>0.28999999999999998</v>
      </c>
      <c r="T23" s="8">
        <f t="shared" si="6"/>
        <v>7.4679996687001218E-2</v>
      </c>
      <c r="U23" s="8">
        <f t="shared" si="2"/>
        <v>1.8102953365767135E-8</v>
      </c>
      <c r="V23">
        <f t="shared" si="3"/>
        <v>7.4679996687001218E-2</v>
      </c>
      <c r="W23" s="71">
        <f t="shared" si="7"/>
        <v>-2399.9999999999995</v>
      </c>
      <c r="AA23">
        <v>19</v>
      </c>
      <c r="AB23">
        <v>1.002</v>
      </c>
    </row>
    <row r="24" spans="2:28" x14ac:dyDescent="0.25">
      <c r="B24" t="s">
        <v>16</v>
      </c>
      <c r="C24" s="75">
        <f>(C23-C21)/150</f>
        <v>3.2746667302834577E-2</v>
      </c>
      <c r="D24" t="s">
        <v>146</v>
      </c>
      <c r="F24" s="5" t="s">
        <v>8</v>
      </c>
      <c r="G24" s="11">
        <f>0.000000000000001*G22*G10</f>
        <v>2.6831924746576368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8"/>
        <v>19</v>
      </c>
      <c r="P24" s="13">
        <f t="shared" si="4"/>
        <v>-3.3074133975862927</v>
      </c>
      <c r="Q24" s="13">
        <f t="shared" si="0"/>
        <v>-0.33666666666666667</v>
      </c>
      <c r="R24" s="13">
        <f t="shared" si="5"/>
        <v>4.18</v>
      </c>
      <c r="S24">
        <f t="shared" si="1"/>
        <v>0.28666666666666668</v>
      </c>
      <c r="T24" s="8">
        <f t="shared" si="6"/>
        <v>8.3304477353580597E-2</v>
      </c>
      <c r="U24" s="8">
        <f t="shared" si="2"/>
        <v>2.3394134776670017E-8</v>
      </c>
      <c r="V24">
        <f t="shared" si="3"/>
        <v>8.3304477353580597E-2</v>
      </c>
      <c r="W24" s="71">
        <f t="shared" si="7"/>
        <v>-2366.6666666666665</v>
      </c>
      <c r="AA24">
        <v>20</v>
      </c>
      <c r="AB24">
        <v>1.002</v>
      </c>
    </row>
    <row r="25" spans="2:28" x14ac:dyDescent="0.25">
      <c r="B25" t="s">
        <v>17</v>
      </c>
      <c r="C25" s="75">
        <v>300</v>
      </c>
      <c r="E25">
        <f>G25*375/600</f>
        <v>17.301995296661023</v>
      </c>
      <c r="F25" s="5" t="s">
        <v>175</v>
      </c>
      <c r="G25" s="11">
        <f>C14+C15+C16</f>
        <v>27.683192474657638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8"/>
        <v>20</v>
      </c>
      <c r="P25" s="13">
        <f t="shared" si="4"/>
        <v>-3.274666730283458</v>
      </c>
      <c r="Q25" s="13">
        <f t="shared" si="0"/>
        <v>-0.33333333333333337</v>
      </c>
      <c r="R25" s="13">
        <f t="shared" si="5"/>
        <v>4.4000000000000004</v>
      </c>
      <c r="S25">
        <f t="shared" si="1"/>
        <v>0.28333333333333338</v>
      </c>
      <c r="T25" s="8">
        <f t="shared" si="6"/>
        <v>9.3507786710374047E-2</v>
      </c>
      <c r="U25" s="8">
        <f t="shared" si="2"/>
        <v>3.0231837271609843E-8</v>
      </c>
      <c r="V25">
        <f t="shared" si="3"/>
        <v>9.3507786710374047E-2</v>
      </c>
      <c r="W25" s="71">
        <f t="shared" si="7"/>
        <v>-2333.3333333333335</v>
      </c>
      <c r="AA25">
        <v>21</v>
      </c>
      <c r="AB25">
        <v>1.002</v>
      </c>
    </row>
    <row r="26" spans="2:28" x14ac:dyDescent="0.25">
      <c r="B26" t="s">
        <v>18</v>
      </c>
      <c r="C26" s="75">
        <v>6</v>
      </c>
      <c r="E26" s="12"/>
      <c r="F26" s="5" t="s">
        <v>178</v>
      </c>
      <c r="G26" s="11">
        <f>G20*C18</f>
        <v>48.47496542098375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8"/>
        <v>21</v>
      </c>
      <c r="P26" s="13">
        <f t="shared" si="4"/>
        <v>-3.2419200629806233</v>
      </c>
      <c r="Q26" s="13">
        <f t="shared" si="0"/>
        <v>-0.33</v>
      </c>
      <c r="R26" s="13">
        <f t="shared" si="5"/>
        <v>4.62</v>
      </c>
      <c r="S26">
        <f t="shared" si="1"/>
        <v>0.28000000000000003</v>
      </c>
      <c r="T26" s="8">
        <f t="shared" si="6"/>
        <v>0.10572423486108301</v>
      </c>
      <c r="U26" s="8">
        <f t="shared" si="2"/>
        <v>3.9068082233457999E-8</v>
      </c>
      <c r="V26">
        <f t="shared" si="3"/>
        <v>0.10572423486108301</v>
      </c>
      <c r="W26" s="71">
        <f t="shared" si="7"/>
        <v>-2300</v>
      </c>
      <c r="AA26">
        <v>22</v>
      </c>
      <c r="AB26">
        <v>1.002</v>
      </c>
    </row>
    <row r="27" spans="2:28" x14ac:dyDescent="0.25">
      <c r="B27" t="s">
        <v>19</v>
      </c>
      <c r="C27" s="75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73.555394207510602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8"/>
        <v>22</v>
      </c>
      <c r="P27" s="13">
        <f t="shared" si="4"/>
        <v>-3.209173395677789</v>
      </c>
      <c r="Q27" s="13">
        <f t="shared" si="0"/>
        <v>-0.32666666666666672</v>
      </c>
      <c r="R27" s="13">
        <f t="shared" si="5"/>
        <v>4.84</v>
      </c>
      <c r="S27">
        <f t="shared" si="1"/>
        <v>0.27666666666666673</v>
      </c>
      <c r="T27" s="8">
        <f t="shared" si="6"/>
        <v>0.12049931308042705</v>
      </c>
      <c r="U27" s="8">
        <f t="shared" si="2"/>
        <v>5.0487009041431095E-8</v>
      </c>
      <c r="V27">
        <f t="shared" si="3"/>
        <v>0.12049931308042705</v>
      </c>
      <c r="W27" s="71">
        <f t="shared" si="7"/>
        <v>-2266.666666666667</v>
      </c>
      <c r="AA27">
        <v>23</v>
      </c>
      <c r="AB27">
        <v>1.002</v>
      </c>
    </row>
    <row r="28" spans="2:28" x14ac:dyDescent="0.25">
      <c r="B28" t="s">
        <v>20</v>
      </c>
      <c r="C28" s="75">
        <v>20</v>
      </c>
      <c r="D28">
        <f>2.142311</f>
        <v>2.1423109999999999</v>
      </c>
      <c r="F28" s="5" t="s">
        <v>179</v>
      </c>
      <c r="G28" s="6">
        <f>G26*10000/G16</f>
        <v>128.80000000000004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8"/>
        <v>23</v>
      </c>
      <c r="P28" s="13">
        <f t="shared" si="4"/>
        <v>-3.1764267283749543</v>
      </c>
      <c r="Q28" s="13">
        <f t="shared" si="0"/>
        <v>-0.32333333333333336</v>
      </c>
      <c r="R28" s="13">
        <f t="shared" si="5"/>
        <v>5.0599999999999996</v>
      </c>
      <c r="S28">
        <f t="shared" si="1"/>
        <v>0.27333333333333337</v>
      </c>
      <c r="T28" s="8">
        <f t="shared" si="6"/>
        <v>0.13848837651815363</v>
      </c>
      <c r="U28" s="8">
        <f t="shared" si="2"/>
        <v>6.5243490838304274E-8</v>
      </c>
      <c r="V28">
        <f t="shared" si="3"/>
        <v>0.13848837651815363</v>
      </c>
      <c r="W28" s="71">
        <f t="shared" si="7"/>
        <v>-2233.3333333333335</v>
      </c>
      <c r="AA28">
        <v>24</v>
      </c>
      <c r="AB28">
        <v>1.002</v>
      </c>
    </row>
    <row r="29" spans="2:28" x14ac:dyDescent="0.25">
      <c r="B29" t="s">
        <v>21</v>
      </c>
      <c r="C29" s="75">
        <v>100</v>
      </c>
      <c r="D29">
        <f>D27/D28</f>
        <v>1.0559008472626059</v>
      </c>
      <c r="E29">
        <f>C14/G29</f>
        <v>58.15497928096142</v>
      </c>
      <c r="F29" s="5" t="s">
        <v>177</v>
      </c>
      <c r="G29" s="3">
        <f>G25/C7</f>
        <v>4.6138654124429399E-2</v>
      </c>
      <c r="H29" s="3" t="s">
        <v>167</v>
      </c>
      <c r="I29"/>
      <c r="J29"/>
      <c r="K29" s="3"/>
      <c r="M29"/>
      <c r="O29" s="3">
        <f t="shared" si="8"/>
        <v>24</v>
      </c>
      <c r="P29" s="13">
        <f t="shared" si="4"/>
        <v>-3.1436800610721196</v>
      </c>
      <c r="Q29" s="13">
        <f t="shared" si="0"/>
        <v>-0.32</v>
      </c>
      <c r="R29" s="13">
        <f t="shared" si="5"/>
        <v>5.28</v>
      </c>
      <c r="S29">
        <f t="shared" si="1"/>
        <v>0.27</v>
      </c>
      <c r="T29" s="8">
        <f t="shared" si="6"/>
        <v>0.16042621689712716</v>
      </c>
      <c r="U29" s="8">
        <f t="shared" si="2"/>
        <v>8.4313036988896031E-8</v>
      </c>
      <c r="V29">
        <f t="shared" si="3"/>
        <v>0.16042621689712716</v>
      </c>
      <c r="W29" s="71">
        <f t="shared" si="7"/>
        <v>-2200</v>
      </c>
      <c r="AA29">
        <v>25</v>
      </c>
      <c r="AB29">
        <v>1.002</v>
      </c>
    </row>
    <row r="30" spans="2:28" x14ac:dyDescent="0.25">
      <c r="B30" t="s">
        <v>22</v>
      </c>
      <c r="C30" s="22">
        <f>G12</f>
        <v>4.7919443248187969E-2</v>
      </c>
      <c r="D30" t="s">
        <v>147</v>
      </c>
      <c r="F30" s="5" t="s">
        <v>180</v>
      </c>
      <c r="G30" s="6">
        <f>10000*G29/G16</f>
        <v>0.12259232367918434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8"/>
        <v>25</v>
      </c>
      <c r="P30" s="13">
        <f t="shared" si="4"/>
        <v>-3.1109333937692849</v>
      </c>
      <c r="Q30" s="13">
        <f t="shared" si="0"/>
        <v>-0.31666666666666665</v>
      </c>
      <c r="R30" s="13">
        <f t="shared" si="5"/>
        <v>5.5</v>
      </c>
      <c r="S30">
        <f t="shared" si="1"/>
        <v>0.26666666666666666</v>
      </c>
      <c r="T30" s="8">
        <f t="shared" si="6"/>
        <v>0.18704820126894114</v>
      </c>
      <c r="U30" s="8">
        <f t="shared" si="2"/>
        <v>1.0895628111345401E-7</v>
      </c>
      <c r="V30">
        <f t="shared" si="3"/>
        <v>0.18704820126894114</v>
      </c>
      <c r="W30" s="71">
        <f t="shared" si="7"/>
        <v>-2166.6666666666665</v>
      </c>
      <c r="AA30">
        <v>26</v>
      </c>
      <c r="AB30">
        <v>1.002</v>
      </c>
    </row>
    <row r="31" spans="2:28" x14ac:dyDescent="0.25">
      <c r="B31" t="s">
        <v>23</v>
      </c>
      <c r="C31" s="75">
        <v>2</v>
      </c>
      <c r="D31">
        <f>D29^2</f>
        <v>1.1149265992498891</v>
      </c>
      <c r="E31" s="8">
        <f>C17/G31</f>
        <v>50</v>
      </c>
      <c r="F31" s="5" t="s">
        <v>182</v>
      </c>
      <c r="G31" s="3">
        <f>G26/C8</f>
        <v>0.12118741355245938</v>
      </c>
      <c r="H31" s="3" t="s">
        <v>167</v>
      </c>
      <c r="I31"/>
      <c r="J31"/>
      <c r="K31" s="3"/>
      <c r="M31"/>
      <c r="O31" s="3">
        <f t="shared" si="8"/>
        <v>26</v>
      </c>
      <c r="P31" s="13">
        <f t="shared" si="4"/>
        <v>-3.0781867264664506</v>
      </c>
      <c r="Q31" s="13">
        <f t="shared" si="0"/>
        <v>-0.31333333333333335</v>
      </c>
      <c r="R31" s="13">
        <f t="shared" si="5"/>
        <v>5.72</v>
      </c>
      <c r="S31">
        <f t="shared" si="1"/>
        <v>0.26333333333333336</v>
      </c>
      <c r="T31" s="8">
        <f t="shared" si="6"/>
        <v>0.21894607969832131</v>
      </c>
      <c r="U31" s="8">
        <f t="shared" si="2"/>
        <v>1.4080231777174771E-7</v>
      </c>
      <c r="V31">
        <f t="shared" si="3"/>
        <v>0.21894607969832131</v>
      </c>
      <c r="W31" s="71">
        <f t="shared" si="7"/>
        <v>-2133.3333333333335</v>
      </c>
      <c r="AA31">
        <v>27</v>
      </c>
      <c r="AB31">
        <v>1.002</v>
      </c>
    </row>
    <row r="32" spans="2:28" x14ac:dyDescent="0.25">
      <c r="B32" t="s">
        <v>24</v>
      </c>
      <c r="C32" s="75">
        <v>0.5</v>
      </c>
      <c r="D32">
        <f>D31*0.6</f>
        <v>0.66895595954993348</v>
      </c>
      <c r="F32" s="5" t="s">
        <v>183</v>
      </c>
      <c r="G32" s="6">
        <f>G31*10000/G16</f>
        <v>0.32200000000000012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8"/>
        <v>27</v>
      </c>
      <c r="P32" s="13">
        <f t="shared" si="4"/>
        <v>-3.0454400591636159</v>
      </c>
      <c r="Q32" s="13">
        <f t="shared" si="0"/>
        <v>-0.31</v>
      </c>
      <c r="R32" s="13">
        <f t="shared" si="5"/>
        <v>5.94</v>
      </c>
      <c r="S32">
        <f t="shared" si="1"/>
        <v>0.26</v>
      </c>
      <c r="T32" s="8">
        <f t="shared" si="6"/>
        <v>0.25635978297889894</v>
      </c>
      <c r="U32" s="8">
        <f t="shared" si="2"/>
        <v>1.8195639687279492E-7</v>
      </c>
      <c r="V32">
        <f t="shared" si="3"/>
        <v>0.25635978297889894</v>
      </c>
      <c r="W32" s="71">
        <f t="shared" si="7"/>
        <v>-2100</v>
      </c>
      <c r="AA32">
        <v>28</v>
      </c>
      <c r="AB32">
        <v>1.002</v>
      </c>
    </row>
    <row r="33" spans="2:28" x14ac:dyDescent="0.25">
      <c r="B33" t="s">
        <v>25</v>
      </c>
      <c r="C33" s="75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8"/>
        <v>28</v>
      </c>
      <c r="P33" s="13">
        <f t="shared" si="4"/>
        <v>-3.0126933918607812</v>
      </c>
      <c r="Q33" s="13">
        <f t="shared" si="0"/>
        <v>-0.30666666666666664</v>
      </c>
      <c r="R33" s="13">
        <f t="shared" si="5"/>
        <v>6.16</v>
      </c>
      <c r="S33">
        <f t="shared" si="1"/>
        <v>0.25666666666666665</v>
      </c>
      <c r="T33" s="8">
        <f t="shared" si="6"/>
        <v>0.2989466709460844</v>
      </c>
      <c r="U33" s="8">
        <f t="shared" si="2"/>
        <v>2.3513909505188513E-7</v>
      </c>
      <c r="V33">
        <f t="shared" si="3"/>
        <v>0.2989466709460844</v>
      </c>
      <c r="W33" s="71">
        <f t="shared" si="7"/>
        <v>-2066.6666666666665</v>
      </c>
      <c r="AA33">
        <v>29</v>
      </c>
      <c r="AB33">
        <v>1.002</v>
      </c>
    </row>
    <row r="34" spans="2:28" x14ac:dyDescent="0.25">
      <c r="B34" t="s">
        <v>26</v>
      </c>
      <c r="C34" s="75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8"/>
        <v>29</v>
      </c>
      <c r="P34" s="13">
        <f t="shared" si="4"/>
        <v>-2.979946724557947</v>
      </c>
      <c r="Q34" s="13">
        <f t="shared" si="0"/>
        <v>-0.30333333333333334</v>
      </c>
      <c r="R34" s="13">
        <f t="shared" si="5"/>
        <v>6.38</v>
      </c>
      <c r="S34">
        <f t="shared" si="1"/>
        <v>0.25333333333333335</v>
      </c>
      <c r="T34" s="8">
        <f t="shared" si="6"/>
        <v>0.34562079900273246</v>
      </c>
      <c r="U34" s="8">
        <f t="shared" si="2"/>
        <v>3.0386616401986879E-7</v>
      </c>
      <c r="V34">
        <f t="shared" si="3"/>
        <v>0.34562079900273246</v>
      </c>
      <c r="W34" s="71">
        <f t="shared" si="7"/>
        <v>-2033.3333333333335</v>
      </c>
      <c r="AA34">
        <v>30</v>
      </c>
      <c r="AB34">
        <v>1.002</v>
      </c>
    </row>
    <row r="35" spans="2:28" x14ac:dyDescent="0.25">
      <c r="B35" t="s">
        <v>27</v>
      </c>
      <c r="C35" s="75">
        <v>3</v>
      </c>
      <c r="D35" t="s">
        <v>129</v>
      </c>
      <c r="F35" s="5" t="s">
        <v>187</v>
      </c>
      <c r="G35" s="13">
        <f>G22*G17*G17*0.000000000000000001*G33/(225.38*225.38)</f>
        <v>0.58361190764528992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8"/>
        <v>30</v>
      </c>
      <c r="P35" s="13">
        <f t="shared" si="4"/>
        <v>-2.9472000572551122</v>
      </c>
      <c r="Q35" s="13">
        <f t="shared" si="0"/>
        <v>-0.3</v>
      </c>
      <c r="R35" s="13">
        <f t="shared" si="5"/>
        <v>6.6</v>
      </c>
      <c r="S35">
        <f t="shared" si="1"/>
        <v>0.25</v>
      </c>
      <c r="T35" s="8">
        <f t="shared" si="6"/>
        <v>0.39457739523103913</v>
      </c>
      <c r="U35" s="8">
        <f t="shared" si="2"/>
        <v>3.9268094477834522E-7</v>
      </c>
      <c r="V35">
        <f t="shared" si="3"/>
        <v>0.39457739523103913</v>
      </c>
      <c r="W35" s="71">
        <f t="shared" si="7"/>
        <v>-1999.9999999999998</v>
      </c>
      <c r="AA35">
        <v>31</v>
      </c>
      <c r="AB35">
        <v>1.002</v>
      </c>
    </row>
    <row r="36" spans="2:28" x14ac:dyDescent="0.25">
      <c r="B36" t="s">
        <v>28</v>
      </c>
      <c r="C36" s="75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8"/>
        <v>31</v>
      </c>
      <c r="P36" s="13">
        <f t="shared" si="4"/>
        <v>-2.9144533899522775</v>
      </c>
      <c r="Q36" s="13">
        <f t="shared" si="0"/>
        <v>-0.29666666666666669</v>
      </c>
      <c r="R36" s="13">
        <f t="shared" si="5"/>
        <v>6.82</v>
      </c>
      <c r="S36">
        <f t="shared" si="1"/>
        <v>0.2466666666666667</v>
      </c>
      <c r="T36" s="8">
        <f t="shared" si="6"/>
        <v>0.44356384248842118</v>
      </c>
      <c r="U36" s="8">
        <f t="shared" si="2"/>
        <v>5.0745471132227809E-7</v>
      </c>
      <c r="V36">
        <f t="shared" si="3"/>
        <v>0.44356384248842118</v>
      </c>
      <c r="W36" s="71">
        <f t="shared" si="7"/>
        <v>-1966.6666666666667</v>
      </c>
      <c r="AA36">
        <v>32</v>
      </c>
      <c r="AB36">
        <v>1.002</v>
      </c>
    </row>
    <row r="37" spans="2:28" x14ac:dyDescent="0.25">
      <c r="B37" t="s">
        <v>29</v>
      </c>
      <c r="C37" s="75">
        <v>10</v>
      </c>
      <c r="F37" s="5" t="s">
        <v>192</v>
      </c>
      <c r="G37" s="6">
        <f>0.000000000000001*G36*G10</f>
        <v>11.2829204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8"/>
        <v>32</v>
      </c>
      <c r="P37" s="13">
        <f t="shared" si="4"/>
        <v>-2.8817067226494428</v>
      </c>
      <c r="Q37" s="13">
        <f t="shared" si="0"/>
        <v>-0.29333333333333333</v>
      </c>
      <c r="R37" s="13">
        <f t="shared" si="5"/>
        <v>7.04</v>
      </c>
      <c r="S37">
        <f t="shared" si="1"/>
        <v>0.24333333333333335</v>
      </c>
      <c r="T37" s="8">
        <f t="shared" si="6"/>
        <v>0.49033083795197591</v>
      </c>
      <c r="U37" s="8">
        <f t="shared" si="2"/>
        <v>6.5577479765467175E-7</v>
      </c>
      <c r="V37">
        <f t="shared" si="3"/>
        <v>0.49033083795197591</v>
      </c>
      <c r="W37" s="71">
        <f t="shared" si="7"/>
        <v>-1933.3333333333333</v>
      </c>
      <c r="AA37">
        <v>33</v>
      </c>
      <c r="AB37">
        <v>1.002</v>
      </c>
    </row>
    <row r="38" spans="2:28" x14ac:dyDescent="0.25">
      <c r="B38" t="s">
        <v>30</v>
      </c>
      <c r="C38" s="75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-0.05</v>
      </c>
      <c r="L38">
        <v>0</v>
      </c>
      <c r="M38" s="73">
        <v>0</v>
      </c>
      <c r="N38" t="s">
        <v>237</v>
      </c>
      <c r="O38" s="3">
        <f t="shared" si="8"/>
        <v>33</v>
      </c>
      <c r="P38" s="13">
        <f t="shared" si="4"/>
        <v>-2.8489600553466086</v>
      </c>
      <c r="Q38" s="13">
        <f t="shared" si="0"/>
        <v>-0.29000000000000004</v>
      </c>
      <c r="R38" s="13">
        <f t="shared" si="5"/>
        <v>7.26</v>
      </c>
      <c r="S38">
        <f t="shared" si="1"/>
        <v>0.24000000000000005</v>
      </c>
      <c r="T38" s="8">
        <f t="shared" si="6"/>
        <v>0.5330833339411829</v>
      </c>
      <c r="U38" s="8">
        <f t="shared" si="2"/>
        <v>8.4744616433620505E-7</v>
      </c>
      <c r="V38">
        <f t="shared" si="3"/>
        <v>0.5330833339411829</v>
      </c>
      <c r="W38" s="71">
        <f t="shared" si="7"/>
        <v>-1900.0000000000002</v>
      </c>
      <c r="AA38">
        <v>34</v>
      </c>
      <c r="AB38">
        <v>1.002</v>
      </c>
    </row>
    <row r="39" spans="2:28" x14ac:dyDescent="0.25">
      <c r="B39" t="s">
        <v>31</v>
      </c>
      <c r="C39" s="75">
        <v>0.125</v>
      </c>
      <c r="F39" s="5" t="s">
        <v>194</v>
      </c>
      <c r="G39" s="6">
        <f>0.0001*G38*G16</f>
        <v>3.7635842718155077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8"/>
        <v>34</v>
      </c>
      <c r="P39" s="13">
        <f t="shared" si="4"/>
        <v>-2.8162133880437739</v>
      </c>
      <c r="Q39" s="13">
        <f t="shared" si="0"/>
        <v>-0.28666666666666668</v>
      </c>
      <c r="R39" s="13">
        <f t="shared" si="5"/>
        <v>7.48</v>
      </c>
      <c r="S39">
        <f t="shared" si="1"/>
        <v>0.23666666666666669</v>
      </c>
      <c r="T39" s="8">
        <f t="shared" si="6"/>
        <v>0.57075088256080242</v>
      </c>
      <c r="U39" s="8">
        <f t="shared" si="2"/>
        <v>1.0951395587753562E-6</v>
      </c>
      <c r="V39">
        <f t="shared" si="3"/>
        <v>0.57075088256080242</v>
      </c>
      <c r="W39" s="71">
        <f t="shared" si="7"/>
        <v>-1866.6666666666667</v>
      </c>
      <c r="AA39">
        <v>35</v>
      </c>
      <c r="AB39">
        <v>1.002</v>
      </c>
    </row>
    <row r="40" spans="2:28" x14ac:dyDescent="0.25">
      <c r="B40" t="s">
        <v>32</v>
      </c>
      <c r="C40" s="75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8"/>
        <v>35</v>
      </c>
      <c r="P40" s="13">
        <f t="shared" si="4"/>
        <v>-2.7834667207409396</v>
      </c>
      <c r="Q40" s="13">
        <f t="shared" si="0"/>
        <v>-0.28333333333333338</v>
      </c>
      <c r="R40" s="13">
        <f t="shared" si="5"/>
        <v>7.7</v>
      </c>
      <c r="S40">
        <f t="shared" si="1"/>
        <v>0.23333333333333339</v>
      </c>
      <c r="T40" s="8">
        <f t="shared" si="6"/>
        <v>0.60301111079392933</v>
      </c>
      <c r="U40" s="8">
        <f t="shared" si="2"/>
        <v>1.4152291123819981E-6</v>
      </c>
      <c r="V40">
        <f t="shared" si="3"/>
        <v>0.60301111079392933</v>
      </c>
      <c r="W40" s="71">
        <f t="shared" si="7"/>
        <v>-1833.3333333333337</v>
      </c>
      <c r="AA40">
        <v>36</v>
      </c>
      <c r="AB40">
        <v>1.002</v>
      </c>
    </row>
    <row r="41" spans="2:28" x14ac:dyDescent="0.25">
      <c r="B41" t="s">
        <v>33</v>
      </c>
      <c r="C41" s="75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8"/>
        <v>36</v>
      </c>
      <c r="P41" s="13">
        <f t="shared" si="4"/>
        <v>-2.7507200534381049</v>
      </c>
      <c r="Q41" s="13">
        <f t="shared" si="0"/>
        <v>-0.28000000000000003</v>
      </c>
      <c r="R41" s="13">
        <f t="shared" si="5"/>
        <v>7.92</v>
      </c>
      <c r="S41">
        <f t="shared" si="1"/>
        <v>0.23000000000000004</v>
      </c>
      <c r="T41" s="8">
        <f t="shared" si="6"/>
        <v>0.63012770432629883</v>
      </c>
      <c r="U41" s="8">
        <f t="shared" si="2"/>
        <v>1.8288747375335047E-6</v>
      </c>
      <c r="V41">
        <f t="shared" si="3"/>
        <v>0.63012770432629883</v>
      </c>
      <c r="W41" s="71">
        <f t="shared" si="7"/>
        <v>-1800.0000000000002</v>
      </c>
      <c r="AA41">
        <v>37</v>
      </c>
      <c r="AB41">
        <v>1.002</v>
      </c>
    </row>
    <row r="42" spans="2:28" x14ac:dyDescent="0.25">
      <c r="B42" t="s">
        <v>34</v>
      </c>
      <c r="C42" s="75">
        <v>1000</v>
      </c>
      <c r="F42" s="5" t="s">
        <v>201</v>
      </c>
      <c r="G42" s="6">
        <f>2*G41*G41*(0.5*PI()+C15-C89)/G19</f>
        <v>-6.6358476579840806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8"/>
        <v>37</v>
      </c>
      <c r="P42" s="13">
        <f t="shared" si="4"/>
        <v>-2.7179733861352702</v>
      </c>
      <c r="Q42" s="13">
        <f t="shared" si="0"/>
        <v>-0.27666666666666667</v>
      </c>
      <c r="R42" s="13">
        <f t="shared" si="5"/>
        <v>8.14</v>
      </c>
      <c r="S42">
        <f t="shared" si="1"/>
        <v>0.22666666666666668</v>
      </c>
      <c r="T42" s="8">
        <f t="shared" si="6"/>
        <v>0.65271819713940304</v>
      </c>
      <c r="U42" s="8">
        <f t="shared" si="2"/>
        <v>2.3634208647950514E-6</v>
      </c>
      <c r="V42">
        <f t="shared" si="3"/>
        <v>0.65271819713940304</v>
      </c>
      <c r="W42" s="71">
        <f t="shared" si="7"/>
        <v>-1766.6666666666667</v>
      </c>
      <c r="AA42">
        <v>38</v>
      </c>
      <c r="AB42">
        <v>1.002</v>
      </c>
    </row>
    <row r="43" spans="2:28" x14ac:dyDescent="0.25">
      <c r="B43" t="s">
        <v>35</v>
      </c>
      <c r="C43" s="75">
        <v>1</v>
      </c>
      <c r="F43" s="5" t="s">
        <v>203</v>
      </c>
      <c r="G43" s="6">
        <f>0.5*G41*G41*G13</f>
        <v>0.1258755479916287</v>
      </c>
      <c r="H43" s="3" t="s">
        <v>162</v>
      </c>
      <c r="I43"/>
      <c r="J43"/>
      <c r="K43" s="3"/>
      <c r="L43">
        <v>0.06</v>
      </c>
      <c r="M43"/>
      <c r="O43" s="3">
        <f t="shared" si="8"/>
        <v>38</v>
      </c>
      <c r="P43" s="13">
        <f t="shared" si="4"/>
        <v>-2.6852267188324355</v>
      </c>
      <c r="Q43" s="13">
        <f t="shared" si="0"/>
        <v>-0.27333333333333332</v>
      </c>
      <c r="R43" s="13">
        <f t="shared" si="5"/>
        <v>8.36</v>
      </c>
      <c r="S43">
        <f t="shared" si="1"/>
        <v>0.22333333333333333</v>
      </c>
      <c r="T43" s="8">
        <f t="shared" si="6"/>
        <v>0.67154424878116425</v>
      </c>
      <c r="U43" s="8">
        <f t="shared" si="2"/>
        <v>3.0542039639552431E-6</v>
      </c>
      <c r="V43">
        <f t="shared" si="3"/>
        <v>0.67154424878116425</v>
      </c>
      <c r="W43" s="71">
        <f t="shared" si="7"/>
        <v>-1733.333333333333</v>
      </c>
      <c r="AA43">
        <v>39</v>
      </c>
      <c r="AB43">
        <v>1.002</v>
      </c>
    </row>
    <row r="44" spans="2:28" x14ac:dyDescent="0.25">
      <c r="B44" t="s">
        <v>36</v>
      </c>
      <c r="C44" s="75">
        <v>1</v>
      </c>
      <c r="F44" s="5" t="s">
        <v>203</v>
      </c>
      <c r="G44" s="6">
        <f>G43/G18</f>
        <v>1.2366014074931557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8"/>
        <v>39</v>
      </c>
      <c r="P44" s="13">
        <f t="shared" si="4"/>
        <v>-2.6524800515296008</v>
      </c>
      <c r="Q44" s="13">
        <f t="shared" si="0"/>
        <v>-0.26999999999999996</v>
      </c>
      <c r="R44" s="13">
        <f t="shared" si="5"/>
        <v>8.58</v>
      </c>
      <c r="S44">
        <f t="shared" si="1"/>
        <v>0.21999999999999997</v>
      </c>
      <c r="T44" s="8">
        <f t="shared" si="6"/>
        <v>0.68736598182104158</v>
      </c>
      <c r="U44" s="8">
        <f t="shared" si="2"/>
        <v>3.9468883005428251E-6</v>
      </c>
      <c r="V44">
        <f t="shared" si="3"/>
        <v>0.68736598182104158</v>
      </c>
      <c r="W44" s="71">
        <f t="shared" si="7"/>
        <v>-1699.9999999999995</v>
      </c>
      <c r="AA44">
        <v>40</v>
      </c>
      <c r="AB44">
        <v>1.002</v>
      </c>
    </row>
    <row r="45" spans="2:28" x14ac:dyDescent="0.25">
      <c r="B45" t="s">
        <v>213</v>
      </c>
      <c r="C45" s="75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8"/>
        <v>40</v>
      </c>
      <c r="P45" s="13">
        <f t="shared" si="4"/>
        <v>-2.6197333842267665</v>
      </c>
      <c r="Q45" s="13">
        <f t="shared" si="0"/>
        <v>-0.26666666666666666</v>
      </c>
      <c r="R45" s="13">
        <f t="shared" si="5"/>
        <v>8.8000000000000007</v>
      </c>
      <c r="S45">
        <f t="shared" si="1"/>
        <v>0.21666666666666667</v>
      </c>
      <c r="T45" s="8">
        <f t="shared" si="6"/>
        <v>0.70086179899476075</v>
      </c>
      <c r="U45" s="8">
        <f t="shared" si="2"/>
        <v>5.100484273856577E-6</v>
      </c>
      <c r="V45">
        <f t="shared" si="3"/>
        <v>0.70086179899476075</v>
      </c>
      <c r="W45" s="71">
        <f t="shared" si="7"/>
        <v>-1666.6666666666665</v>
      </c>
      <c r="AA45">
        <v>41</v>
      </c>
      <c r="AB45">
        <v>1.002</v>
      </c>
    </row>
    <row r="46" spans="2:28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1.2366014074931559</v>
      </c>
      <c r="H46" s="3"/>
      <c r="I46"/>
      <c r="J46"/>
      <c r="K46" s="3"/>
      <c r="M46"/>
      <c r="O46" s="3">
        <f t="shared" si="8"/>
        <v>41</v>
      </c>
      <c r="P46" s="13">
        <f t="shared" si="4"/>
        <v>-2.5869867169239318</v>
      </c>
      <c r="Q46" s="13">
        <f t="shared" si="0"/>
        <v>-0.26333333333333336</v>
      </c>
      <c r="R46" s="13">
        <f t="shared" si="5"/>
        <v>9.02</v>
      </c>
      <c r="S46">
        <f t="shared" si="1"/>
        <v>0.21333333333333337</v>
      </c>
      <c r="T46" s="8">
        <f t="shared" si="6"/>
        <v>0.71259685894669378</v>
      </c>
      <c r="U46" s="8">
        <f t="shared" si="2"/>
        <v>6.5912487630005138E-6</v>
      </c>
      <c r="V46">
        <f t="shared" si="3"/>
        <v>0.71259685894669378</v>
      </c>
      <c r="W46" s="71">
        <f t="shared" si="7"/>
        <v>-1633.3333333333335</v>
      </c>
      <c r="AA46">
        <v>42</v>
      </c>
      <c r="AB46">
        <v>1.002</v>
      </c>
    </row>
    <row r="47" spans="2:28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8"/>
        <v>42</v>
      </c>
      <c r="P47" s="13">
        <f t="shared" si="4"/>
        <v>-2.5542400496210975</v>
      </c>
      <c r="Q47" s="13">
        <f t="shared" si="0"/>
        <v>-0.26</v>
      </c>
      <c r="R47" s="13">
        <f t="shared" si="5"/>
        <v>9.24</v>
      </c>
      <c r="S47">
        <f t="shared" si="1"/>
        <v>0.21000000000000002</v>
      </c>
      <c r="T47" s="8">
        <f t="shared" si="6"/>
        <v>0.72302093499827957</v>
      </c>
      <c r="U47" s="8">
        <f t="shared" si="2"/>
        <v>8.5177251425285279E-6</v>
      </c>
      <c r="V47">
        <f t="shared" si="3"/>
        <v>0.72302093499827957</v>
      </c>
      <c r="W47" s="71">
        <f t="shared" si="7"/>
        <v>-1600</v>
      </c>
      <c r="AA47">
        <v>43</v>
      </c>
      <c r="AB47">
        <v>1.002</v>
      </c>
    </row>
    <row r="48" spans="2:28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8"/>
        <v>43</v>
      </c>
      <c r="P48" s="13">
        <f t="shared" si="4"/>
        <v>-2.5214933823182628</v>
      </c>
      <c r="Q48" s="13">
        <f t="shared" si="0"/>
        <v>-0.25666666666666671</v>
      </c>
      <c r="R48" s="13">
        <f t="shared" si="5"/>
        <v>9.4600000000000009</v>
      </c>
      <c r="S48">
        <f t="shared" si="1"/>
        <v>0.20666666666666672</v>
      </c>
      <c r="T48" s="8">
        <f t="shared" si="6"/>
        <v>0.7324807719705162</v>
      </c>
      <c r="U48" s="8">
        <f t="shared" si="2"/>
        <v>1.1007255849483191E-5</v>
      </c>
      <c r="V48">
        <f t="shared" si="3"/>
        <v>0.7324807719705162</v>
      </c>
      <c r="W48" s="71">
        <f t="shared" si="7"/>
        <v>-1566.666666666667</v>
      </c>
      <c r="AA48">
        <v>44</v>
      </c>
      <c r="AB48">
        <v>1.002</v>
      </c>
    </row>
    <row r="49" spans="1:28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8"/>
        <v>44</v>
      </c>
      <c r="P49" s="13">
        <f t="shared" si="4"/>
        <v>-2.4887467150154281</v>
      </c>
      <c r="Q49" s="13">
        <f t="shared" si="0"/>
        <v>-0.25333333333333335</v>
      </c>
      <c r="R49" s="13">
        <f t="shared" si="5"/>
        <v>9.68</v>
      </c>
      <c r="S49">
        <f t="shared" si="1"/>
        <v>0.20333333333333337</v>
      </c>
      <c r="T49" s="8">
        <f t="shared" si="6"/>
        <v>0.74123757718070671</v>
      </c>
      <c r="U49" s="8">
        <f t="shared" si="2"/>
        <v>1.4224397529158644E-5</v>
      </c>
      <c r="V49">
        <f t="shared" si="3"/>
        <v>0.74123757718070671</v>
      </c>
      <c r="W49" s="71">
        <f t="shared" si="7"/>
        <v>-1533.3333333333335</v>
      </c>
      <c r="AA49">
        <v>45</v>
      </c>
      <c r="AB49">
        <v>1.002</v>
      </c>
    </row>
    <row r="50" spans="1:28" x14ac:dyDescent="0.25">
      <c r="B50" t="s">
        <v>37</v>
      </c>
      <c r="C50" s="75">
        <v>0</v>
      </c>
      <c r="F50" s="5"/>
      <c r="G50" s="3"/>
      <c r="H50" s="3"/>
      <c r="I50"/>
      <c r="J50"/>
      <c r="K50" s="3"/>
      <c r="M50"/>
      <c r="O50" s="3">
        <f t="shared" si="8"/>
        <v>45</v>
      </c>
      <c r="P50" s="13">
        <f t="shared" si="4"/>
        <v>-2.4560000477125934</v>
      </c>
      <c r="Q50" s="13">
        <f t="shared" si="0"/>
        <v>-0.25</v>
      </c>
      <c r="R50" s="13">
        <f t="shared" si="5"/>
        <v>9.9</v>
      </c>
      <c r="S50">
        <f t="shared" si="1"/>
        <v>0.2</v>
      </c>
      <c r="T50" s="8">
        <f t="shared" si="6"/>
        <v>0.74948462824224882</v>
      </c>
      <c r="U50" s="8">
        <f t="shared" si="2"/>
        <v>1.8381794225912067E-5</v>
      </c>
      <c r="V50">
        <f t="shared" si="3"/>
        <v>0.74948462824224882</v>
      </c>
      <c r="W50" s="71">
        <f t="shared" si="7"/>
        <v>-1500</v>
      </c>
      <c r="AA50">
        <v>46</v>
      </c>
      <c r="AB50">
        <v>1.002</v>
      </c>
    </row>
    <row r="51" spans="1:28" x14ac:dyDescent="0.25">
      <c r="B51" t="s">
        <v>38</v>
      </c>
      <c r="C51" s="75">
        <v>1000000000</v>
      </c>
      <c r="F51" s="5"/>
      <c r="G51" s="3"/>
      <c r="H51" s="3"/>
      <c r="I51"/>
      <c r="J51"/>
      <c r="K51" s="3"/>
      <c r="M51"/>
      <c r="O51" s="3">
        <f t="shared" si="8"/>
        <v>46</v>
      </c>
      <c r="P51" s="13">
        <f t="shared" si="4"/>
        <v>-2.4232533804097587</v>
      </c>
      <c r="Q51" s="13">
        <f t="shared" si="0"/>
        <v>-0.24666666666666665</v>
      </c>
      <c r="R51" s="13">
        <f t="shared" si="5"/>
        <v>10.119999999999999</v>
      </c>
      <c r="S51">
        <f t="shared" si="1"/>
        <v>0.19666666666666666</v>
      </c>
      <c r="T51" s="8">
        <f t="shared" si="6"/>
        <v>0.7573627660995581</v>
      </c>
      <c r="U51" s="8">
        <f t="shared" si="2"/>
        <v>2.3754226020171115E-5</v>
      </c>
      <c r="V51">
        <f t="shared" si="3"/>
        <v>0.7573627660995581</v>
      </c>
      <c r="W51" s="71">
        <f t="shared" si="7"/>
        <v>-1466.6666666666663</v>
      </c>
      <c r="AA51">
        <v>47</v>
      </c>
      <c r="AB51">
        <v>1.002</v>
      </c>
    </row>
    <row r="52" spans="1:28" x14ac:dyDescent="0.25">
      <c r="B52" t="s">
        <v>39</v>
      </c>
      <c r="C52" s="75">
        <v>0</v>
      </c>
      <c r="F52" s="5"/>
      <c r="G52" s="3"/>
      <c r="H52" s="3"/>
      <c r="I52"/>
      <c r="J52"/>
      <c r="K52" s="3"/>
      <c r="M52"/>
      <c r="O52" s="3">
        <f t="shared" si="8"/>
        <v>47</v>
      </c>
      <c r="P52" s="13">
        <f t="shared" si="4"/>
        <v>-2.3905067131069244</v>
      </c>
      <c r="Q52" s="13">
        <f t="shared" si="0"/>
        <v>-0.24333333333333335</v>
      </c>
      <c r="R52" s="13">
        <f t="shared" si="5"/>
        <v>10.34</v>
      </c>
      <c r="S52">
        <f t="shared" si="1"/>
        <v>0.19333333333333336</v>
      </c>
      <c r="T52" s="8">
        <f t="shared" si="6"/>
        <v>0.76497309377768552</v>
      </c>
      <c r="U52" s="8">
        <f t="shared" si="2"/>
        <v>3.06967594981513E-5</v>
      </c>
      <c r="V52">
        <f t="shared" si="3"/>
        <v>0.76497309377768552</v>
      </c>
      <c r="W52" s="71">
        <f t="shared" si="7"/>
        <v>-1433.3333333333335</v>
      </c>
      <c r="AA52">
        <v>48</v>
      </c>
      <c r="AB52">
        <v>1.002</v>
      </c>
    </row>
    <row r="53" spans="1:28" x14ac:dyDescent="0.25">
      <c r="B53" t="s">
        <v>40</v>
      </c>
      <c r="C53" s="75">
        <v>0.75</v>
      </c>
      <c r="F53" s="5"/>
      <c r="G53" s="7"/>
      <c r="H53" s="3"/>
      <c r="I53"/>
      <c r="J53"/>
      <c r="K53" s="3"/>
      <c r="M53"/>
      <c r="O53" s="3">
        <f t="shared" si="8"/>
        <v>48</v>
      </c>
      <c r="P53" s="13">
        <f t="shared" si="4"/>
        <v>-2.3577600458040897</v>
      </c>
      <c r="Q53" s="13">
        <f t="shared" si="0"/>
        <v>-0.24</v>
      </c>
      <c r="R53" s="13">
        <f t="shared" si="5"/>
        <v>10.56</v>
      </c>
      <c r="S53">
        <f t="shared" si="1"/>
        <v>0.19</v>
      </c>
      <c r="T53" s="8">
        <f t="shared" si="6"/>
        <v>0.77238695766961363</v>
      </c>
      <c r="U53" s="8">
        <f t="shared" si="2"/>
        <v>3.9668196041189881E-5</v>
      </c>
      <c r="V53">
        <f t="shared" si="3"/>
        <v>0.77238695766961363</v>
      </c>
      <c r="W53" s="71">
        <f t="shared" si="7"/>
        <v>-1399.9999999999998</v>
      </c>
      <c r="AA53">
        <v>49</v>
      </c>
      <c r="AB53">
        <v>1.002</v>
      </c>
    </row>
    <row r="54" spans="1:28" x14ac:dyDescent="0.25">
      <c r="B54" t="s">
        <v>41</v>
      </c>
      <c r="C54" s="75">
        <v>0</v>
      </c>
      <c r="F54" s="5"/>
      <c r="G54" s="7"/>
      <c r="H54" s="3"/>
      <c r="I54"/>
      <c r="J54"/>
      <c r="K54" s="3"/>
      <c r="M54"/>
      <c r="O54" s="3">
        <f t="shared" si="8"/>
        <v>49</v>
      </c>
      <c r="P54" s="13">
        <f t="shared" si="4"/>
        <v>-2.3250133785012554</v>
      </c>
      <c r="Q54" s="13">
        <f t="shared" si="0"/>
        <v>-0.23666666666666669</v>
      </c>
      <c r="R54" s="13">
        <f t="shared" si="5"/>
        <v>10.78</v>
      </c>
      <c r="S54">
        <f t="shared" si="1"/>
        <v>0.1866666666666667</v>
      </c>
      <c r="T54" s="8">
        <f t="shared" si="6"/>
        <v>0.7796535923835648</v>
      </c>
      <c r="U54" s="8">
        <f t="shared" si="2"/>
        <v>5.1261361540634727E-5</v>
      </c>
      <c r="V54">
        <f t="shared" si="3"/>
        <v>0.7796535923835648</v>
      </c>
      <c r="W54" s="71">
        <f t="shared" si="7"/>
        <v>-1366.666666666667</v>
      </c>
      <c r="AA54">
        <v>50</v>
      </c>
      <c r="AB54">
        <v>1.002</v>
      </c>
    </row>
    <row r="55" spans="1:28" x14ac:dyDescent="0.25">
      <c r="B55" t="s">
        <v>42</v>
      </c>
      <c r="C55" s="75">
        <v>2.25</v>
      </c>
      <c r="F55" s="5"/>
      <c r="G55" s="7"/>
      <c r="H55" s="3"/>
      <c r="I55"/>
      <c r="J55"/>
      <c r="K55" s="3"/>
      <c r="M55"/>
      <c r="O55" s="3">
        <f t="shared" si="8"/>
        <v>50</v>
      </c>
      <c r="P55" s="13">
        <f t="shared" si="4"/>
        <v>-2.2922667111984207</v>
      </c>
      <c r="Q55" s="13">
        <f t="shared" si="0"/>
        <v>-0.23333333333333336</v>
      </c>
      <c r="R55" s="13">
        <f t="shared" si="5"/>
        <v>11</v>
      </c>
      <c r="S55">
        <f t="shared" si="1"/>
        <v>0.18333333333333335</v>
      </c>
      <c r="T55" s="8">
        <f t="shared" si="6"/>
        <v>0.78680588346927904</v>
      </c>
      <c r="U55" s="8">
        <f t="shared" si="2"/>
        <v>6.6242229062913284E-5</v>
      </c>
      <c r="V55">
        <f t="shared" si="3"/>
        <v>0.78680588346927904</v>
      </c>
      <c r="W55" s="71">
        <f t="shared" si="7"/>
        <v>-1333.3333333333335</v>
      </c>
      <c r="AA55">
        <v>51</v>
      </c>
      <c r="AB55">
        <v>1.002</v>
      </c>
    </row>
    <row r="56" spans="1:28" x14ac:dyDescent="0.25">
      <c r="A56" t="s">
        <v>43</v>
      </c>
      <c r="C56" s="75"/>
      <c r="F56" s="5"/>
      <c r="G56" s="3"/>
      <c r="H56" s="3"/>
      <c r="I56"/>
      <c r="J56"/>
      <c r="K56" s="3"/>
      <c r="M56"/>
      <c r="O56" s="3">
        <f t="shared" si="8"/>
        <v>51</v>
      </c>
      <c r="P56" s="13">
        <f t="shared" si="4"/>
        <v>-2.259520043895586</v>
      </c>
      <c r="Q56" s="13">
        <f t="shared" si="0"/>
        <v>-0.23</v>
      </c>
      <c r="R56" s="13">
        <f t="shared" si="5"/>
        <v>11.22</v>
      </c>
      <c r="S56">
        <f t="shared" si="1"/>
        <v>0.18</v>
      </c>
      <c r="T56" s="8">
        <f t="shared" si="6"/>
        <v>0.79386467163752483</v>
      </c>
      <c r="U56" s="8">
        <f t="shared" si="2"/>
        <v>8.5600442651804067E-5</v>
      </c>
      <c r="V56">
        <f t="shared" si="3"/>
        <v>0.79386467163752483</v>
      </c>
      <c r="W56" s="71">
        <f t="shared" si="7"/>
        <v>-1300</v>
      </c>
      <c r="AA56">
        <v>52</v>
      </c>
      <c r="AB56">
        <v>1.002</v>
      </c>
    </row>
    <row r="57" spans="1:28" x14ac:dyDescent="0.25">
      <c r="C57" s="75"/>
      <c r="F57" s="5"/>
      <c r="G57" s="3"/>
      <c r="H57" s="3"/>
      <c r="I57"/>
      <c r="J57"/>
      <c r="K57" s="3"/>
      <c r="M57"/>
      <c r="O57" s="3">
        <f t="shared" si="8"/>
        <v>52</v>
      </c>
      <c r="P57" s="13">
        <f t="shared" si="4"/>
        <v>-2.2267733765927513</v>
      </c>
      <c r="Q57" s="13">
        <f t="shared" si="0"/>
        <v>-0.22666666666666666</v>
      </c>
      <c r="R57" s="13">
        <f t="shared" si="5"/>
        <v>11.44</v>
      </c>
      <c r="S57">
        <f t="shared" si="1"/>
        <v>0.17666666666666664</v>
      </c>
      <c r="T57" s="8">
        <f t="shared" si="6"/>
        <v>0.8008419539239664</v>
      </c>
      <c r="U57" s="8">
        <f t="shared" si="2"/>
        <v>1.1061455203652245E-4</v>
      </c>
      <c r="V57">
        <f t="shared" si="3"/>
        <v>0.8008419539239664</v>
      </c>
      <c r="W57" s="71">
        <f t="shared" si="7"/>
        <v>-1266.6666666666665</v>
      </c>
      <c r="AA57">
        <v>53</v>
      </c>
      <c r="AB57">
        <v>1.002</v>
      </c>
    </row>
    <row r="58" spans="1:28" x14ac:dyDescent="0.25">
      <c r="A58" t="s">
        <v>44</v>
      </c>
      <c r="C58" s="75"/>
      <c r="F58" s="5"/>
      <c r="G58" s="3"/>
      <c r="H58" s="3"/>
      <c r="I58"/>
      <c r="J58"/>
      <c r="K58" s="3"/>
      <c r="M58"/>
      <c r="O58" s="3">
        <f t="shared" si="8"/>
        <v>53</v>
      </c>
      <c r="P58" s="13">
        <f t="shared" si="4"/>
        <v>-2.1940267092899166</v>
      </c>
      <c r="Q58" s="13">
        <f t="shared" si="0"/>
        <v>-0.2233333333333333</v>
      </c>
      <c r="R58" s="13">
        <f t="shared" si="5"/>
        <v>11.66</v>
      </c>
      <c r="S58">
        <f t="shared" si="1"/>
        <v>0.17333333333333328</v>
      </c>
      <c r="T58" s="8">
        <f t="shared" si="6"/>
        <v>0.8077432634353412</v>
      </c>
      <c r="U58" s="8">
        <f t="shared" si="2"/>
        <v>1.4293622029338659E-4</v>
      </c>
      <c r="V58">
        <f t="shared" si="3"/>
        <v>0.8077432634353412</v>
      </c>
      <c r="W58" s="71">
        <f t="shared" si="7"/>
        <v>-1233.333333333333</v>
      </c>
      <c r="AA58">
        <v>54</v>
      </c>
      <c r="AB58">
        <v>1.002</v>
      </c>
    </row>
    <row r="59" spans="1:28" x14ac:dyDescent="0.25">
      <c r="B59" t="s">
        <v>45</v>
      </c>
      <c r="C59" s="75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8"/>
        <v>54</v>
      </c>
      <c r="P59" s="13">
        <f t="shared" si="4"/>
        <v>-2.1612800419870823</v>
      </c>
      <c r="Q59" s="13">
        <f t="shared" si="0"/>
        <v>-0.22</v>
      </c>
      <c r="R59" s="13">
        <f t="shared" si="5"/>
        <v>11.88</v>
      </c>
      <c r="S59">
        <f t="shared" si="1"/>
        <v>0.16999999999999998</v>
      </c>
      <c r="T59" s="8">
        <f t="shared" si="6"/>
        <v>0.81456944316482582</v>
      </c>
      <c r="U59" s="8">
        <f t="shared" si="2"/>
        <v>1.846988870277981E-4</v>
      </c>
      <c r="V59">
        <f t="shared" si="3"/>
        <v>0.81456944316482582</v>
      </c>
      <c r="W59" s="71">
        <f t="shared" si="7"/>
        <v>-1200</v>
      </c>
      <c r="AA59">
        <v>55</v>
      </c>
      <c r="AB59">
        <v>1.002</v>
      </c>
    </row>
    <row r="60" spans="1:28" x14ac:dyDescent="0.25">
      <c r="B60" t="s">
        <v>210</v>
      </c>
      <c r="C60" s="75" t="s">
        <v>47</v>
      </c>
      <c r="F60" s="5"/>
      <c r="G60" s="3"/>
      <c r="H60" s="3"/>
      <c r="I60"/>
      <c r="J60"/>
      <c r="K60" s="3"/>
      <c r="M60"/>
      <c r="O60" s="3">
        <f t="shared" si="8"/>
        <v>55</v>
      </c>
      <c r="P60" s="13">
        <f t="shared" si="4"/>
        <v>-2.1285333746842481</v>
      </c>
      <c r="Q60" s="13">
        <f t="shared" si="0"/>
        <v>-0.2166666666666667</v>
      </c>
      <c r="R60" s="13">
        <f t="shared" si="5"/>
        <v>12.1</v>
      </c>
      <c r="S60">
        <f t="shared" si="1"/>
        <v>0.16666666666666669</v>
      </c>
      <c r="T60" s="8">
        <f t="shared" si="6"/>
        <v>0.82131797503039983</v>
      </c>
      <c r="U60" s="8">
        <f t="shared" si="2"/>
        <v>2.3865793007286833E-4</v>
      </c>
      <c r="V60">
        <f t="shared" si="3"/>
        <v>0.82131797503039983</v>
      </c>
      <c r="W60" s="71">
        <f t="shared" si="7"/>
        <v>-1166.666666666667</v>
      </c>
      <c r="AA60">
        <v>56</v>
      </c>
      <c r="AB60">
        <v>1.002</v>
      </c>
    </row>
    <row r="61" spans="1:28" x14ac:dyDescent="0.25">
      <c r="B61" t="s">
        <v>48</v>
      </c>
      <c r="C61" s="75" t="s">
        <v>46</v>
      </c>
      <c r="F61" s="5"/>
      <c r="G61" s="3"/>
      <c r="H61" s="3"/>
      <c r="I61"/>
      <c r="J61"/>
      <c r="K61" s="3"/>
      <c r="M61"/>
      <c r="O61" s="3">
        <f t="shared" si="8"/>
        <v>56</v>
      </c>
      <c r="P61" s="13">
        <f t="shared" si="4"/>
        <v>-2.0957867073814134</v>
      </c>
      <c r="Q61" s="13">
        <f t="shared" si="0"/>
        <v>-0.21333333333333337</v>
      </c>
      <c r="R61" s="13">
        <f t="shared" si="5"/>
        <v>12.32</v>
      </c>
      <c r="S61">
        <f t="shared" si="1"/>
        <v>0.16333333333333339</v>
      </c>
      <c r="T61" s="8">
        <f t="shared" si="6"/>
        <v>0.82798398279307595</v>
      </c>
      <c r="U61" s="8">
        <f t="shared" si="2"/>
        <v>3.0837135718789628E-4</v>
      </c>
      <c r="V61">
        <f t="shared" si="3"/>
        <v>0.82798398279307595</v>
      </c>
      <c r="W61" s="71">
        <f t="shared" si="7"/>
        <v>-1133.3333333333337</v>
      </c>
      <c r="AA61">
        <v>57</v>
      </c>
      <c r="AB61">
        <v>1.002</v>
      </c>
    </row>
    <row r="62" spans="1:28" x14ac:dyDescent="0.25">
      <c r="B62" t="s">
        <v>214</v>
      </c>
      <c r="C62" s="75">
        <v>4</v>
      </c>
      <c r="F62" s="5"/>
      <c r="G62" s="3"/>
      <c r="H62" s="3"/>
      <c r="I62"/>
      <c r="J62"/>
      <c r="K62" s="3"/>
      <c r="M62"/>
      <c r="O62" s="3">
        <f t="shared" si="8"/>
        <v>57</v>
      </c>
      <c r="P62" s="13">
        <f t="shared" si="4"/>
        <v>-2.0630400400785787</v>
      </c>
      <c r="Q62" s="13">
        <f t="shared" si="0"/>
        <v>-0.21000000000000002</v>
      </c>
      <c r="R62" s="13">
        <f t="shared" si="5"/>
        <v>12.540000000000001</v>
      </c>
      <c r="S62">
        <f t="shared" si="1"/>
        <v>0.16000000000000003</v>
      </c>
      <c r="T62" s="8">
        <f t="shared" si="6"/>
        <v>0.83456099527054894</v>
      </c>
      <c r="U62" s="8">
        <f t="shared" si="2"/>
        <v>3.9843258226930975E-4</v>
      </c>
      <c r="V62">
        <f t="shared" si="3"/>
        <v>0.83456099527054894</v>
      </c>
      <c r="W62" s="71">
        <f t="shared" si="7"/>
        <v>-1100.0000000000002</v>
      </c>
      <c r="AA62">
        <v>58</v>
      </c>
      <c r="AB62">
        <v>1.002</v>
      </c>
    </row>
    <row r="63" spans="1:28" x14ac:dyDescent="0.25">
      <c r="B63" t="s">
        <v>49</v>
      </c>
      <c r="C63" s="75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8"/>
        <v>58</v>
      </c>
      <c r="P63" s="13">
        <f t="shared" si="4"/>
        <v>-2.030293372775744</v>
      </c>
      <c r="Q63" s="13">
        <f t="shared" si="0"/>
        <v>-0.20666666666666667</v>
      </c>
      <c r="R63" s="13">
        <f t="shared" si="5"/>
        <v>12.76</v>
      </c>
      <c r="S63">
        <f t="shared" si="1"/>
        <v>0.15666666666666668</v>
      </c>
      <c r="T63" s="8">
        <f t="shared" si="6"/>
        <v>0.84104153229739576</v>
      </c>
      <c r="U63" s="8">
        <f t="shared" si="2"/>
        <v>5.1477002346049451E-4</v>
      </c>
      <c r="V63">
        <f t="shared" si="3"/>
        <v>0.84104153229739576</v>
      </c>
      <c r="W63" s="71">
        <f t="shared" si="7"/>
        <v>-1066.6666666666665</v>
      </c>
      <c r="AA63">
        <v>59</v>
      </c>
      <c r="AB63">
        <v>1.002</v>
      </c>
    </row>
    <row r="64" spans="1:28" x14ac:dyDescent="0.25">
      <c r="B64" t="s">
        <v>50</v>
      </c>
      <c r="C64" s="75" t="s">
        <v>46</v>
      </c>
      <c r="F64" s="5"/>
      <c r="G64" s="3"/>
      <c r="H64" s="3"/>
      <c r="I64"/>
      <c r="J64"/>
      <c r="K64" s="3"/>
      <c r="M64"/>
      <c r="O64" s="3">
        <f t="shared" si="8"/>
        <v>59</v>
      </c>
      <c r="P64" s="13">
        <f t="shared" si="4"/>
        <v>-1.9975467054729095</v>
      </c>
      <c r="Q64" s="13">
        <f t="shared" si="0"/>
        <v>-0.20333333333333334</v>
      </c>
      <c r="R64" s="13">
        <f t="shared" si="5"/>
        <v>12.98</v>
      </c>
      <c r="S64">
        <f t="shared" si="1"/>
        <v>0.15333333333333332</v>
      </c>
      <c r="T64" s="8">
        <f t="shared" si="6"/>
        <v>0.84741755833194887</v>
      </c>
      <c r="U64" s="8">
        <f t="shared" si="2"/>
        <v>6.6503224483852768E-4</v>
      </c>
      <c r="V64">
        <f t="shared" si="3"/>
        <v>0.84741755833194887</v>
      </c>
      <c r="W64" s="71">
        <f t="shared" si="7"/>
        <v>-1033.3333333333333</v>
      </c>
      <c r="AA64">
        <v>60</v>
      </c>
      <c r="AB64">
        <v>1.002</v>
      </c>
    </row>
    <row r="65" spans="1:28" x14ac:dyDescent="0.25">
      <c r="B65" t="s">
        <v>51</v>
      </c>
      <c r="C65" s="75" t="s">
        <v>46</v>
      </c>
      <c r="F65" s="5"/>
      <c r="G65" s="3"/>
      <c r="H65" s="3"/>
      <c r="I65"/>
      <c r="J65"/>
      <c r="K65" s="3"/>
      <c r="M65"/>
      <c r="O65" s="3">
        <f t="shared" si="8"/>
        <v>60</v>
      </c>
      <c r="P65" s="13">
        <f t="shared" si="4"/>
        <v>-1.964800038170075</v>
      </c>
      <c r="Q65" s="13">
        <f t="shared" si="0"/>
        <v>-0.2</v>
      </c>
      <c r="R65" s="13">
        <f t="shared" si="5"/>
        <v>13.2</v>
      </c>
      <c r="S65">
        <f t="shared" si="1"/>
        <v>0.15000000000000002</v>
      </c>
      <c r="T65" s="8">
        <f t="shared" si="6"/>
        <v>0.85368083590304722</v>
      </c>
      <c r="U65" s="8">
        <f t="shared" si="2"/>
        <v>8.5908229845959563E-4</v>
      </c>
      <c r="V65">
        <f t="shared" si="3"/>
        <v>0.85368083590304722</v>
      </c>
      <c r="W65" s="71">
        <f t="shared" si="7"/>
        <v>-1000</v>
      </c>
      <c r="AA65">
        <v>61</v>
      </c>
      <c r="AB65">
        <v>1.002</v>
      </c>
    </row>
    <row r="66" spans="1:28" x14ac:dyDescent="0.25">
      <c r="B66" t="s">
        <v>52</v>
      </c>
      <c r="C66" s="75" t="s">
        <v>47</v>
      </c>
      <c r="F66" s="5"/>
      <c r="G66" s="3"/>
      <c r="H66" s="3"/>
      <c r="I66"/>
      <c r="J66"/>
      <c r="K66" s="3"/>
      <c r="M66"/>
      <c r="O66" s="3">
        <f t="shared" si="8"/>
        <v>61</v>
      </c>
      <c r="P66" s="13">
        <f t="shared" si="4"/>
        <v>-1.9320533708672403</v>
      </c>
      <c r="Q66" s="13">
        <f t="shared" si="0"/>
        <v>-0.19666666666666668</v>
      </c>
      <c r="R66" s="13">
        <f t="shared" si="5"/>
        <v>13.42</v>
      </c>
      <c r="S66">
        <f t="shared" si="1"/>
        <v>0.14666666666666667</v>
      </c>
      <c r="T66" s="8">
        <f t="shared" si="6"/>
        <v>0.85982320197940132</v>
      </c>
      <c r="U66" s="8">
        <f t="shared" si="2"/>
        <v>1.1096309474006659E-3</v>
      </c>
      <c r="V66">
        <f t="shared" si="3"/>
        <v>0.85982320197940132</v>
      </c>
      <c r="W66" s="71">
        <f t="shared" si="7"/>
        <v>-966.66666666666674</v>
      </c>
      <c r="AA66">
        <v>62</v>
      </c>
      <c r="AB66">
        <v>1.002</v>
      </c>
    </row>
    <row r="67" spans="1:28" x14ac:dyDescent="0.25">
      <c r="B67" t="s">
        <v>53</v>
      </c>
      <c r="C67" s="75" t="s">
        <v>47</v>
      </c>
      <c r="F67" s="5"/>
      <c r="G67" s="3"/>
      <c r="H67" s="3"/>
      <c r="I67"/>
      <c r="J67"/>
      <c r="K67" s="3"/>
      <c r="M67"/>
      <c r="O67" s="3">
        <f t="shared" si="8"/>
        <v>62</v>
      </c>
      <c r="P67" s="13">
        <f t="shared" si="4"/>
        <v>-1.8993067035644056</v>
      </c>
      <c r="Q67" s="13">
        <f t="shared" si="0"/>
        <v>-0.19333333333333333</v>
      </c>
      <c r="R67" s="13">
        <f t="shared" si="5"/>
        <v>13.64</v>
      </c>
      <c r="S67">
        <f t="shared" si="1"/>
        <v>0.14333333333333331</v>
      </c>
      <c r="T67" s="8">
        <f t="shared" si="6"/>
        <v>0.86583678387084095</v>
      </c>
      <c r="U67" s="8">
        <f t="shared" si="2"/>
        <v>1.4330456512218232E-3</v>
      </c>
      <c r="V67">
        <f t="shared" si="3"/>
        <v>0.86583678387084095</v>
      </c>
      <c r="W67" s="71">
        <f t="shared" si="7"/>
        <v>-933.33333333333326</v>
      </c>
      <c r="AA67">
        <v>63</v>
      </c>
      <c r="AB67">
        <v>1.002</v>
      </c>
    </row>
    <row r="68" spans="1:28" x14ac:dyDescent="0.25">
      <c r="B68" t="s">
        <v>54</v>
      </c>
      <c r="C68" s="75" t="s">
        <v>47</v>
      </c>
      <c r="F68" s="5"/>
      <c r="G68" s="3"/>
      <c r="H68" s="3"/>
      <c r="I68"/>
      <c r="J68"/>
      <c r="K68" s="3"/>
      <c r="M68"/>
      <c r="O68" s="3">
        <f t="shared" si="8"/>
        <v>63</v>
      </c>
      <c r="P68" s="13">
        <f t="shared" si="4"/>
        <v>-1.8665600362615713</v>
      </c>
      <c r="Q68" s="13">
        <f t="shared" si="0"/>
        <v>-0.19000000000000003</v>
      </c>
      <c r="R68" s="13">
        <f t="shared" si="5"/>
        <v>13.86</v>
      </c>
      <c r="S68">
        <f t="shared" si="1"/>
        <v>0.14000000000000001</v>
      </c>
      <c r="T68" s="8">
        <f t="shared" si="6"/>
        <v>0.87171416671145008</v>
      </c>
      <c r="U68" s="8">
        <f t="shared" si="2"/>
        <v>1.8503805407251216E-3</v>
      </c>
      <c r="V68">
        <f t="shared" si="3"/>
        <v>0.87171416671145008</v>
      </c>
      <c r="W68" s="71">
        <f t="shared" si="7"/>
        <v>-900.00000000000023</v>
      </c>
      <c r="AA68">
        <v>64</v>
      </c>
      <c r="AB68">
        <v>1.002</v>
      </c>
    </row>
    <row r="69" spans="1:28" x14ac:dyDescent="0.25">
      <c r="B69" t="s">
        <v>55</v>
      </c>
      <c r="C69" s="75" t="s">
        <v>46</v>
      </c>
      <c r="F69" s="5"/>
      <c r="G69" s="3"/>
      <c r="H69" s="3"/>
      <c r="I69"/>
      <c r="J69"/>
      <c r="K69" s="3"/>
      <c r="M69"/>
      <c r="O69" s="3">
        <f t="shared" si="8"/>
        <v>64</v>
      </c>
      <c r="P69" s="13">
        <f t="shared" si="4"/>
        <v>-1.8338133689587366</v>
      </c>
      <c r="Q69" s="13">
        <f t="shared" ref="Q69:Q132" si="9">P69*$G$18</f>
        <v>-0.18666666666666668</v>
      </c>
      <c r="R69" s="13">
        <f t="shared" si="5"/>
        <v>14.08</v>
      </c>
      <c r="S69">
        <f t="shared" ref="S69:S132" si="10">ABS(Q69-$K$38)</f>
        <v>0.13666666666666666</v>
      </c>
      <c r="T69" s="8">
        <f t="shared" si="6"/>
        <v>0.87744852139212126</v>
      </c>
      <c r="U69" s="8">
        <f t="shared" ref="U69:U132" si="11">$K$39/(1+EXP(($S69-$L$39)/$M$39))+$K$40/(1+EXP(($S69-$L$40)/$M$40))+$K$41/(1+EXP(($S69-$L$41)/$M$41))+$K$42/(1+EXP(($S69-$L$42)/$M$42))</f>
        <v>2.3886818220834848E-3</v>
      </c>
      <c r="V69">
        <f t="shared" ref="V69:V132" si="12">IF(Q69-$K$38&gt;0,U69,T69)</f>
        <v>0.87744852139212126</v>
      </c>
      <c r="W69" s="71">
        <f t="shared" si="7"/>
        <v>-866.66666666666674</v>
      </c>
      <c r="AA69">
        <v>65</v>
      </c>
      <c r="AB69">
        <v>1.002</v>
      </c>
    </row>
    <row r="70" spans="1:28" x14ac:dyDescent="0.25">
      <c r="B70" t="s">
        <v>56</v>
      </c>
      <c r="C70" s="75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8"/>
        <v>65</v>
      </c>
      <c r="P70" s="13">
        <f t="shared" ref="P70:P133" si="13">$C$24*O70+$C$21</f>
        <v>-1.8010667016559019</v>
      </c>
      <c r="Q70" s="13">
        <f t="shared" si="9"/>
        <v>-0.18333333333333335</v>
      </c>
      <c r="R70" s="13">
        <f t="shared" ref="R70:R133" si="14">$S$3*O70</f>
        <v>14.3</v>
      </c>
      <c r="S70">
        <f t="shared" si="10"/>
        <v>0.13333333333333336</v>
      </c>
      <c r="T70" s="8">
        <f t="shared" ref="T70:T133" si="15">$K$34/(1+EXP(($S70-$L$34)/$M$34))+$K$35/(1+EXP(($S70-$L$35)/$M$35))+$K$36/(1+EXP(($S70-$L$36)/$M$36))+$K$37/(1+EXP(($S70-$L$37)/$M$37))</f>
        <v>0.88303369960846512</v>
      </c>
      <c r="U70" s="8">
        <f t="shared" si="11"/>
        <v>3.0826323997058965E-3</v>
      </c>
      <c r="V70">
        <f t="shared" si="12"/>
        <v>0.88303369960846512</v>
      </c>
      <c r="W70" s="71">
        <f t="shared" ref="W70:W133" si="16">(Q70+W$3)*10000</f>
        <v>-833.33333333333337</v>
      </c>
      <c r="AA70">
        <v>66</v>
      </c>
      <c r="AB70">
        <v>1.002</v>
      </c>
    </row>
    <row r="71" spans="1:28" x14ac:dyDescent="0.25">
      <c r="B71" t="s">
        <v>57</v>
      </c>
      <c r="C71" s="75" t="s">
        <v>46</v>
      </c>
      <c r="F71" s="5"/>
      <c r="G71" s="3"/>
      <c r="H71" s="3"/>
      <c r="I71"/>
      <c r="J71"/>
      <c r="K71" s="3"/>
      <c r="M71"/>
      <c r="O71" s="3">
        <f t="shared" si="8"/>
        <v>66</v>
      </c>
      <c r="P71" s="13">
        <f t="shared" si="13"/>
        <v>-1.7683200343530676</v>
      </c>
      <c r="Q71" s="13">
        <f t="shared" si="9"/>
        <v>-0.18000000000000002</v>
      </c>
      <c r="R71" s="13">
        <f t="shared" si="14"/>
        <v>14.52</v>
      </c>
      <c r="S71">
        <f t="shared" si="10"/>
        <v>0.13</v>
      </c>
      <c r="T71" s="8">
        <f t="shared" si="15"/>
        <v>0.88846430117943953</v>
      </c>
      <c r="U71" s="8">
        <f t="shared" si="11"/>
        <v>3.9766074630823269E-3</v>
      </c>
      <c r="V71">
        <f t="shared" si="12"/>
        <v>0.88846430117943953</v>
      </c>
      <c r="W71" s="71">
        <f t="shared" si="16"/>
        <v>-800.00000000000011</v>
      </c>
      <c r="AA71">
        <v>67</v>
      </c>
      <c r="AB71">
        <v>1.002</v>
      </c>
    </row>
    <row r="72" spans="1:28" x14ac:dyDescent="0.25">
      <c r="B72" t="s">
        <v>58</v>
      </c>
      <c r="C72" s="75" t="s">
        <v>46</v>
      </c>
      <c r="F72" s="5"/>
      <c r="G72" s="3"/>
      <c r="H72" s="3"/>
      <c r="I72"/>
      <c r="J72"/>
      <c r="K72" s="3"/>
      <c r="M72"/>
      <c r="O72" s="3">
        <f t="shared" ref="O72:O135" si="17">O71+1</f>
        <v>67</v>
      </c>
      <c r="P72" s="13">
        <f t="shared" si="13"/>
        <v>-1.7355733670502329</v>
      </c>
      <c r="Q72" s="13">
        <f t="shared" si="9"/>
        <v>-0.17666666666666669</v>
      </c>
      <c r="R72" s="13">
        <f t="shared" si="14"/>
        <v>14.74</v>
      </c>
      <c r="S72">
        <f t="shared" si="10"/>
        <v>0.12666666666666671</v>
      </c>
      <c r="T72" s="8">
        <f t="shared" si="15"/>
        <v>0.89373571776176386</v>
      </c>
      <c r="U72" s="8">
        <f t="shared" si="11"/>
        <v>5.1272164782212781E-3</v>
      </c>
      <c r="V72">
        <f t="shared" si="12"/>
        <v>0.89373571776176386</v>
      </c>
      <c r="W72" s="71">
        <f t="shared" si="16"/>
        <v>-766.66666666666686</v>
      </c>
      <c r="AA72">
        <v>68</v>
      </c>
      <c r="AB72">
        <v>1.002</v>
      </c>
    </row>
    <row r="73" spans="1:28" x14ac:dyDescent="0.25">
      <c r="B73" t="s">
        <v>59</v>
      </c>
      <c r="C73" s="75" t="s">
        <v>46</v>
      </c>
      <c r="F73" s="5"/>
      <c r="G73" s="3"/>
      <c r="H73" s="3"/>
      <c r="I73"/>
      <c r="J73"/>
      <c r="K73" s="3"/>
      <c r="M73"/>
      <c r="O73" s="3">
        <f t="shared" si="17"/>
        <v>68</v>
      </c>
      <c r="P73" s="13">
        <f t="shared" si="13"/>
        <v>-1.7028266997473982</v>
      </c>
      <c r="Q73" s="13">
        <f t="shared" si="9"/>
        <v>-0.17333333333333334</v>
      </c>
      <c r="R73" s="13">
        <f t="shared" si="14"/>
        <v>14.96</v>
      </c>
      <c r="S73">
        <f t="shared" si="10"/>
        <v>0.12333333333333334</v>
      </c>
      <c r="T73" s="8">
        <f t="shared" si="15"/>
        <v>0.8988441563828109</v>
      </c>
      <c r="U73" s="8">
        <f t="shared" si="11"/>
        <v>6.606401445135285E-3</v>
      </c>
      <c r="V73">
        <f t="shared" si="12"/>
        <v>0.8988441563828109</v>
      </c>
      <c r="W73" s="71">
        <f t="shared" si="16"/>
        <v>-733.33333333333337</v>
      </c>
      <c r="AA73">
        <v>69</v>
      </c>
      <c r="AB73">
        <v>1.002</v>
      </c>
    </row>
    <row r="74" spans="1:28" x14ac:dyDescent="0.25">
      <c r="A74" t="s">
        <v>43</v>
      </c>
      <c r="C74" s="75"/>
      <c r="F74" s="5"/>
      <c r="G74" s="3">
        <f>1/1.1^2</f>
        <v>0.82644628099173545</v>
      </c>
      <c r="H74" s="3"/>
      <c r="I74"/>
      <c r="J74"/>
      <c r="K74" s="3"/>
      <c r="M74"/>
      <c r="O74" s="3">
        <f t="shared" si="17"/>
        <v>69</v>
      </c>
      <c r="P74" s="13">
        <f t="shared" si="13"/>
        <v>-1.6700800324445635</v>
      </c>
      <c r="Q74" s="13">
        <f t="shared" si="9"/>
        <v>-0.16999999999999998</v>
      </c>
      <c r="R74" s="13">
        <f t="shared" si="14"/>
        <v>15.18</v>
      </c>
      <c r="S74">
        <f t="shared" si="10"/>
        <v>0.11999999999999998</v>
      </c>
      <c r="T74" s="8">
        <f t="shared" si="15"/>
        <v>0.90378664573107659</v>
      </c>
      <c r="U74" s="8">
        <f t="shared" si="11"/>
        <v>8.5051381391064631E-3</v>
      </c>
      <c r="V74">
        <f t="shared" si="12"/>
        <v>0.90378664573107659</v>
      </c>
      <c r="W74" s="71">
        <f t="shared" si="16"/>
        <v>-699.99999999999977</v>
      </c>
      <c r="AA74">
        <v>70</v>
      </c>
      <c r="AB74">
        <v>1.002</v>
      </c>
    </row>
    <row r="75" spans="1:28" x14ac:dyDescent="0.25">
      <c r="C75" s="75"/>
      <c r="F75" s="5"/>
      <c r="G75" s="3">
        <f>1/0.9^2</f>
        <v>1.2345679012345678</v>
      </c>
      <c r="H75" s="3"/>
      <c r="I75"/>
      <c r="J75"/>
      <c r="K75" s="3"/>
      <c r="M75"/>
      <c r="O75" s="3">
        <f t="shared" si="17"/>
        <v>70</v>
      </c>
      <c r="P75" s="13">
        <f t="shared" si="13"/>
        <v>-1.6373333651417292</v>
      </c>
      <c r="Q75" s="13">
        <f t="shared" si="9"/>
        <v>-0.16666666666666669</v>
      </c>
      <c r="R75" s="13">
        <f t="shared" si="14"/>
        <v>15.4</v>
      </c>
      <c r="S75">
        <f t="shared" si="10"/>
        <v>0.11666666666666668</v>
      </c>
      <c r="T75" s="8">
        <f t="shared" si="15"/>
        <v>0.90856102780131798</v>
      </c>
      <c r="U75" s="8">
        <f t="shared" si="11"/>
        <v>1.0937733406928635E-2</v>
      </c>
      <c r="V75">
        <f t="shared" si="12"/>
        <v>0.90856102780131798</v>
      </c>
      <c r="W75" s="71">
        <f t="shared" si="16"/>
        <v>-666.66666666666674</v>
      </c>
      <c r="AA75">
        <v>71</v>
      </c>
      <c r="AB75">
        <v>1.002</v>
      </c>
    </row>
    <row r="76" spans="1:28" x14ac:dyDescent="0.25">
      <c r="A76" t="s">
        <v>60</v>
      </c>
      <c r="C76" s="75"/>
      <c r="F76" s="5"/>
      <c r="G76" s="3">
        <f>G75-G74</f>
        <v>0.40812162024283238</v>
      </c>
      <c r="H76" s="3"/>
      <c r="I76"/>
      <c r="J76"/>
      <c r="K76" s="3"/>
      <c r="M76"/>
      <c r="O76" s="3">
        <f t="shared" si="17"/>
        <v>71</v>
      </c>
      <c r="P76" s="13">
        <f t="shared" si="13"/>
        <v>-1.6045866978388945</v>
      </c>
      <c r="Q76" s="13">
        <f t="shared" si="9"/>
        <v>-0.16333333333333336</v>
      </c>
      <c r="R76" s="13">
        <f t="shared" si="14"/>
        <v>15.62</v>
      </c>
      <c r="S76">
        <f t="shared" si="10"/>
        <v>0.11333333333333336</v>
      </c>
      <c r="T76" s="8">
        <f t="shared" si="15"/>
        <v>0.91316593723720119</v>
      </c>
      <c r="U76" s="8">
        <f t="shared" si="11"/>
        <v>1.4046608746504137E-2</v>
      </c>
      <c r="V76">
        <f t="shared" si="12"/>
        <v>0.91316593723720119</v>
      </c>
      <c r="W76" s="71">
        <f t="shared" si="16"/>
        <v>-633.33333333333348</v>
      </c>
      <c r="AA76">
        <v>72</v>
      </c>
      <c r="AB76">
        <v>1.002</v>
      </c>
    </row>
    <row r="77" spans="1:28" x14ac:dyDescent="0.25">
      <c r="B77" t="s">
        <v>136</v>
      </c>
      <c r="C77" s="75">
        <v>0.8</v>
      </c>
      <c r="F77" s="5"/>
      <c r="G77" s="3"/>
      <c r="H77" s="3"/>
      <c r="I77"/>
      <c r="J77"/>
      <c r="K77" s="3"/>
      <c r="M77"/>
      <c r="O77" s="3">
        <f t="shared" si="17"/>
        <v>72</v>
      </c>
      <c r="P77" s="13">
        <f t="shared" si="13"/>
        <v>-1.5718400305360598</v>
      </c>
      <c r="Q77" s="13">
        <f t="shared" si="9"/>
        <v>-0.16</v>
      </c>
      <c r="R77" s="13">
        <f t="shared" si="14"/>
        <v>15.84</v>
      </c>
      <c r="S77">
        <f t="shared" si="10"/>
        <v>0.11</v>
      </c>
      <c r="T77" s="8">
        <f t="shared" si="15"/>
        <v>0.91760077051132671</v>
      </c>
      <c r="U77" s="8">
        <f t="shared" si="11"/>
        <v>1.800728491611029E-2</v>
      </c>
      <c r="V77">
        <f t="shared" si="12"/>
        <v>0.91760077051132671</v>
      </c>
      <c r="W77" s="71">
        <f t="shared" si="16"/>
        <v>-600</v>
      </c>
      <c r="AA77">
        <v>73</v>
      </c>
      <c r="AB77">
        <v>1.002</v>
      </c>
    </row>
    <row r="78" spans="1:28" x14ac:dyDescent="0.25">
      <c r="A78" t="s">
        <v>43</v>
      </c>
      <c r="C78" s="75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17"/>
        <v>73</v>
      </c>
      <c r="P78" s="13">
        <f t="shared" si="13"/>
        <v>-1.5390933632332255</v>
      </c>
      <c r="Q78" s="13">
        <f t="shared" si="9"/>
        <v>-0.1566666666666667</v>
      </c>
      <c r="R78" s="13">
        <f t="shared" si="14"/>
        <v>16.059999999999999</v>
      </c>
      <c r="S78">
        <f t="shared" si="10"/>
        <v>0.1066666666666667</v>
      </c>
      <c r="T78" s="8">
        <f t="shared" si="15"/>
        <v>0.92186564690685224</v>
      </c>
      <c r="U78" s="8">
        <f t="shared" si="11"/>
        <v>2.3033015173521867E-2</v>
      </c>
      <c r="V78">
        <f t="shared" si="12"/>
        <v>0.92186564690685224</v>
      </c>
      <c r="W78" s="71">
        <f t="shared" si="16"/>
        <v>-566.66666666666697</v>
      </c>
      <c r="AA78">
        <v>74</v>
      </c>
      <c r="AB78">
        <v>1.002</v>
      </c>
    </row>
    <row r="79" spans="1:28" x14ac:dyDescent="0.25">
      <c r="C79" s="75"/>
      <c r="F79" s="5"/>
      <c r="G79" s="3"/>
      <c r="H79" s="3"/>
      <c r="I79"/>
      <c r="J79"/>
      <c r="K79" s="3"/>
      <c r="M79"/>
      <c r="O79" s="3">
        <f t="shared" si="17"/>
        <v>74</v>
      </c>
      <c r="P79" s="13">
        <f t="shared" si="13"/>
        <v>-1.5063466959303908</v>
      </c>
      <c r="Q79" s="13">
        <f t="shared" si="9"/>
        <v>-0.15333333333333335</v>
      </c>
      <c r="R79" s="13">
        <f t="shared" si="14"/>
        <v>16.28</v>
      </c>
      <c r="S79">
        <f t="shared" si="10"/>
        <v>0.10333333333333335</v>
      </c>
      <c r="T79" s="8">
        <f t="shared" si="15"/>
        <v>0.92596136310174915</v>
      </c>
      <c r="U79" s="8">
        <f t="shared" si="11"/>
        <v>2.937817858352125E-2</v>
      </c>
      <c r="V79">
        <f t="shared" si="12"/>
        <v>0.92596136310174915</v>
      </c>
      <c r="W79" s="71">
        <f t="shared" si="16"/>
        <v>-533.33333333333348</v>
      </c>
      <c r="AA79">
        <v>75</v>
      </c>
      <c r="AB79">
        <v>1.002</v>
      </c>
    </row>
    <row r="80" spans="1:28" x14ac:dyDescent="0.25">
      <c r="A80" t="s">
        <v>61</v>
      </c>
      <c r="C80" s="75"/>
      <c r="F80" s="5"/>
      <c r="G80" s="3"/>
      <c r="H80" s="3"/>
      <c r="I80"/>
      <c r="J80"/>
      <c r="K80" s="3"/>
      <c r="M80"/>
      <c r="O80" s="3">
        <f t="shared" si="17"/>
        <v>75</v>
      </c>
      <c r="P80" s="13">
        <f t="shared" si="13"/>
        <v>-1.4736000286275561</v>
      </c>
      <c r="Q80" s="13">
        <f t="shared" si="9"/>
        <v>-0.15</v>
      </c>
      <c r="R80" s="13">
        <f t="shared" si="14"/>
        <v>16.5</v>
      </c>
      <c r="S80">
        <f t="shared" si="10"/>
        <v>9.9999999999999992E-2</v>
      </c>
      <c r="T80" s="8">
        <f t="shared" si="15"/>
        <v>0.92988934299762882</v>
      </c>
      <c r="U80" s="8">
        <f t="shared" si="11"/>
        <v>3.7339337685023802E-2</v>
      </c>
      <c r="V80">
        <f t="shared" si="12"/>
        <v>0.92988934299762882</v>
      </c>
      <c r="W80" s="71">
        <f t="shared" si="16"/>
        <v>-499.99999999999989</v>
      </c>
      <c r="AA80">
        <v>76</v>
      </c>
      <c r="AB80">
        <v>1.002</v>
      </c>
    </row>
    <row r="81" spans="2:28" x14ac:dyDescent="0.25">
      <c r="C81" s="75"/>
      <c r="F81" s="5"/>
      <c r="G81" s="3"/>
      <c r="H81" s="3"/>
      <c r="I81"/>
      <c r="J81"/>
      <c r="K81" s="3"/>
      <c r="M81"/>
      <c r="O81" s="3">
        <f t="shared" si="17"/>
        <v>76</v>
      </c>
      <c r="P81" s="13">
        <f t="shared" si="13"/>
        <v>-1.4408533613247219</v>
      </c>
      <c r="Q81" s="13">
        <f t="shared" si="9"/>
        <v>-0.1466666666666667</v>
      </c>
      <c r="R81" s="13">
        <f t="shared" si="14"/>
        <v>16.72</v>
      </c>
      <c r="S81">
        <f t="shared" si="10"/>
        <v>9.6666666666666692E-2</v>
      </c>
      <c r="T81" s="8">
        <f t="shared" si="15"/>
        <v>0.93365158427610084</v>
      </c>
      <c r="U81" s="8">
        <f t="shared" si="11"/>
        <v>4.7253634493099411E-2</v>
      </c>
      <c r="V81">
        <f t="shared" si="12"/>
        <v>0.93365158427610084</v>
      </c>
      <c r="W81" s="71">
        <f t="shared" si="16"/>
        <v>-466.66666666666691</v>
      </c>
      <c r="AA81">
        <v>77</v>
      </c>
      <c r="AB81">
        <v>1.002</v>
      </c>
    </row>
    <row r="82" spans="2:28" x14ac:dyDescent="0.25">
      <c r="B82" t="s">
        <v>62</v>
      </c>
      <c r="C82" s="75" t="s">
        <v>47</v>
      </c>
      <c r="F82" s="5"/>
      <c r="G82" s="3"/>
      <c r="H82" s="3"/>
      <c r="I82"/>
      <c r="J82"/>
      <c r="K82" s="3"/>
      <c r="M82"/>
      <c r="O82" s="3">
        <f t="shared" si="17"/>
        <v>77</v>
      </c>
      <c r="P82" s="13">
        <f t="shared" si="13"/>
        <v>-1.4081066940218872</v>
      </c>
      <c r="Q82" s="13">
        <f t="shared" si="9"/>
        <v>-0.14333333333333337</v>
      </c>
      <c r="R82" s="13">
        <f t="shared" si="14"/>
        <v>16.940000000000001</v>
      </c>
      <c r="S82">
        <f t="shared" si="10"/>
        <v>9.3333333333333365E-2</v>
      </c>
      <c r="T82" s="8">
        <f t="shared" si="15"/>
        <v>0.93725060300579477</v>
      </c>
      <c r="U82" s="8">
        <f t="shared" si="11"/>
        <v>5.9499149273335855E-2</v>
      </c>
      <c r="V82">
        <f t="shared" si="12"/>
        <v>0.93725060300579477</v>
      </c>
      <c r="W82" s="71">
        <f t="shared" si="16"/>
        <v>-433.3333333333336</v>
      </c>
      <c r="AA82">
        <v>78</v>
      </c>
      <c r="AB82">
        <v>1.002</v>
      </c>
    </row>
    <row r="83" spans="2:28" x14ac:dyDescent="0.25">
      <c r="B83" t="s">
        <v>63</v>
      </c>
      <c r="C83" s="75" t="s">
        <v>46</v>
      </c>
      <c r="F83" s="5"/>
      <c r="G83" s="3"/>
      <c r="H83" s="3"/>
      <c r="I83"/>
      <c r="J83"/>
      <c r="K83" s="3"/>
      <c r="M83"/>
      <c r="O83" s="3">
        <f t="shared" si="17"/>
        <v>78</v>
      </c>
      <c r="P83" s="13">
        <f t="shared" si="13"/>
        <v>-1.3753600267190524</v>
      </c>
      <c r="Q83" s="13">
        <f t="shared" si="9"/>
        <v>-0.14000000000000001</v>
      </c>
      <c r="R83" s="13">
        <f t="shared" si="14"/>
        <v>17.16</v>
      </c>
      <c r="S83">
        <f t="shared" si="10"/>
        <v>9.0000000000000011E-2</v>
      </c>
      <c r="T83" s="8">
        <f t="shared" si="15"/>
        <v>0.94068937746336467</v>
      </c>
      <c r="U83" s="8">
        <f t="shared" si="11"/>
        <v>7.4522663241630607E-2</v>
      </c>
      <c r="V83">
        <f t="shared" si="12"/>
        <v>0.94068937746336467</v>
      </c>
      <c r="W83" s="71">
        <f t="shared" si="16"/>
        <v>-400.00000000000006</v>
      </c>
      <c r="AA83">
        <v>79</v>
      </c>
      <c r="AB83">
        <v>1.002</v>
      </c>
    </row>
    <row r="84" spans="2:28" x14ac:dyDescent="0.25">
      <c r="B84" t="s">
        <v>64</v>
      </c>
      <c r="C84" s="75" t="s">
        <v>46</v>
      </c>
      <c r="F84" s="5"/>
      <c r="G84" s="3"/>
      <c r="H84" s="3"/>
      <c r="I84"/>
      <c r="J84"/>
      <c r="K84" s="3"/>
      <c r="M84"/>
      <c r="O84" s="3">
        <f t="shared" si="17"/>
        <v>79</v>
      </c>
      <c r="P84" s="13">
        <f t="shared" si="13"/>
        <v>-1.3426133594162177</v>
      </c>
      <c r="Q84" s="13">
        <f t="shared" si="9"/>
        <v>-0.13666666666666666</v>
      </c>
      <c r="R84" s="13">
        <f t="shared" si="14"/>
        <v>17.38</v>
      </c>
      <c r="S84">
        <f t="shared" si="10"/>
        <v>8.6666666666666656E-2</v>
      </c>
      <c r="T84" s="8">
        <f t="shared" si="15"/>
        <v>0.94397129217386988</v>
      </c>
      <c r="U84" s="8">
        <f t="shared" si="11"/>
        <v>9.2997421265244934E-2</v>
      </c>
      <c r="V84">
        <f t="shared" si="12"/>
        <v>0.94397129217386988</v>
      </c>
      <c r="W84" s="71">
        <f t="shared" si="16"/>
        <v>-366.66666666666652</v>
      </c>
      <c r="AA84">
        <v>80</v>
      </c>
      <c r="AB84">
        <v>1.002</v>
      </c>
    </row>
    <row r="85" spans="2:28" x14ac:dyDescent="0.25">
      <c r="B85" t="s">
        <v>65</v>
      </c>
      <c r="C85" s="75" t="s">
        <v>46</v>
      </c>
      <c r="F85" s="5"/>
      <c r="G85" s="3"/>
      <c r="H85" s="3"/>
      <c r="I85"/>
      <c r="J85"/>
      <c r="K85" s="3"/>
      <c r="M85"/>
      <c r="O85" s="3">
        <f t="shared" si="17"/>
        <v>80</v>
      </c>
      <c r="P85" s="13">
        <f t="shared" si="13"/>
        <v>-1.3098666921133835</v>
      </c>
      <c r="Q85" s="13">
        <f t="shared" si="9"/>
        <v>-0.13333333333333336</v>
      </c>
      <c r="R85" s="13">
        <f t="shared" si="14"/>
        <v>17.600000000000001</v>
      </c>
      <c r="S85">
        <f t="shared" si="10"/>
        <v>8.3333333333333356E-2</v>
      </c>
      <c r="T85" s="8">
        <f t="shared" si="15"/>
        <v>0.94710008302220994</v>
      </c>
      <c r="U85" s="8">
        <f t="shared" si="11"/>
        <v>0.11645674354992201</v>
      </c>
      <c r="V85">
        <f t="shared" si="12"/>
        <v>0.94710008302220994</v>
      </c>
      <c r="W85" s="71">
        <f t="shared" si="16"/>
        <v>-333.33333333333354</v>
      </c>
      <c r="AA85">
        <v>81</v>
      </c>
      <c r="AB85">
        <v>1.002</v>
      </c>
    </row>
    <row r="86" spans="2:28" x14ac:dyDescent="0.25">
      <c r="B86" t="s">
        <v>211</v>
      </c>
      <c r="C86" s="75">
        <v>2</v>
      </c>
      <c r="F86" s="5"/>
      <c r="G86" s="3"/>
      <c r="H86" s="3"/>
      <c r="I86"/>
      <c r="J86"/>
      <c r="K86" s="3"/>
      <c r="M86"/>
      <c r="O86" s="3">
        <f t="shared" si="17"/>
        <v>81</v>
      </c>
      <c r="P86" s="13">
        <f t="shared" si="13"/>
        <v>-1.2771200248105488</v>
      </c>
      <c r="Q86" s="13">
        <f t="shared" si="9"/>
        <v>-0.13</v>
      </c>
      <c r="R86" s="13">
        <f t="shared" si="14"/>
        <v>17.82</v>
      </c>
      <c r="S86">
        <f t="shared" si="10"/>
        <v>0.08</v>
      </c>
      <c r="T86" s="8">
        <f t="shared" si="15"/>
        <v>0.95007978414013894</v>
      </c>
      <c r="U86" s="8">
        <f t="shared" si="11"/>
        <v>0.14908057028752739</v>
      </c>
      <c r="V86">
        <f t="shared" si="12"/>
        <v>0.95007978414013894</v>
      </c>
      <c r="W86" s="71">
        <f t="shared" si="16"/>
        <v>-300</v>
      </c>
      <c r="AA86">
        <v>82</v>
      </c>
      <c r="AB86">
        <v>1.002</v>
      </c>
    </row>
    <row r="87" spans="2:28" x14ac:dyDescent="0.25">
      <c r="B87" t="s">
        <v>66</v>
      </c>
      <c r="C87" s="75" t="s">
        <v>46</v>
      </c>
      <c r="F87" s="5"/>
      <c r="G87" s="3"/>
      <c r="H87" s="3"/>
      <c r="I87"/>
      <c r="J87"/>
      <c r="K87" s="3"/>
      <c r="M87"/>
      <c r="O87" s="3">
        <f t="shared" si="17"/>
        <v>82</v>
      </c>
      <c r="P87" s="13">
        <f t="shared" si="13"/>
        <v>-1.2443733575077141</v>
      </c>
      <c r="Q87" s="13">
        <f t="shared" si="9"/>
        <v>-0.12666666666666668</v>
      </c>
      <c r="R87" s="13">
        <f t="shared" si="14"/>
        <v>18.04</v>
      </c>
      <c r="S87">
        <f t="shared" si="10"/>
        <v>7.6666666666666675E-2</v>
      </c>
      <c r="T87" s="8">
        <f t="shared" si="15"/>
        <v>0.95291467713489908</v>
      </c>
      <c r="U87" s="8">
        <f t="shared" si="11"/>
        <v>0.19825674472735844</v>
      </c>
      <c r="V87">
        <f t="shared" si="12"/>
        <v>0.95291467713489908</v>
      </c>
      <c r="W87" s="71">
        <f t="shared" si="16"/>
        <v>-266.66666666666674</v>
      </c>
      <c r="AA87">
        <v>83</v>
      </c>
      <c r="AB87">
        <v>1.002</v>
      </c>
    </row>
    <row r="88" spans="2:28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17"/>
        <v>83</v>
      </c>
      <c r="P88" s="13">
        <f t="shared" si="13"/>
        <v>-1.2116266902048798</v>
      </c>
      <c r="Q88" s="13">
        <f t="shared" si="9"/>
        <v>-0.12333333333333336</v>
      </c>
      <c r="R88" s="13">
        <f t="shared" si="14"/>
        <v>18.260000000000002</v>
      </c>
      <c r="S88">
        <f t="shared" si="10"/>
        <v>7.3333333333333361E-2</v>
      </c>
      <c r="T88" s="8">
        <f t="shared" si="15"/>
        <v>0.9556092430974239</v>
      </c>
      <c r="U88" s="8">
        <f t="shared" si="11"/>
        <v>0.26016114681223079</v>
      </c>
      <c r="V88">
        <f t="shared" si="12"/>
        <v>0.9556092430974239</v>
      </c>
      <c r="W88" s="71">
        <f t="shared" si="16"/>
        <v>-233.3333333333336</v>
      </c>
      <c r="AA88">
        <v>84</v>
      </c>
      <c r="AB88">
        <v>1.002</v>
      </c>
    </row>
    <row r="89" spans="2:28" x14ac:dyDescent="0.25">
      <c r="B89" t="s">
        <v>68</v>
      </c>
      <c r="C89" s="75">
        <v>20</v>
      </c>
      <c r="F89" s="5"/>
      <c r="G89" s="3"/>
      <c r="H89" s="3"/>
      <c r="I89"/>
      <c r="J89"/>
      <c r="K89" s="3"/>
      <c r="M89"/>
      <c r="O89" s="3">
        <f t="shared" si="17"/>
        <v>84</v>
      </c>
      <c r="P89" s="13">
        <f t="shared" si="13"/>
        <v>-1.1788800229020451</v>
      </c>
      <c r="Q89" s="13">
        <f t="shared" si="9"/>
        <v>-0.12000000000000002</v>
      </c>
      <c r="R89" s="13">
        <f t="shared" si="14"/>
        <v>18.48</v>
      </c>
      <c r="S89">
        <f t="shared" si="10"/>
        <v>7.0000000000000021E-2</v>
      </c>
      <c r="T89" s="8">
        <f t="shared" si="15"/>
        <v>0.95816811771164256</v>
      </c>
      <c r="U89" s="8">
        <f t="shared" si="11"/>
        <v>0.31378838119987423</v>
      </c>
      <c r="V89">
        <f t="shared" si="12"/>
        <v>0.95816811771164256</v>
      </c>
      <c r="W89" s="71">
        <f t="shared" si="16"/>
        <v>-200.00000000000017</v>
      </c>
      <c r="AA89">
        <v>85</v>
      </c>
      <c r="AB89">
        <v>1.002</v>
      </c>
    </row>
    <row r="90" spans="2:28" x14ac:dyDescent="0.25">
      <c r="B90" t="s">
        <v>69</v>
      </c>
      <c r="C90" s="75">
        <v>-1E-4</v>
      </c>
      <c r="F90" s="5"/>
      <c r="G90" s="3"/>
      <c r="H90" s="3"/>
      <c r="I90"/>
      <c r="J90"/>
      <c r="K90" s="3"/>
      <c r="M90"/>
      <c r="O90" s="3">
        <f t="shared" si="17"/>
        <v>85</v>
      </c>
      <c r="P90" s="13">
        <f t="shared" si="13"/>
        <v>-1.1461333555992104</v>
      </c>
      <c r="Q90" s="13">
        <f t="shared" si="9"/>
        <v>-0.11666666666666668</v>
      </c>
      <c r="R90" s="13">
        <f t="shared" si="14"/>
        <v>18.7</v>
      </c>
      <c r="S90">
        <f t="shared" si="10"/>
        <v>6.666666666666668E-2</v>
      </c>
      <c r="T90" s="8">
        <f t="shared" si="15"/>
        <v>0.96059604968242651</v>
      </c>
      <c r="U90" s="8">
        <f t="shared" si="11"/>
        <v>0.35482882612230676</v>
      </c>
      <c r="V90">
        <f t="shared" si="12"/>
        <v>0.96059604968242651</v>
      </c>
      <c r="W90" s="71">
        <f t="shared" si="16"/>
        <v>-166.66666666666677</v>
      </c>
      <c r="AA90">
        <v>86</v>
      </c>
      <c r="AB90">
        <v>1.002</v>
      </c>
    </row>
    <row r="91" spans="2:28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17"/>
        <v>86</v>
      </c>
      <c r="P91" s="13">
        <f t="shared" si="13"/>
        <v>-1.1133866882963761</v>
      </c>
      <c r="Q91" s="13">
        <f t="shared" si="9"/>
        <v>-0.11333333333333337</v>
      </c>
      <c r="R91" s="13">
        <f t="shared" si="14"/>
        <v>18.920000000000002</v>
      </c>
      <c r="S91">
        <f t="shared" si="10"/>
        <v>6.3333333333333366E-2</v>
      </c>
      <c r="T91" s="8">
        <f t="shared" si="15"/>
        <v>0.9628978626085436</v>
      </c>
      <c r="U91" s="8">
        <f t="shared" si="11"/>
        <v>0.38980330045856337</v>
      </c>
      <c r="V91">
        <f t="shared" si="12"/>
        <v>0.9628978626085436</v>
      </c>
      <c r="W91" s="71">
        <f t="shared" si="16"/>
        <v>-133.33333333333363</v>
      </c>
      <c r="AA91">
        <v>87</v>
      </c>
      <c r="AB91">
        <v>1.002</v>
      </c>
    </row>
    <row r="92" spans="2:28" x14ac:dyDescent="0.25">
      <c r="B92" t="s">
        <v>71</v>
      </c>
      <c r="C92" s="75">
        <v>0.15</v>
      </c>
      <c r="F92" s="5"/>
      <c r="G92" s="3"/>
      <c r="H92" s="3"/>
      <c r="I92"/>
      <c r="J92"/>
      <c r="K92" s="3"/>
      <c r="M92"/>
      <c r="O92" s="3">
        <f t="shared" si="17"/>
        <v>87</v>
      </c>
      <c r="P92" s="13">
        <f t="shared" si="13"/>
        <v>-1.0806400209935414</v>
      </c>
      <c r="Q92" s="13">
        <f t="shared" si="9"/>
        <v>-0.11000000000000003</v>
      </c>
      <c r="R92" s="13">
        <f t="shared" si="14"/>
        <v>19.14</v>
      </c>
      <c r="S92">
        <f t="shared" si="10"/>
        <v>6.0000000000000026E-2</v>
      </c>
      <c r="T92" s="8">
        <f t="shared" si="15"/>
        <v>0.96507842034851166</v>
      </c>
      <c r="U92" s="8">
        <f t="shared" si="11"/>
        <v>0.4218172458030397</v>
      </c>
      <c r="V92">
        <f t="shared" si="12"/>
        <v>0.96507842034851166</v>
      </c>
      <c r="W92" s="71">
        <f t="shared" si="16"/>
        <v>-100.00000000000023</v>
      </c>
      <c r="AA92">
        <v>88</v>
      </c>
      <c r="AB92">
        <v>1.002</v>
      </c>
    </row>
    <row r="93" spans="2:28" x14ac:dyDescent="0.25">
      <c r="B93" t="s">
        <v>72</v>
      </c>
      <c r="C93" s="75">
        <v>12.28</v>
      </c>
      <c r="F93" s="5"/>
      <c r="G93" s="3"/>
      <c r="H93" s="3"/>
      <c r="I93"/>
      <c r="J93"/>
      <c r="K93" s="3"/>
      <c r="M93"/>
      <c r="O93" s="3">
        <f t="shared" si="17"/>
        <v>88</v>
      </c>
      <c r="P93" s="13">
        <f t="shared" si="13"/>
        <v>-1.0478933536907067</v>
      </c>
      <c r="Q93" s="13">
        <f t="shared" si="9"/>
        <v>-0.10666666666666669</v>
      </c>
      <c r="R93" s="13">
        <f t="shared" si="14"/>
        <v>19.36</v>
      </c>
      <c r="S93">
        <f t="shared" si="10"/>
        <v>5.6666666666666685E-2</v>
      </c>
      <c r="T93" s="8">
        <f t="shared" si="15"/>
        <v>0.96714259586110352</v>
      </c>
      <c r="U93" s="8">
        <f t="shared" si="11"/>
        <v>0.45131399385522142</v>
      </c>
      <c r="V93">
        <f t="shared" si="12"/>
        <v>0.96714259586110352</v>
      </c>
      <c r="W93" s="71">
        <f t="shared" si="16"/>
        <v>-66.666666666666814</v>
      </c>
      <c r="AA93">
        <v>89</v>
      </c>
      <c r="AB93">
        <v>1.002</v>
      </c>
    </row>
    <row r="94" spans="2:28" x14ac:dyDescent="0.25">
      <c r="B94" t="s">
        <v>191</v>
      </c>
      <c r="C94" s="75">
        <v>1E-3</v>
      </c>
      <c r="F94" s="5"/>
      <c r="G94" s="3"/>
      <c r="H94" s="3"/>
      <c r="I94"/>
      <c r="J94"/>
      <c r="K94" s="3"/>
      <c r="M94"/>
      <c r="O94" s="3">
        <f t="shared" si="17"/>
        <v>89</v>
      </c>
      <c r="P94" s="13">
        <f t="shared" si="13"/>
        <v>-1.015146686387872</v>
      </c>
      <c r="Q94" s="13">
        <f t="shared" si="9"/>
        <v>-0.10333333333333333</v>
      </c>
      <c r="R94" s="13">
        <f t="shared" si="14"/>
        <v>19.580000000000002</v>
      </c>
      <c r="S94">
        <f t="shared" si="10"/>
        <v>5.333333333333333E-2</v>
      </c>
      <c r="T94" s="8">
        <f t="shared" si="15"/>
        <v>0.96909524344779785</v>
      </c>
      <c r="U94" s="8">
        <f t="shared" si="11"/>
        <v>0.47802382863088266</v>
      </c>
      <c r="V94">
        <f t="shared" si="12"/>
        <v>0.96909524344779785</v>
      </c>
      <c r="W94" s="71">
        <f t="shared" si="16"/>
        <v>-33.333333333333272</v>
      </c>
      <c r="AA94">
        <v>90</v>
      </c>
      <c r="AB94">
        <v>1.002</v>
      </c>
    </row>
    <row r="95" spans="2:28" x14ac:dyDescent="0.25">
      <c r="B95" t="s">
        <v>73</v>
      </c>
      <c r="C95" s="21">
        <f>C21</f>
        <v>-3.9296000763401495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17"/>
        <v>90</v>
      </c>
      <c r="P95" s="13">
        <f t="shared" si="13"/>
        <v>-0.98240001908503771</v>
      </c>
      <c r="Q95" s="13">
        <f t="shared" si="9"/>
        <v>-0.10000000000000003</v>
      </c>
      <c r="R95" s="13">
        <f t="shared" si="14"/>
        <v>19.8</v>
      </c>
      <c r="S95">
        <f t="shared" si="10"/>
        <v>5.0000000000000031E-2</v>
      </c>
      <c r="T95" s="8">
        <f t="shared" si="15"/>
        <v>0.97094117428080384</v>
      </c>
      <c r="U95" s="8">
        <f t="shared" si="11"/>
        <v>0.50170686867978087</v>
      </c>
      <c r="V95">
        <f t="shared" si="12"/>
        <v>0.97094117428080384</v>
      </c>
      <c r="W95" s="71">
        <f t="shared" si="16"/>
        <v>-2.7755575615628914E-13</v>
      </c>
      <c r="AA95">
        <v>91</v>
      </c>
      <c r="AB95">
        <v>1.002</v>
      </c>
    </row>
    <row r="96" spans="2:28" x14ac:dyDescent="0.25">
      <c r="B96" t="s">
        <v>215</v>
      </c>
      <c r="C96" s="75">
        <v>168000</v>
      </c>
      <c r="F96" s="5"/>
      <c r="G96" s="3"/>
      <c r="H96" s="3"/>
      <c r="I96"/>
      <c r="J96"/>
      <c r="K96" s="3"/>
      <c r="M96"/>
      <c r="O96" s="3">
        <f t="shared" si="17"/>
        <v>91</v>
      </c>
      <c r="P96" s="13">
        <f t="shared" si="13"/>
        <v>-0.949653351782203</v>
      </c>
      <c r="Q96" s="13">
        <f t="shared" si="9"/>
        <v>-9.6666666666666692E-2</v>
      </c>
      <c r="R96" s="13">
        <f t="shared" si="14"/>
        <v>20.02</v>
      </c>
      <c r="S96">
        <f t="shared" si="10"/>
        <v>4.666666666666669E-2</v>
      </c>
      <c r="T96" s="8">
        <f t="shared" si="15"/>
        <v>0.97268513506647036</v>
      </c>
      <c r="U96" s="8">
        <f t="shared" si="11"/>
        <v>0.52237510099029838</v>
      </c>
      <c r="V96">
        <f t="shared" si="12"/>
        <v>0.97268513506647036</v>
      </c>
      <c r="W96" s="71">
        <f t="shared" si="16"/>
        <v>33.33333333333313</v>
      </c>
      <c r="AA96">
        <v>92</v>
      </c>
      <c r="AB96">
        <v>1.002</v>
      </c>
    </row>
    <row r="97" spans="2:28" x14ac:dyDescent="0.25">
      <c r="B97" t="s">
        <v>216</v>
      </c>
      <c r="C97" s="75">
        <v>1</v>
      </c>
      <c r="F97" s="5"/>
      <c r="G97" s="3"/>
      <c r="H97" s="3"/>
      <c r="I97"/>
      <c r="J97"/>
      <c r="K97" s="3"/>
      <c r="M97"/>
      <c r="O97" s="3">
        <f t="shared" si="17"/>
        <v>92</v>
      </c>
      <c r="P97" s="13">
        <f t="shared" si="13"/>
        <v>-0.91690668447936829</v>
      </c>
      <c r="Q97" s="13">
        <f t="shared" si="9"/>
        <v>-9.3333333333333338E-2</v>
      </c>
      <c r="R97" s="13">
        <f t="shared" si="14"/>
        <v>20.239999999999998</v>
      </c>
      <c r="S97">
        <f t="shared" si="10"/>
        <v>4.3333333333333335E-2</v>
      </c>
      <c r="T97" s="8">
        <f t="shared" si="15"/>
        <v>0.97433178966882916</v>
      </c>
      <c r="U97" s="8">
        <f t="shared" si="11"/>
        <v>0.54038069741354056</v>
      </c>
      <c r="V97">
        <f t="shared" si="12"/>
        <v>0.97433178966882916</v>
      </c>
      <c r="W97" s="71">
        <f t="shared" si="16"/>
        <v>66.666666666666686</v>
      </c>
      <c r="AA97">
        <v>93</v>
      </c>
      <c r="AB97">
        <v>1.002</v>
      </c>
    </row>
    <row r="98" spans="2:28" x14ac:dyDescent="0.25">
      <c r="B98" t="s">
        <v>74</v>
      </c>
      <c r="C98" s="75">
        <v>20</v>
      </c>
      <c r="F98" s="5"/>
      <c r="G98" s="3"/>
      <c r="H98" s="3"/>
      <c r="I98"/>
      <c r="J98"/>
      <c r="K98" s="3"/>
      <c r="M98"/>
      <c r="O98" s="3">
        <f t="shared" si="17"/>
        <v>93</v>
      </c>
      <c r="P98" s="13">
        <f t="shared" si="13"/>
        <v>-0.88416001717653403</v>
      </c>
      <c r="Q98" s="13">
        <f t="shared" si="9"/>
        <v>-9.0000000000000038E-2</v>
      </c>
      <c r="R98" s="13">
        <f t="shared" si="14"/>
        <v>20.46</v>
      </c>
      <c r="S98">
        <f t="shared" si="10"/>
        <v>4.0000000000000036E-2</v>
      </c>
      <c r="T98" s="8">
        <f t="shared" si="15"/>
        <v>0.97588570350065773</v>
      </c>
      <c r="U98" s="8">
        <f t="shared" si="11"/>
        <v>0.5565514891915494</v>
      </c>
      <c r="V98">
        <f t="shared" si="12"/>
        <v>0.97588570350065773</v>
      </c>
      <c r="W98" s="71">
        <f t="shared" si="16"/>
        <v>99.999999999999673</v>
      </c>
      <c r="AA98">
        <v>94</v>
      </c>
      <c r="AB98">
        <v>1.002</v>
      </c>
    </row>
    <row r="99" spans="2:28" x14ac:dyDescent="0.25">
      <c r="B99" t="s">
        <v>75</v>
      </c>
      <c r="C99" s="75">
        <v>50</v>
      </c>
      <c r="F99" s="5"/>
      <c r="G99" s="3"/>
      <c r="H99" s="3"/>
      <c r="I99"/>
      <c r="J99"/>
      <c r="K99" s="3"/>
      <c r="M99"/>
      <c r="O99" s="3">
        <f t="shared" si="17"/>
        <v>94</v>
      </c>
      <c r="P99" s="13">
        <f t="shared" si="13"/>
        <v>-0.85141334987369932</v>
      </c>
      <c r="Q99" s="13">
        <f t="shared" si="9"/>
        <v>-8.6666666666666697E-2</v>
      </c>
      <c r="R99" s="13">
        <f t="shared" si="14"/>
        <v>20.68</v>
      </c>
      <c r="S99">
        <f t="shared" si="10"/>
        <v>3.6666666666666695E-2</v>
      </c>
      <c r="T99" s="8">
        <f t="shared" si="15"/>
        <v>0.97735133047869793</v>
      </c>
      <c r="U99" s="8">
        <f t="shared" si="11"/>
        <v>0.57252846501170729</v>
      </c>
      <c r="V99">
        <f t="shared" si="12"/>
        <v>0.97735133047869793</v>
      </c>
      <c r="W99" s="71">
        <f t="shared" si="16"/>
        <v>133.33333333333309</v>
      </c>
      <c r="AA99">
        <v>95</v>
      </c>
      <c r="AB99">
        <v>1.002</v>
      </c>
    </row>
    <row r="100" spans="2:28" x14ac:dyDescent="0.25">
      <c r="B100" t="s">
        <v>76</v>
      </c>
      <c r="C100" s="75">
        <v>0</v>
      </c>
      <c r="F100" s="5"/>
      <c r="G100" s="3"/>
      <c r="H100" s="3"/>
      <c r="I100"/>
      <c r="J100"/>
      <c r="K100" s="3"/>
      <c r="M100"/>
      <c r="O100" s="3">
        <f t="shared" si="17"/>
        <v>95</v>
      </c>
      <c r="P100" s="13">
        <f t="shared" si="13"/>
        <v>-0.81866668257086461</v>
      </c>
      <c r="Q100" s="13">
        <f t="shared" si="9"/>
        <v>-8.3333333333333343E-2</v>
      </c>
      <c r="R100" s="13">
        <f t="shared" si="14"/>
        <v>20.9</v>
      </c>
      <c r="S100">
        <f t="shared" si="10"/>
        <v>3.333333333333334E-2</v>
      </c>
      <c r="T100" s="8">
        <f t="shared" si="15"/>
        <v>0.97873300233450788</v>
      </c>
      <c r="U100" s="8">
        <f t="shared" si="11"/>
        <v>0.59148326426092135</v>
      </c>
      <c r="V100">
        <f t="shared" si="12"/>
        <v>0.97873300233450788</v>
      </c>
      <c r="W100" s="71">
        <f t="shared" si="16"/>
        <v>166.66666666666663</v>
      </c>
      <c r="AA100">
        <v>96</v>
      </c>
      <c r="AB100">
        <v>1.002</v>
      </c>
    </row>
    <row r="101" spans="2:28" x14ac:dyDescent="0.25">
      <c r="B101" t="s">
        <v>77</v>
      </c>
      <c r="C101" s="75">
        <v>5.0000000000000001E-4</v>
      </c>
      <c r="F101" s="5"/>
      <c r="G101" s="3"/>
      <c r="H101" s="3"/>
      <c r="I101"/>
      <c r="J101"/>
      <c r="K101" s="3"/>
      <c r="M101"/>
      <c r="O101" s="3">
        <f t="shared" si="17"/>
        <v>96</v>
      </c>
      <c r="P101" s="13">
        <f t="shared" si="13"/>
        <v>-0.7859200152680299</v>
      </c>
      <c r="Q101" s="13">
        <f t="shared" si="9"/>
        <v>-0.08</v>
      </c>
      <c r="R101" s="13">
        <f t="shared" si="14"/>
        <v>21.12</v>
      </c>
      <c r="S101">
        <f t="shared" si="10"/>
        <v>0.03</v>
      </c>
      <c r="T101" s="8">
        <f t="shared" si="15"/>
        <v>0.98003492007190762</v>
      </c>
      <c r="U101" s="8">
        <f t="shared" si="11"/>
        <v>0.61919724975454005</v>
      </c>
      <c r="V101">
        <f t="shared" si="12"/>
        <v>0.98003492007190762</v>
      </c>
      <c r="W101" s="71">
        <f t="shared" si="16"/>
        <v>200.00000000000003</v>
      </c>
      <c r="AA101">
        <v>97</v>
      </c>
      <c r="AB101">
        <v>1.002</v>
      </c>
    </row>
    <row r="102" spans="2:28" x14ac:dyDescent="0.25">
      <c r="B102" t="s">
        <v>78</v>
      </c>
      <c r="C102" s="75">
        <v>0</v>
      </c>
      <c r="F102" s="5"/>
      <c r="G102" s="3"/>
      <c r="H102" s="3"/>
      <c r="I102"/>
      <c r="J102"/>
      <c r="K102" s="3"/>
      <c r="M102"/>
      <c r="O102" s="3">
        <f t="shared" si="17"/>
        <v>97</v>
      </c>
      <c r="P102" s="13">
        <f t="shared" si="13"/>
        <v>-0.75317334796519564</v>
      </c>
      <c r="Q102" s="13">
        <f t="shared" si="9"/>
        <v>-7.6666666666666702E-2</v>
      </c>
      <c r="R102" s="13">
        <f t="shared" si="14"/>
        <v>21.34</v>
      </c>
      <c r="S102">
        <f t="shared" si="10"/>
        <v>2.66666666666667E-2</v>
      </c>
      <c r="T102" s="8">
        <f t="shared" si="15"/>
        <v>0.98126114736520442</v>
      </c>
      <c r="U102" s="8">
        <f t="shared" si="11"/>
        <v>0.66419120149097999</v>
      </c>
      <c r="V102">
        <f t="shared" si="12"/>
        <v>0.98126114736520442</v>
      </c>
      <c r="W102" s="71">
        <f t="shared" si="16"/>
        <v>233.33333333333303</v>
      </c>
      <c r="AA102">
        <v>98</v>
      </c>
      <c r="AB102">
        <v>1.002</v>
      </c>
    </row>
    <row r="103" spans="2:28" x14ac:dyDescent="0.25">
      <c r="B103" t="s">
        <v>79</v>
      </c>
      <c r="C103" s="75">
        <v>0</v>
      </c>
      <c r="F103" s="5"/>
      <c r="G103" s="3"/>
      <c r="H103" s="3"/>
      <c r="I103"/>
      <c r="J103"/>
      <c r="K103" s="3"/>
      <c r="M103"/>
      <c r="O103" s="3">
        <f t="shared" si="17"/>
        <v>98</v>
      </c>
      <c r="P103" s="13">
        <f t="shared" si="13"/>
        <v>-0.72042668066236093</v>
      </c>
      <c r="Q103" s="13">
        <f t="shared" si="9"/>
        <v>-7.3333333333333348E-2</v>
      </c>
      <c r="R103" s="13">
        <f t="shared" si="14"/>
        <v>21.56</v>
      </c>
      <c r="S103">
        <f t="shared" si="10"/>
        <v>2.3333333333333345E-2</v>
      </c>
      <c r="T103" s="8">
        <f t="shared" si="15"/>
        <v>0.98241560569857822</v>
      </c>
      <c r="U103" s="8">
        <f t="shared" si="11"/>
        <v>0.73254744048097986</v>
      </c>
      <c r="V103">
        <f t="shared" si="12"/>
        <v>0.98241560569857822</v>
      </c>
      <c r="W103" s="71">
        <f t="shared" si="16"/>
        <v>266.66666666666657</v>
      </c>
      <c r="AA103">
        <v>99</v>
      </c>
      <c r="AB103">
        <v>1.002</v>
      </c>
    </row>
    <row r="104" spans="2:28" x14ac:dyDescent="0.25">
      <c r="B104" t="s">
        <v>80</v>
      </c>
      <c r="C104" s="24">
        <f>C95</f>
        <v>-3.9296000763401495</v>
      </c>
      <c r="F104" s="5"/>
      <c r="G104" s="3"/>
      <c r="H104" s="3"/>
      <c r="I104"/>
      <c r="J104"/>
      <c r="K104" s="3"/>
      <c r="M104"/>
      <c r="O104" s="3">
        <f t="shared" si="17"/>
        <v>99</v>
      </c>
      <c r="P104" s="13">
        <f t="shared" si="13"/>
        <v>-0.68768001335952622</v>
      </c>
      <c r="Q104" s="13">
        <f t="shared" si="9"/>
        <v>-7.0000000000000007E-2</v>
      </c>
      <c r="R104" s="13">
        <f t="shared" si="14"/>
        <v>21.78</v>
      </c>
      <c r="S104">
        <f t="shared" si="10"/>
        <v>2.0000000000000004E-2</v>
      </c>
      <c r="T104" s="8">
        <f t="shared" si="15"/>
        <v>0.9835020710554595</v>
      </c>
      <c r="U104" s="8">
        <f t="shared" si="11"/>
        <v>0.8158860296273851</v>
      </c>
      <c r="V104">
        <f t="shared" si="12"/>
        <v>0.9835020710554595</v>
      </c>
      <c r="W104" s="71">
        <f t="shared" si="16"/>
        <v>300</v>
      </c>
      <c r="AA104">
        <v>100</v>
      </c>
      <c r="AB104">
        <v>1.002</v>
      </c>
    </row>
    <row r="105" spans="2:28" x14ac:dyDescent="0.25">
      <c r="B105" t="s">
        <v>81</v>
      </c>
      <c r="C105" s="75">
        <v>12.28</v>
      </c>
      <c r="F105" s="5"/>
      <c r="G105" s="3"/>
      <c r="H105" s="3"/>
      <c r="I105"/>
      <c r="J105"/>
      <c r="K105" s="3"/>
      <c r="M105"/>
      <c r="O105" s="3">
        <f t="shared" si="17"/>
        <v>100</v>
      </c>
      <c r="P105" s="13">
        <f t="shared" si="13"/>
        <v>-0.65493334605669196</v>
      </c>
      <c r="Q105" s="13">
        <f t="shared" si="9"/>
        <v>-6.6666666666666707E-2</v>
      </c>
      <c r="R105" s="13">
        <f t="shared" si="14"/>
        <v>22</v>
      </c>
      <c r="S105">
        <f t="shared" si="10"/>
        <v>1.6666666666666705E-2</v>
      </c>
      <c r="T105" s="8">
        <f t="shared" si="15"/>
        <v>0.98452417197683717</v>
      </c>
      <c r="U105" s="8">
        <f t="shared" si="11"/>
        <v>0.89097635409691489</v>
      </c>
      <c r="V105">
        <f t="shared" si="12"/>
        <v>0.98452417197683717</v>
      </c>
      <c r="W105" s="71">
        <f t="shared" si="16"/>
        <v>333.33333333333297</v>
      </c>
      <c r="AA105">
        <v>101</v>
      </c>
      <c r="AB105">
        <v>1.002</v>
      </c>
    </row>
    <row r="106" spans="2:28" x14ac:dyDescent="0.25">
      <c r="B106" t="s">
        <v>82</v>
      </c>
      <c r="C106" s="75">
        <v>150</v>
      </c>
      <c r="F106" s="5"/>
      <c r="G106" s="3"/>
      <c r="H106" s="3"/>
      <c r="I106"/>
      <c r="J106"/>
      <c r="K106" s="3"/>
      <c r="M106"/>
      <c r="O106" s="3">
        <f t="shared" si="17"/>
        <v>101</v>
      </c>
      <c r="P106" s="13">
        <f t="shared" si="13"/>
        <v>-0.62218667875385725</v>
      </c>
      <c r="Q106" s="13">
        <f t="shared" si="9"/>
        <v>-6.3333333333333353E-2</v>
      </c>
      <c r="R106" s="13">
        <f t="shared" si="14"/>
        <v>22.22</v>
      </c>
      <c r="S106">
        <f t="shared" si="10"/>
        <v>1.333333333333335E-2</v>
      </c>
      <c r="T106" s="8">
        <f t="shared" si="15"/>
        <v>0.98548538881867187</v>
      </c>
      <c r="U106" s="8">
        <f t="shared" si="11"/>
        <v>0.9419021301560746</v>
      </c>
      <c r="V106">
        <f t="shared" si="12"/>
        <v>0.98548538881867187</v>
      </c>
      <c r="W106" s="71">
        <f t="shared" si="16"/>
        <v>366.66666666666652</v>
      </c>
      <c r="AA106">
        <v>102</v>
      </c>
      <c r="AB106">
        <v>1.002</v>
      </c>
    </row>
    <row r="107" spans="2:28" x14ac:dyDescent="0.25">
      <c r="B107" t="s">
        <v>83</v>
      </c>
      <c r="C107" s="75">
        <v>150</v>
      </c>
      <c r="F107" s="5"/>
      <c r="G107" s="3"/>
      <c r="H107" s="3"/>
      <c r="I107"/>
      <c r="J107"/>
      <c r="K107" s="3"/>
      <c r="M107"/>
      <c r="O107" s="3">
        <f t="shared" si="17"/>
        <v>102</v>
      </c>
      <c r="P107" s="13">
        <f t="shared" si="13"/>
        <v>-0.58944001145102254</v>
      </c>
      <c r="Q107" s="13">
        <f t="shared" si="9"/>
        <v>-6.0000000000000012E-2</v>
      </c>
      <c r="R107" s="13">
        <f t="shared" si="14"/>
        <v>22.44</v>
      </c>
      <c r="S107">
        <f t="shared" si="10"/>
        <v>1.0000000000000009E-2</v>
      </c>
      <c r="T107" s="8">
        <f t="shared" si="15"/>
        <v>0.98638905405052091</v>
      </c>
      <c r="U107" s="8">
        <f t="shared" si="11"/>
        <v>0.97028598813705957</v>
      </c>
      <c r="V107">
        <f t="shared" si="12"/>
        <v>0.98638905405052091</v>
      </c>
      <c r="W107" s="71">
        <f t="shared" si="16"/>
        <v>399.99999999999994</v>
      </c>
      <c r="AA107">
        <v>103</v>
      </c>
      <c r="AB107">
        <v>1.002</v>
      </c>
    </row>
    <row r="108" spans="2:28" x14ac:dyDescent="0.25">
      <c r="B108" t="s">
        <v>84</v>
      </c>
      <c r="C108" s="75">
        <v>200</v>
      </c>
      <c r="F108" s="5"/>
      <c r="G108" s="3"/>
      <c r="H108" s="3"/>
      <c r="I108"/>
      <c r="J108"/>
      <c r="K108" s="3"/>
      <c r="M108"/>
      <c r="O108" s="3">
        <f t="shared" si="17"/>
        <v>103</v>
      </c>
      <c r="P108" s="13">
        <f t="shared" si="13"/>
        <v>-0.55669334414818827</v>
      </c>
      <c r="Q108" s="13">
        <f t="shared" si="9"/>
        <v>-5.6666666666666712E-2</v>
      </c>
      <c r="R108" s="13">
        <f t="shared" si="14"/>
        <v>22.66</v>
      </c>
      <c r="S108">
        <f t="shared" si="10"/>
        <v>6.6666666666667096E-3</v>
      </c>
      <c r="T108" s="8">
        <f t="shared" si="15"/>
        <v>0.98723835344974442</v>
      </c>
      <c r="U108" s="8">
        <f t="shared" si="11"/>
        <v>0.98458419631271843</v>
      </c>
      <c r="V108">
        <f t="shared" si="12"/>
        <v>0.98723835344974442</v>
      </c>
      <c r="W108" s="71">
        <f t="shared" si="16"/>
        <v>433.33333333333292</v>
      </c>
      <c r="AA108">
        <v>104</v>
      </c>
      <c r="AB108">
        <v>1.002</v>
      </c>
    </row>
    <row r="109" spans="2:28" x14ac:dyDescent="0.25">
      <c r="B109" t="s">
        <v>85</v>
      </c>
      <c r="C109" s="75">
        <v>2.5</v>
      </c>
      <c r="F109" s="5"/>
      <c r="G109" s="3"/>
      <c r="H109" s="3"/>
      <c r="I109"/>
      <c r="J109"/>
      <c r="K109" s="3"/>
      <c r="M109"/>
      <c r="O109" s="3">
        <f t="shared" si="17"/>
        <v>104</v>
      </c>
      <c r="P109" s="13">
        <f t="shared" si="13"/>
        <v>-0.52394667684535356</v>
      </c>
      <c r="Q109" s="13">
        <f t="shared" si="9"/>
        <v>-5.3333333333333365E-2</v>
      </c>
      <c r="R109" s="13">
        <f t="shared" si="14"/>
        <v>22.88</v>
      </c>
      <c r="S109">
        <f t="shared" si="10"/>
        <v>3.3333333333333617E-3</v>
      </c>
      <c r="T109" s="8">
        <f t="shared" si="15"/>
        <v>0.98803632805796693</v>
      </c>
      <c r="U109" s="8">
        <f t="shared" si="11"/>
        <v>0.99156786649713302</v>
      </c>
      <c r="V109">
        <f t="shared" si="12"/>
        <v>0.98803632805796693</v>
      </c>
      <c r="W109" s="71">
        <f t="shared" si="16"/>
        <v>466.6666666666664</v>
      </c>
      <c r="AA109">
        <v>105</v>
      </c>
      <c r="AB109">
        <v>1.002</v>
      </c>
    </row>
    <row r="110" spans="2:28" x14ac:dyDescent="0.25">
      <c r="B110" t="s">
        <v>86</v>
      </c>
      <c r="C110" s="75">
        <v>802.5</v>
      </c>
      <c r="F110" s="5"/>
      <c r="G110" s="3"/>
      <c r="H110" s="3"/>
      <c r="I110"/>
      <c r="J110"/>
      <c r="K110" s="3"/>
      <c r="M110"/>
      <c r="O110" s="3">
        <f t="shared" si="17"/>
        <v>105</v>
      </c>
      <c r="P110" s="13">
        <f t="shared" si="13"/>
        <v>-0.49120000954251886</v>
      </c>
      <c r="Q110" s="13">
        <f t="shared" si="9"/>
        <v>-5.0000000000000017E-2</v>
      </c>
      <c r="R110" s="13">
        <f t="shared" si="14"/>
        <v>23.1</v>
      </c>
      <c r="S110">
        <f t="shared" si="10"/>
        <v>1.3877787807814457E-17</v>
      </c>
      <c r="T110" s="8">
        <f t="shared" si="15"/>
        <v>0.98878587677857666</v>
      </c>
      <c r="U110" s="8">
        <f t="shared" si="11"/>
        <v>0.99503473214487215</v>
      </c>
      <c r="V110">
        <f t="shared" si="12"/>
        <v>0.98878587677857666</v>
      </c>
      <c r="W110" s="71">
        <f t="shared" si="16"/>
        <v>499.99999999999989</v>
      </c>
      <c r="AA110">
        <v>106</v>
      </c>
      <c r="AB110">
        <v>1.002</v>
      </c>
    </row>
    <row r="111" spans="2:28" x14ac:dyDescent="0.25">
      <c r="B111" t="s">
        <v>87</v>
      </c>
      <c r="C111" s="75">
        <v>100</v>
      </c>
      <c r="F111" s="5"/>
      <c r="G111" s="3"/>
      <c r="H111" s="3"/>
      <c r="I111"/>
      <c r="J111"/>
      <c r="K111" s="3"/>
      <c r="M111"/>
      <c r="O111" s="3">
        <f t="shared" si="17"/>
        <v>106</v>
      </c>
      <c r="P111" s="13">
        <f t="shared" si="13"/>
        <v>-0.45845334223968415</v>
      </c>
      <c r="Q111" s="13">
        <f t="shared" si="9"/>
        <v>-4.6666666666666669E-2</v>
      </c>
      <c r="R111" s="13">
        <f t="shared" si="14"/>
        <v>23.32</v>
      </c>
      <c r="S111">
        <f t="shared" si="10"/>
        <v>3.333333333333334E-3</v>
      </c>
      <c r="T111" s="8">
        <f t="shared" si="15"/>
        <v>0.98803632805796693</v>
      </c>
      <c r="U111" s="8">
        <f t="shared" si="11"/>
        <v>0.99156786649713302</v>
      </c>
      <c r="V111">
        <f t="shared" si="12"/>
        <v>0.99156786649713302</v>
      </c>
      <c r="W111" s="71">
        <f t="shared" si="16"/>
        <v>533.33333333333337</v>
      </c>
      <c r="AA111">
        <v>107</v>
      </c>
      <c r="AB111">
        <v>1.002</v>
      </c>
    </row>
    <row r="112" spans="2:28" x14ac:dyDescent="0.25">
      <c r="B112" t="s">
        <v>43</v>
      </c>
      <c r="C112" s="75"/>
      <c r="F112" s="5"/>
      <c r="G112" s="3"/>
      <c r="H112" s="3"/>
      <c r="I112"/>
      <c r="J112"/>
      <c r="K112" s="3"/>
      <c r="M112"/>
      <c r="O112" s="3">
        <f t="shared" si="17"/>
        <v>107</v>
      </c>
      <c r="P112" s="13">
        <f t="shared" si="13"/>
        <v>-0.42570667493684988</v>
      </c>
      <c r="Q112" s="13">
        <f t="shared" si="9"/>
        <v>-4.333333333333337E-2</v>
      </c>
      <c r="R112" s="13">
        <f t="shared" si="14"/>
        <v>23.54</v>
      </c>
      <c r="S112">
        <f t="shared" si="10"/>
        <v>6.6666666666666333E-3</v>
      </c>
      <c r="T112" s="8">
        <f t="shared" si="15"/>
        <v>0.98723835344974453</v>
      </c>
      <c r="U112" s="8">
        <f t="shared" si="11"/>
        <v>0.98458419631271865</v>
      </c>
      <c r="V112">
        <f t="shared" si="12"/>
        <v>0.98458419631271865</v>
      </c>
      <c r="W112" s="71">
        <f t="shared" si="16"/>
        <v>566.6666666666664</v>
      </c>
      <c r="AA112">
        <v>108</v>
      </c>
      <c r="AB112">
        <v>1.002</v>
      </c>
    </row>
    <row r="113" spans="3:28" x14ac:dyDescent="0.25">
      <c r="C113" s="75"/>
      <c r="F113" s="5"/>
      <c r="G113" s="3"/>
      <c r="H113" s="3"/>
      <c r="I113"/>
      <c r="J113"/>
      <c r="K113" s="3"/>
      <c r="M113"/>
      <c r="O113" s="3">
        <f t="shared" si="17"/>
        <v>108</v>
      </c>
      <c r="P113" s="13">
        <f t="shared" si="13"/>
        <v>-0.39296000763401517</v>
      </c>
      <c r="Q113" s="13">
        <f t="shared" si="9"/>
        <v>-4.0000000000000022E-2</v>
      </c>
      <c r="R113" s="13">
        <f t="shared" si="14"/>
        <v>23.76</v>
      </c>
      <c r="S113">
        <f t="shared" si="10"/>
        <v>9.9999999999999811E-3</v>
      </c>
      <c r="T113" s="8">
        <f t="shared" si="15"/>
        <v>0.98638905405052091</v>
      </c>
      <c r="U113" s="8">
        <f t="shared" si="11"/>
        <v>0.9702859881370598</v>
      </c>
      <c r="V113">
        <f t="shared" si="12"/>
        <v>0.9702859881370598</v>
      </c>
      <c r="W113" s="71">
        <f t="shared" si="16"/>
        <v>599.99999999999989</v>
      </c>
      <c r="AA113">
        <v>109</v>
      </c>
      <c r="AB113">
        <v>1.002</v>
      </c>
    </row>
    <row r="114" spans="3:28" x14ac:dyDescent="0.25">
      <c r="C114" s="75"/>
      <c r="F114" s="5"/>
      <c r="G114" s="3"/>
      <c r="H114" s="3"/>
      <c r="I114"/>
      <c r="J114"/>
      <c r="K114" s="3"/>
      <c r="M114"/>
      <c r="O114" s="3">
        <f t="shared" si="17"/>
        <v>109</v>
      </c>
      <c r="P114" s="13">
        <f t="shared" si="13"/>
        <v>-0.36021334033118046</v>
      </c>
      <c r="Q114" s="13">
        <f t="shared" si="9"/>
        <v>-3.6666666666666674E-2</v>
      </c>
      <c r="R114" s="13">
        <f t="shared" si="14"/>
        <v>23.98</v>
      </c>
      <c r="S114">
        <f t="shared" si="10"/>
        <v>1.3333333333333329E-2</v>
      </c>
      <c r="T114" s="8">
        <f t="shared" si="15"/>
        <v>0.98548538881867187</v>
      </c>
      <c r="U114" s="8">
        <f t="shared" si="11"/>
        <v>0.94190213015607471</v>
      </c>
      <c r="V114">
        <f t="shared" si="12"/>
        <v>0.94190213015607471</v>
      </c>
      <c r="W114" s="71">
        <f t="shared" si="16"/>
        <v>633.33333333333326</v>
      </c>
      <c r="AA114">
        <v>110</v>
      </c>
      <c r="AB114">
        <v>1.002</v>
      </c>
    </row>
    <row r="115" spans="3:28" x14ac:dyDescent="0.25">
      <c r="C115" s="75"/>
      <c r="F115" s="5"/>
      <c r="G115" s="3"/>
      <c r="H115" s="3"/>
      <c r="I115"/>
      <c r="J115"/>
      <c r="K115" s="3"/>
      <c r="M115"/>
      <c r="O115" s="3">
        <f t="shared" si="17"/>
        <v>110</v>
      </c>
      <c r="P115" s="13">
        <f t="shared" si="13"/>
        <v>-0.3274666730283462</v>
      </c>
      <c r="Q115" s="13">
        <f t="shared" si="9"/>
        <v>-3.3333333333333375E-2</v>
      </c>
      <c r="R115" s="13">
        <f t="shared" si="14"/>
        <v>24.2</v>
      </c>
      <c r="S115">
        <f t="shared" si="10"/>
        <v>1.6666666666666628E-2</v>
      </c>
      <c r="T115" s="8">
        <f t="shared" si="15"/>
        <v>0.98452417197683717</v>
      </c>
      <c r="U115" s="8">
        <f t="shared" si="11"/>
        <v>0.89097635409691645</v>
      </c>
      <c r="V115">
        <f t="shared" si="12"/>
        <v>0.89097635409691645</v>
      </c>
      <c r="W115" s="71">
        <f t="shared" si="16"/>
        <v>666.66666666666629</v>
      </c>
      <c r="AA115">
        <v>111</v>
      </c>
      <c r="AB115">
        <v>1.002</v>
      </c>
    </row>
    <row r="116" spans="3:28" x14ac:dyDescent="0.25">
      <c r="C116" s="75"/>
      <c r="F116" s="5"/>
      <c r="G116" s="3"/>
      <c r="H116" s="3"/>
      <c r="I116"/>
      <c r="J116"/>
      <c r="K116" s="3"/>
      <c r="M116"/>
      <c r="O116" s="3">
        <f t="shared" si="17"/>
        <v>111</v>
      </c>
      <c r="P116" s="13">
        <f t="shared" si="13"/>
        <v>-0.29472000572551149</v>
      </c>
      <c r="Q116" s="13">
        <f t="shared" si="9"/>
        <v>-3.000000000000003E-2</v>
      </c>
      <c r="R116" s="13">
        <f t="shared" si="14"/>
        <v>24.42</v>
      </c>
      <c r="S116">
        <f t="shared" si="10"/>
        <v>1.9999999999999973E-2</v>
      </c>
      <c r="T116" s="8">
        <f t="shared" si="15"/>
        <v>0.9835020710554595</v>
      </c>
      <c r="U116" s="8">
        <f t="shared" si="11"/>
        <v>0.81588602962738588</v>
      </c>
      <c r="V116">
        <f t="shared" si="12"/>
        <v>0.81588602962738588</v>
      </c>
      <c r="W116" s="71">
        <f t="shared" si="16"/>
        <v>699.99999999999977</v>
      </c>
      <c r="AA116">
        <v>112</v>
      </c>
      <c r="AB116">
        <v>1.002</v>
      </c>
    </row>
    <row r="117" spans="3:28" x14ac:dyDescent="0.25">
      <c r="C117" s="75"/>
      <c r="F117" s="5"/>
      <c r="G117" s="3"/>
      <c r="H117" s="3"/>
      <c r="I117"/>
      <c r="J117"/>
      <c r="K117" s="3"/>
      <c r="M117"/>
      <c r="O117" s="3">
        <f t="shared" si="17"/>
        <v>112</v>
      </c>
      <c r="P117" s="13">
        <f t="shared" si="13"/>
        <v>-0.26197333842267678</v>
      </c>
      <c r="Q117" s="13">
        <f t="shared" si="9"/>
        <v>-2.6666666666666682E-2</v>
      </c>
      <c r="R117" s="13">
        <f t="shared" si="14"/>
        <v>24.64</v>
      </c>
      <c r="S117">
        <f t="shared" si="10"/>
        <v>2.3333333333333321E-2</v>
      </c>
      <c r="T117" s="8">
        <f t="shared" si="15"/>
        <v>0.98241560569857822</v>
      </c>
      <c r="U117" s="8">
        <f t="shared" si="11"/>
        <v>0.73254744048098031</v>
      </c>
      <c r="V117">
        <f t="shared" si="12"/>
        <v>0.73254744048098031</v>
      </c>
      <c r="W117" s="71">
        <f t="shared" si="16"/>
        <v>733.33333333333314</v>
      </c>
      <c r="AA117">
        <v>113</v>
      </c>
      <c r="AB117">
        <v>1.002</v>
      </c>
    </row>
    <row r="118" spans="3:28" x14ac:dyDescent="0.25">
      <c r="C118" s="75"/>
      <c r="F118" s="5"/>
      <c r="G118" s="3"/>
      <c r="H118" s="3"/>
      <c r="I118"/>
      <c r="J118"/>
      <c r="K118" s="3"/>
      <c r="M118"/>
      <c r="O118" s="3">
        <f t="shared" si="17"/>
        <v>113</v>
      </c>
      <c r="P118" s="13">
        <f t="shared" si="13"/>
        <v>-0.22922667111984252</v>
      </c>
      <c r="Q118" s="13">
        <f t="shared" si="9"/>
        <v>-2.333333333333338E-2</v>
      </c>
      <c r="R118" s="13">
        <f t="shared" si="14"/>
        <v>24.86</v>
      </c>
      <c r="S118">
        <f t="shared" si="10"/>
        <v>2.6666666666666623E-2</v>
      </c>
      <c r="T118" s="8">
        <f t="shared" si="15"/>
        <v>0.98126114736520442</v>
      </c>
      <c r="U118" s="8">
        <f t="shared" si="11"/>
        <v>0.66419120149098132</v>
      </c>
      <c r="V118">
        <f t="shared" si="12"/>
        <v>0.66419120149098132</v>
      </c>
      <c r="W118" s="71">
        <f t="shared" si="16"/>
        <v>766.66666666666629</v>
      </c>
      <c r="AA118">
        <v>114</v>
      </c>
      <c r="AB118">
        <v>1.002</v>
      </c>
    </row>
    <row r="119" spans="3:28" x14ac:dyDescent="0.25">
      <c r="C119" s="75"/>
      <c r="F119" s="5"/>
      <c r="G119" s="3"/>
      <c r="H119" s="3"/>
      <c r="I119"/>
      <c r="J119"/>
      <c r="K119" s="3"/>
      <c r="M119"/>
      <c r="O119" s="3">
        <f t="shared" si="17"/>
        <v>114</v>
      </c>
      <c r="P119" s="13">
        <f t="shared" si="13"/>
        <v>-0.19648000381700781</v>
      </c>
      <c r="Q119" s="13">
        <f t="shared" si="9"/>
        <v>-2.0000000000000035E-2</v>
      </c>
      <c r="R119" s="13">
        <f t="shared" si="14"/>
        <v>25.080000000000002</v>
      </c>
      <c r="S119">
        <f t="shared" si="10"/>
        <v>2.9999999999999968E-2</v>
      </c>
      <c r="T119" s="8">
        <f t="shared" si="15"/>
        <v>0.98003492007190762</v>
      </c>
      <c r="U119" s="8">
        <f t="shared" si="11"/>
        <v>0.61919724975454027</v>
      </c>
      <c r="V119">
        <f t="shared" si="12"/>
        <v>0.61919724975454027</v>
      </c>
      <c r="W119" s="71">
        <f t="shared" si="16"/>
        <v>799.99999999999977</v>
      </c>
      <c r="AA119">
        <v>115</v>
      </c>
      <c r="AB119">
        <v>1.002</v>
      </c>
    </row>
    <row r="120" spans="3:28" x14ac:dyDescent="0.25">
      <c r="C120" s="75"/>
      <c r="F120" s="5"/>
      <c r="G120" s="3"/>
      <c r="H120" s="3"/>
      <c r="I120"/>
      <c r="J120"/>
      <c r="K120" s="3"/>
      <c r="M120"/>
      <c r="O120" s="3">
        <f t="shared" si="17"/>
        <v>115</v>
      </c>
      <c r="P120" s="13">
        <f t="shared" si="13"/>
        <v>-0.1637333365141731</v>
      </c>
      <c r="Q120" s="13">
        <f t="shared" si="9"/>
        <v>-1.6666666666666687E-2</v>
      </c>
      <c r="R120" s="13">
        <f t="shared" si="14"/>
        <v>25.3</v>
      </c>
      <c r="S120">
        <f t="shared" si="10"/>
        <v>3.3333333333333312E-2</v>
      </c>
      <c r="T120" s="8">
        <f t="shared" si="15"/>
        <v>0.97873300233450788</v>
      </c>
      <c r="U120" s="8">
        <f t="shared" si="11"/>
        <v>0.59148326426092146</v>
      </c>
      <c r="V120">
        <f t="shared" si="12"/>
        <v>0.59148326426092146</v>
      </c>
      <c r="W120" s="71">
        <f t="shared" si="16"/>
        <v>833.33333333333314</v>
      </c>
      <c r="Z120">
        <f>17.4-4.9</f>
        <v>12.499999999999998</v>
      </c>
      <c r="AA120">
        <v>116</v>
      </c>
      <c r="AB120">
        <v>1.002</v>
      </c>
    </row>
    <row r="121" spans="3:28" x14ac:dyDescent="0.25">
      <c r="C121" s="75"/>
      <c r="F121" s="5"/>
      <c r="G121" s="3"/>
      <c r="H121" s="3"/>
      <c r="I121"/>
      <c r="J121"/>
      <c r="K121" s="3"/>
      <c r="M121"/>
      <c r="O121" s="3">
        <f t="shared" si="17"/>
        <v>116</v>
      </c>
      <c r="P121" s="13">
        <f t="shared" si="13"/>
        <v>-0.13098666921133839</v>
      </c>
      <c r="Q121" s="13">
        <f t="shared" si="9"/>
        <v>-1.3333333333333341E-2</v>
      </c>
      <c r="R121" s="13">
        <f t="shared" si="14"/>
        <v>25.52</v>
      </c>
      <c r="S121">
        <f t="shared" si="10"/>
        <v>3.666666666666666E-2</v>
      </c>
      <c r="T121" s="8">
        <f t="shared" si="15"/>
        <v>0.97735133047869804</v>
      </c>
      <c r="U121" s="8">
        <f t="shared" si="11"/>
        <v>0.57252846501170751</v>
      </c>
      <c r="V121">
        <f t="shared" si="12"/>
        <v>0.57252846501170751</v>
      </c>
      <c r="W121" s="71">
        <f t="shared" si="16"/>
        <v>866.66666666666674</v>
      </c>
      <c r="Z121">
        <f>16.7-4.9</f>
        <v>11.799999999999999</v>
      </c>
      <c r="AA121">
        <v>117</v>
      </c>
      <c r="AB121">
        <v>1.002</v>
      </c>
    </row>
    <row r="122" spans="3:28" x14ac:dyDescent="0.25">
      <c r="C122" s="75"/>
      <c r="F122" s="5"/>
      <c r="G122" s="3"/>
      <c r="H122" s="3"/>
      <c r="I122"/>
      <c r="J122"/>
      <c r="K122" s="3"/>
      <c r="M122"/>
      <c r="O122" s="3">
        <f t="shared" si="17"/>
        <v>117</v>
      </c>
      <c r="P122" s="13">
        <f t="shared" si="13"/>
        <v>-9.8240001908504127E-2</v>
      </c>
      <c r="Q122" s="13">
        <f t="shared" si="9"/>
        <v>-1.000000000000004E-2</v>
      </c>
      <c r="R122" s="13">
        <f t="shared" si="14"/>
        <v>25.74</v>
      </c>
      <c r="S122">
        <f t="shared" si="10"/>
        <v>3.9999999999999966E-2</v>
      </c>
      <c r="T122" s="8">
        <f t="shared" si="15"/>
        <v>0.97588570350065784</v>
      </c>
      <c r="U122" s="8">
        <f t="shared" si="11"/>
        <v>0.55655148919154973</v>
      </c>
      <c r="V122">
        <f t="shared" si="12"/>
        <v>0.55655148919154973</v>
      </c>
      <c r="W122" s="71">
        <f t="shared" si="16"/>
        <v>899.99999999999966</v>
      </c>
      <c r="Z122">
        <f>Z120/Z121</f>
        <v>1.0593220338983049</v>
      </c>
      <c r="AA122">
        <v>118</v>
      </c>
      <c r="AB122">
        <v>1.002</v>
      </c>
    </row>
    <row r="123" spans="3:28" x14ac:dyDescent="0.25">
      <c r="C123" s="75"/>
      <c r="F123" s="5"/>
      <c r="G123" s="3"/>
      <c r="H123" s="3"/>
      <c r="I123"/>
      <c r="J123"/>
      <c r="K123" s="3"/>
      <c r="M123"/>
      <c r="O123" s="3">
        <f t="shared" si="17"/>
        <v>118</v>
      </c>
      <c r="P123" s="13">
        <f t="shared" si="13"/>
        <v>-6.5493334605669418E-2</v>
      </c>
      <c r="Q123" s="13">
        <f t="shared" si="9"/>
        <v>-6.6666666666666931E-3</v>
      </c>
      <c r="R123" s="13">
        <f t="shared" si="14"/>
        <v>25.96</v>
      </c>
      <c r="S123">
        <f t="shared" si="10"/>
        <v>4.3333333333333307E-2</v>
      </c>
      <c r="T123" s="8">
        <f t="shared" si="15"/>
        <v>0.97433178966882927</v>
      </c>
      <c r="U123" s="8">
        <f t="shared" si="11"/>
        <v>0.54038069741354078</v>
      </c>
      <c r="V123">
        <f t="shared" si="12"/>
        <v>0.54038069741354078</v>
      </c>
      <c r="W123" s="71">
        <f t="shared" si="16"/>
        <v>933.33333333333314</v>
      </c>
      <c r="Z123">
        <f>Z122^2</f>
        <v>1.1221631715024416</v>
      </c>
      <c r="AA123">
        <v>119</v>
      </c>
      <c r="AB123">
        <v>1.002</v>
      </c>
    </row>
    <row r="124" spans="3:28" x14ac:dyDescent="0.25">
      <c r="C124" s="75"/>
      <c r="F124" s="5"/>
      <c r="G124" s="3"/>
      <c r="H124" s="3"/>
      <c r="I124"/>
      <c r="J124"/>
      <c r="K124" s="3"/>
      <c r="M124"/>
      <c r="O124" s="3">
        <f t="shared" si="17"/>
        <v>119</v>
      </c>
      <c r="P124" s="13">
        <f t="shared" si="13"/>
        <v>-3.2746667302834709E-2</v>
      </c>
      <c r="Q124" s="13">
        <f t="shared" si="9"/>
        <v>-3.3333333333333466E-3</v>
      </c>
      <c r="R124" s="13">
        <f t="shared" si="14"/>
        <v>26.18</v>
      </c>
      <c r="S124">
        <f t="shared" si="10"/>
        <v>4.6666666666666655E-2</v>
      </c>
      <c r="T124" s="8">
        <f t="shared" si="15"/>
        <v>0.97268513506647036</v>
      </c>
      <c r="U124" s="8">
        <f t="shared" si="11"/>
        <v>0.5223751009902986</v>
      </c>
      <c r="V124">
        <f t="shared" si="12"/>
        <v>0.5223751009902986</v>
      </c>
      <c r="W124" s="71">
        <f t="shared" si="16"/>
        <v>966.66666666666663</v>
      </c>
      <c r="Z124" t="e">
        <f>Z123*#REF!</f>
        <v>#REF!</v>
      </c>
      <c r="AA124">
        <v>120</v>
      </c>
      <c r="AB124">
        <v>1.002</v>
      </c>
    </row>
    <row r="125" spans="3:28" x14ac:dyDescent="0.25">
      <c r="C125" s="75"/>
      <c r="F125" s="5"/>
      <c r="G125" s="3"/>
      <c r="H125" s="3"/>
      <c r="I125"/>
      <c r="J125"/>
      <c r="K125" s="3"/>
      <c r="M125"/>
      <c r="O125" s="3">
        <f t="shared" si="17"/>
        <v>120</v>
      </c>
      <c r="P125" s="13">
        <f t="shared" si="13"/>
        <v>0</v>
      </c>
      <c r="Q125" s="13">
        <f t="shared" si="9"/>
        <v>0</v>
      </c>
      <c r="R125" s="13">
        <f t="shared" si="14"/>
        <v>26.4</v>
      </c>
      <c r="S125">
        <f t="shared" si="10"/>
        <v>0.05</v>
      </c>
      <c r="T125" s="8">
        <f t="shared" si="15"/>
        <v>0.97094117428080384</v>
      </c>
      <c r="U125" s="8">
        <f t="shared" si="11"/>
        <v>0.50170686867978098</v>
      </c>
      <c r="V125">
        <f t="shared" si="12"/>
        <v>0.50170686867978098</v>
      </c>
      <c r="W125" s="71">
        <f t="shared" si="16"/>
        <v>1000</v>
      </c>
      <c r="AA125">
        <v>121</v>
      </c>
      <c r="AB125">
        <v>1.002</v>
      </c>
    </row>
    <row r="126" spans="3:28" x14ac:dyDescent="0.25">
      <c r="C126" s="75"/>
      <c r="F126" s="5"/>
      <c r="G126" s="3"/>
      <c r="H126" s="3"/>
      <c r="I126"/>
      <c r="J126"/>
      <c r="K126" s="3"/>
      <c r="M126"/>
      <c r="O126" s="3">
        <f t="shared" si="17"/>
        <v>121</v>
      </c>
      <c r="P126" s="13">
        <f t="shared" si="13"/>
        <v>3.2746667302834265E-2</v>
      </c>
      <c r="Q126" s="13">
        <f t="shared" si="9"/>
        <v>3.3333333333333015E-3</v>
      </c>
      <c r="R126" s="13">
        <f t="shared" si="14"/>
        <v>26.62</v>
      </c>
      <c r="S126">
        <f t="shared" si="10"/>
        <v>5.3333333333333302E-2</v>
      </c>
      <c r="T126" s="8">
        <f t="shared" si="15"/>
        <v>0.96909524344779785</v>
      </c>
      <c r="U126" s="8">
        <f t="shared" si="11"/>
        <v>0.47802382863088277</v>
      </c>
      <c r="V126">
        <f t="shared" si="12"/>
        <v>0.47802382863088277</v>
      </c>
      <c r="W126" s="71">
        <f t="shared" si="16"/>
        <v>1033.333333333333</v>
      </c>
      <c r="AA126">
        <v>122</v>
      </c>
      <c r="AB126">
        <v>1.002</v>
      </c>
    </row>
    <row r="127" spans="3:28" x14ac:dyDescent="0.25">
      <c r="C127" s="75"/>
      <c r="F127" s="5"/>
      <c r="G127" s="3"/>
      <c r="H127" s="3"/>
      <c r="I127"/>
      <c r="J127"/>
      <c r="K127" s="3"/>
      <c r="M127"/>
      <c r="O127" s="3">
        <f t="shared" si="17"/>
        <v>122</v>
      </c>
      <c r="P127" s="13">
        <f t="shared" si="13"/>
        <v>6.5493334605668974E-2</v>
      </c>
      <c r="Q127" s="13">
        <f t="shared" si="9"/>
        <v>6.666666666666648E-3</v>
      </c>
      <c r="R127" s="13">
        <f t="shared" si="14"/>
        <v>26.84</v>
      </c>
      <c r="S127">
        <f t="shared" si="10"/>
        <v>5.666666666666665E-2</v>
      </c>
      <c r="T127" s="8">
        <f t="shared" si="15"/>
        <v>0.96714259586110363</v>
      </c>
      <c r="U127" s="8">
        <f t="shared" si="11"/>
        <v>0.4513139938552217</v>
      </c>
      <c r="V127">
        <f t="shared" si="12"/>
        <v>0.4513139938552217</v>
      </c>
      <c r="W127" s="71">
        <f t="shared" si="16"/>
        <v>1066.6666666666665</v>
      </c>
      <c r="AA127">
        <v>123</v>
      </c>
      <c r="AB127">
        <v>1.002</v>
      </c>
    </row>
    <row r="128" spans="3:28" x14ac:dyDescent="0.25">
      <c r="C128" s="75"/>
      <c r="F128" s="5"/>
      <c r="G128" s="3"/>
      <c r="H128" s="3"/>
      <c r="I128"/>
      <c r="J128"/>
      <c r="K128" s="3"/>
      <c r="M128"/>
      <c r="O128" s="3">
        <f t="shared" si="17"/>
        <v>123</v>
      </c>
      <c r="P128" s="13">
        <f t="shared" si="13"/>
        <v>9.8240001908503682E-2</v>
      </c>
      <c r="Q128" s="13">
        <f t="shared" si="9"/>
        <v>9.999999999999995E-3</v>
      </c>
      <c r="R128" s="13">
        <f t="shared" si="14"/>
        <v>27.06</v>
      </c>
      <c r="S128">
        <f t="shared" si="10"/>
        <v>0.06</v>
      </c>
      <c r="T128" s="8">
        <f t="shared" si="15"/>
        <v>0.96507842034851166</v>
      </c>
      <c r="U128" s="8">
        <f t="shared" si="11"/>
        <v>0.42181724580303992</v>
      </c>
      <c r="V128">
        <f t="shared" si="12"/>
        <v>0.42181724580303992</v>
      </c>
      <c r="W128" s="71">
        <f t="shared" si="16"/>
        <v>1100</v>
      </c>
      <c r="AA128">
        <v>124</v>
      </c>
      <c r="AB128">
        <v>1.002</v>
      </c>
    </row>
    <row r="129" spans="3:28" x14ac:dyDescent="0.25">
      <c r="C129" s="75"/>
      <c r="F129" s="5"/>
      <c r="G129" s="3"/>
      <c r="H129" s="3"/>
      <c r="I129"/>
      <c r="J129"/>
      <c r="K129" s="3"/>
      <c r="M129"/>
      <c r="O129" s="3">
        <f t="shared" si="17"/>
        <v>124</v>
      </c>
      <c r="P129" s="13">
        <f t="shared" si="13"/>
        <v>0.13098666921133839</v>
      </c>
      <c r="Q129" s="13">
        <f t="shared" si="9"/>
        <v>1.3333333333333341E-2</v>
      </c>
      <c r="R129" s="13">
        <f t="shared" si="14"/>
        <v>27.28</v>
      </c>
      <c r="S129">
        <f t="shared" si="10"/>
        <v>6.3333333333333339E-2</v>
      </c>
      <c r="T129" s="8">
        <f t="shared" si="15"/>
        <v>0.96289786260854371</v>
      </c>
      <c r="U129" s="8">
        <f t="shared" si="11"/>
        <v>0.38980330045856365</v>
      </c>
      <c r="V129">
        <f t="shared" si="12"/>
        <v>0.38980330045856365</v>
      </c>
      <c r="W129" s="71">
        <f t="shared" si="16"/>
        <v>1133.3333333333335</v>
      </c>
      <c r="AA129">
        <v>125</v>
      </c>
      <c r="AB129">
        <v>1.002</v>
      </c>
    </row>
    <row r="130" spans="3:28" x14ac:dyDescent="0.25">
      <c r="C130" s="75"/>
      <c r="F130" s="5"/>
      <c r="G130" s="3"/>
      <c r="H130" s="3"/>
      <c r="I130"/>
      <c r="J130"/>
      <c r="K130" s="3"/>
      <c r="M130"/>
      <c r="O130" s="3">
        <f t="shared" si="17"/>
        <v>125</v>
      </c>
      <c r="P130" s="13">
        <f t="shared" si="13"/>
        <v>0.16373333651417221</v>
      </c>
      <c r="Q130" s="13">
        <f t="shared" si="9"/>
        <v>1.6666666666666597E-2</v>
      </c>
      <c r="R130" s="13">
        <f t="shared" si="14"/>
        <v>27.5</v>
      </c>
      <c r="S130">
        <f t="shared" si="10"/>
        <v>6.6666666666666596E-2</v>
      </c>
      <c r="T130" s="8">
        <f t="shared" si="15"/>
        <v>0.96059604968242662</v>
      </c>
      <c r="U130" s="8">
        <f t="shared" si="11"/>
        <v>0.35482882612230765</v>
      </c>
      <c r="V130">
        <f t="shared" si="12"/>
        <v>0.35482882612230765</v>
      </c>
      <c r="W130" s="71">
        <f t="shared" si="16"/>
        <v>1166.6666666666661</v>
      </c>
      <c r="AA130">
        <v>126</v>
      </c>
      <c r="AB130">
        <v>1.002</v>
      </c>
    </row>
    <row r="131" spans="3:28" x14ac:dyDescent="0.25">
      <c r="C131" s="75"/>
      <c r="F131" s="5"/>
      <c r="G131" s="3"/>
      <c r="H131" s="3"/>
      <c r="I131"/>
      <c r="J131"/>
      <c r="K131" s="3"/>
      <c r="M131"/>
      <c r="O131" s="3">
        <f t="shared" si="17"/>
        <v>126</v>
      </c>
      <c r="P131" s="13">
        <f t="shared" si="13"/>
        <v>0.19648000381700692</v>
      </c>
      <c r="Q131" s="13">
        <f t="shared" si="9"/>
        <v>1.9999999999999945E-2</v>
      </c>
      <c r="R131" s="13">
        <f t="shared" si="14"/>
        <v>27.72</v>
      </c>
      <c r="S131">
        <f t="shared" si="10"/>
        <v>6.9999999999999951E-2</v>
      </c>
      <c r="T131" s="8">
        <f t="shared" si="15"/>
        <v>0.95816811771164268</v>
      </c>
      <c r="U131" s="8">
        <f t="shared" si="11"/>
        <v>0.31378838119987518</v>
      </c>
      <c r="V131">
        <f t="shared" si="12"/>
        <v>0.31378838119987518</v>
      </c>
      <c r="W131" s="71">
        <f t="shared" si="16"/>
        <v>1199.9999999999995</v>
      </c>
      <c r="AA131">
        <v>127</v>
      </c>
      <c r="AB131">
        <v>1.002</v>
      </c>
    </row>
    <row r="132" spans="3:28" x14ac:dyDescent="0.25">
      <c r="C132" s="75"/>
      <c r="F132" s="5"/>
      <c r="G132" s="3"/>
      <c r="H132" s="3"/>
      <c r="I132"/>
      <c r="J132"/>
      <c r="K132" s="3"/>
      <c r="M132"/>
      <c r="O132" s="3">
        <f t="shared" si="17"/>
        <v>127</v>
      </c>
      <c r="P132" s="13">
        <f t="shared" si="13"/>
        <v>0.22922667111984163</v>
      </c>
      <c r="Q132" s="13">
        <f t="shared" si="9"/>
        <v>2.3333333333333289E-2</v>
      </c>
      <c r="R132" s="13">
        <f t="shared" si="14"/>
        <v>27.94</v>
      </c>
      <c r="S132">
        <f t="shared" si="10"/>
        <v>7.3333333333333292E-2</v>
      </c>
      <c r="T132" s="8">
        <f t="shared" si="15"/>
        <v>0.95560924309742401</v>
      </c>
      <c r="U132" s="8">
        <f t="shared" si="11"/>
        <v>0.26016114681223207</v>
      </c>
      <c r="V132">
        <f t="shared" si="12"/>
        <v>0.26016114681223207</v>
      </c>
      <c r="W132" s="71">
        <f t="shared" si="16"/>
        <v>1233.333333333333</v>
      </c>
      <c r="AA132">
        <v>128</v>
      </c>
      <c r="AB132">
        <v>1.002</v>
      </c>
    </row>
    <row r="133" spans="3:28" x14ac:dyDescent="0.25">
      <c r="C133" s="75"/>
      <c r="F133" s="5"/>
      <c r="G133" s="3"/>
      <c r="H133" s="3"/>
      <c r="I133"/>
      <c r="J133"/>
      <c r="K133" s="3"/>
      <c r="M133"/>
      <c r="O133" s="3">
        <f t="shared" si="17"/>
        <v>128</v>
      </c>
      <c r="P133" s="13">
        <f t="shared" si="13"/>
        <v>0.26197333842267634</v>
      </c>
      <c r="Q133" s="13">
        <f t="shared" ref="Q133:Q150" si="18">P133*$G$18</f>
        <v>2.6666666666666637E-2</v>
      </c>
      <c r="R133" s="13">
        <f t="shared" si="14"/>
        <v>28.16</v>
      </c>
      <c r="S133">
        <f t="shared" ref="S133:S150" si="19">ABS(Q133-$K$38)</f>
        <v>7.6666666666666633E-2</v>
      </c>
      <c r="T133" s="8">
        <f t="shared" si="15"/>
        <v>0.95291467713489908</v>
      </c>
      <c r="U133" s="8">
        <f t="shared" ref="U133:U159" si="20">$K$39/(1+EXP(($S133-$L$39)/$M$39))+$K$40/(1+EXP(($S133-$L$40)/$M$40))+$K$41/(1+EXP(($S133-$L$41)/$M$41))+$K$42/(1+EXP(($S133-$L$42)/$M$42))</f>
        <v>0.19825674472735913</v>
      </c>
      <c r="V133">
        <f t="shared" ref="V133:V150" si="21">IF(Q133-$K$38&gt;0,U133,T133)</f>
        <v>0.19825674472735913</v>
      </c>
      <c r="W133" s="71">
        <f t="shared" si="16"/>
        <v>1266.6666666666665</v>
      </c>
      <c r="AA133">
        <v>129</v>
      </c>
      <c r="AB133">
        <v>1.002</v>
      </c>
    </row>
    <row r="134" spans="3:28" x14ac:dyDescent="0.25">
      <c r="C134" s="75"/>
      <c r="F134" s="5"/>
      <c r="G134" s="3"/>
      <c r="H134" s="3"/>
      <c r="I134"/>
      <c r="J134"/>
      <c r="K134" s="3"/>
      <c r="M134"/>
      <c r="O134" s="3">
        <f t="shared" si="17"/>
        <v>129</v>
      </c>
      <c r="P134" s="13">
        <f t="shared" ref="P134:P150" si="22">$C$24*O134+$C$21</f>
        <v>0.29472000572551105</v>
      </c>
      <c r="Q134" s="13">
        <f t="shared" si="18"/>
        <v>2.9999999999999982E-2</v>
      </c>
      <c r="R134" s="13">
        <f t="shared" ref="R134:R150" si="23">$S$3*O134</f>
        <v>28.38</v>
      </c>
      <c r="S134">
        <f t="shared" si="19"/>
        <v>7.9999999999999988E-2</v>
      </c>
      <c r="T134" s="8">
        <f t="shared" ref="T134:T159" si="24">$K$34/(1+EXP(($S134-$L$34)/$M$34))+$K$35/(1+EXP(($S134-$L$35)/$M$35))+$K$36/(1+EXP(($S134-$L$36)/$M$36))+$K$37/(1+EXP(($S134-$L$37)/$M$37))</f>
        <v>0.95007978414013894</v>
      </c>
      <c r="U134" s="8">
        <f t="shared" si="20"/>
        <v>0.14908057028752755</v>
      </c>
      <c r="V134">
        <f t="shared" si="21"/>
        <v>0.14908057028752755</v>
      </c>
      <c r="W134" s="71">
        <f t="shared" ref="W134:W150" si="25">(Q134+W$3)*10000</f>
        <v>1299.9999999999998</v>
      </c>
      <c r="AA134">
        <v>130</v>
      </c>
      <c r="AB134">
        <v>1.002</v>
      </c>
    </row>
    <row r="135" spans="3:28" x14ac:dyDescent="0.25">
      <c r="C135" s="75"/>
      <c r="F135" s="5"/>
      <c r="G135" s="3"/>
      <c r="H135" s="3"/>
      <c r="I135"/>
      <c r="J135"/>
      <c r="K135" s="3"/>
      <c r="M135"/>
      <c r="O135" s="3">
        <f t="shared" si="17"/>
        <v>130</v>
      </c>
      <c r="P135" s="13">
        <f t="shared" si="22"/>
        <v>0.32746667302834576</v>
      </c>
      <c r="Q135" s="13">
        <f t="shared" si="18"/>
        <v>3.3333333333333333E-2</v>
      </c>
      <c r="R135" s="13">
        <f t="shared" si="23"/>
        <v>28.6</v>
      </c>
      <c r="S135">
        <f t="shared" si="19"/>
        <v>8.3333333333333343E-2</v>
      </c>
      <c r="T135" s="8">
        <f t="shared" si="24"/>
        <v>0.94710008302220994</v>
      </c>
      <c r="U135" s="8">
        <f t="shared" si="20"/>
        <v>0.11645674354992214</v>
      </c>
      <c r="V135">
        <f t="shared" si="21"/>
        <v>0.11645674354992214</v>
      </c>
      <c r="W135" s="71">
        <f t="shared" si="25"/>
        <v>1333.3333333333333</v>
      </c>
      <c r="AA135">
        <v>131</v>
      </c>
      <c r="AB135">
        <v>1.002</v>
      </c>
    </row>
    <row r="136" spans="3:28" x14ac:dyDescent="0.25">
      <c r="C136" s="75"/>
      <c r="F136" s="5"/>
      <c r="G136" s="3"/>
      <c r="H136" s="3"/>
      <c r="I136"/>
      <c r="J136"/>
      <c r="K136" s="3"/>
      <c r="M136"/>
      <c r="O136" s="3">
        <f t="shared" ref="O136:O159" si="26">O135+1</f>
        <v>131</v>
      </c>
      <c r="P136" s="13">
        <f t="shared" si="22"/>
        <v>0.36021334033118046</v>
      </c>
      <c r="Q136" s="13">
        <f t="shared" si="18"/>
        <v>3.6666666666666674E-2</v>
      </c>
      <c r="R136" s="13">
        <f t="shared" si="23"/>
        <v>28.82</v>
      </c>
      <c r="S136">
        <f t="shared" si="19"/>
        <v>8.666666666666667E-2</v>
      </c>
      <c r="T136" s="8">
        <f t="shared" si="24"/>
        <v>0.94397129217386988</v>
      </c>
      <c r="U136" s="8">
        <f t="shared" si="20"/>
        <v>9.2997421265244823E-2</v>
      </c>
      <c r="V136">
        <f t="shared" si="21"/>
        <v>9.2997421265244823E-2</v>
      </c>
      <c r="W136" s="71">
        <f t="shared" si="25"/>
        <v>1366.666666666667</v>
      </c>
      <c r="AA136">
        <v>132</v>
      </c>
      <c r="AB136">
        <v>1.002</v>
      </c>
    </row>
    <row r="137" spans="3:28" x14ac:dyDescent="0.25">
      <c r="C137" s="75"/>
      <c r="F137" s="5"/>
      <c r="G137" s="3"/>
      <c r="H137" s="3"/>
      <c r="I137"/>
      <c r="J137"/>
      <c r="K137" s="3"/>
      <c r="M137"/>
      <c r="O137" s="3">
        <f t="shared" si="26"/>
        <v>132</v>
      </c>
      <c r="P137" s="13">
        <f t="shared" si="22"/>
        <v>0.39296000763401429</v>
      </c>
      <c r="Q137" s="13">
        <f t="shared" si="18"/>
        <v>3.9999999999999931E-2</v>
      </c>
      <c r="R137" s="13">
        <f t="shared" si="23"/>
        <v>29.04</v>
      </c>
      <c r="S137">
        <f t="shared" si="19"/>
        <v>8.9999999999999941E-2</v>
      </c>
      <c r="T137" s="8">
        <f t="shared" si="24"/>
        <v>0.94068937746336467</v>
      </c>
      <c r="U137" s="8">
        <f t="shared" si="20"/>
        <v>7.452266324163094E-2</v>
      </c>
      <c r="V137">
        <f t="shared" si="21"/>
        <v>7.452266324163094E-2</v>
      </c>
      <c r="W137" s="71">
        <f t="shared" si="25"/>
        <v>1399.9999999999993</v>
      </c>
      <c r="AA137">
        <v>133</v>
      </c>
      <c r="AB137">
        <v>1.002</v>
      </c>
    </row>
    <row r="138" spans="3:28" x14ac:dyDescent="0.25">
      <c r="C138" s="75"/>
      <c r="F138" s="5"/>
      <c r="G138" s="3"/>
      <c r="H138" s="3"/>
      <c r="I138"/>
      <c r="J138"/>
      <c r="K138" s="3"/>
      <c r="M138"/>
      <c r="O138" s="3">
        <f t="shared" si="26"/>
        <v>133</v>
      </c>
      <c r="P138" s="13">
        <f t="shared" si="22"/>
        <v>0.42570667493684899</v>
      </c>
      <c r="Q138" s="13">
        <f t="shared" si="18"/>
        <v>4.3333333333333279E-2</v>
      </c>
      <c r="R138" s="13">
        <f t="shared" si="23"/>
        <v>29.26</v>
      </c>
      <c r="S138">
        <f t="shared" si="19"/>
        <v>9.3333333333333282E-2</v>
      </c>
      <c r="T138" s="8">
        <f t="shared" si="24"/>
        <v>0.93725060300579477</v>
      </c>
      <c r="U138" s="8">
        <f t="shared" si="20"/>
        <v>5.9499149273336174E-2</v>
      </c>
      <c r="V138">
        <f t="shared" si="21"/>
        <v>5.9499149273336174E-2</v>
      </c>
      <c r="W138" s="71">
        <f t="shared" si="25"/>
        <v>1433.3333333333328</v>
      </c>
      <c r="AA138">
        <v>134</v>
      </c>
      <c r="AB138">
        <v>1.002</v>
      </c>
    </row>
    <row r="139" spans="3:28" x14ac:dyDescent="0.25">
      <c r="C139" s="75"/>
      <c r="F139" s="5"/>
      <c r="G139" s="3"/>
      <c r="H139" s="3"/>
      <c r="I139"/>
      <c r="J139"/>
      <c r="K139" s="3"/>
      <c r="M139"/>
      <c r="O139" s="3">
        <f t="shared" si="26"/>
        <v>134</v>
      </c>
      <c r="P139" s="13">
        <f t="shared" si="22"/>
        <v>0.4584533422396837</v>
      </c>
      <c r="Q139" s="13">
        <f t="shared" si="18"/>
        <v>4.6666666666666627E-2</v>
      </c>
      <c r="R139" s="13">
        <f t="shared" si="23"/>
        <v>29.48</v>
      </c>
      <c r="S139">
        <f t="shared" si="19"/>
        <v>9.6666666666666623E-2</v>
      </c>
      <c r="T139" s="8">
        <f t="shared" si="24"/>
        <v>0.93365158427610107</v>
      </c>
      <c r="U139" s="8">
        <f t="shared" si="20"/>
        <v>4.7253634493099633E-2</v>
      </c>
      <c r="V139">
        <f t="shared" si="21"/>
        <v>4.7253634493099633E-2</v>
      </c>
      <c r="W139" s="71">
        <f t="shared" si="25"/>
        <v>1466.6666666666663</v>
      </c>
      <c r="AA139">
        <v>135</v>
      </c>
      <c r="AB139">
        <v>1.002</v>
      </c>
    </row>
    <row r="140" spans="3:28" x14ac:dyDescent="0.25">
      <c r="C140" s="75"/>
      <c r="F140" s="5"/>
      <c r="G140" s="3"/>
      <c r="H140" s="3"/>
      <c r="I140"/>
      <c r="J140"/>
      <c r="K140" s="3"/>
      <c r="M140"/>
      <c r="O140" s="3">
        <f t="shared" si="26"/>
        <v>135</v>
      </c>
      <c r="P140" s="13">
        <f t="shared" si="22"/>
        <v>0.49120000954251841</v>
      </c>
      <c r="Q140" s="13">
        <f t="shared" si="18"/>
        <v>4.9999999999999975E-2</v>
      </c>
      <c r="R140" s="13">
        <f t="shared" si="23"/>
        <v>29.7</v>
      </c>
      <c r="S140">
        <f t="shared" si="19"/>
        <v>9.9999999999999978E-2</v>
      </c>
      <c r="T140" s="8">
        <f t="shared" si="24"/>
        <v>0.92988934299762893</v>
      </c>
      <c r="U140" s="8">
        <f t="shared" si="20"/>
        <v>3.733933768502383E-2</v>
      </c>
      <c r="V140">
        <f t="shared" si="21"/>
        <v>3.733933768502383E-2</v>
      </c>
      <c r="W140" s="71">
        <f t="shared" si="25"/>
        <v>1499.9999999999998</v>
      </c>
      <c r="AA140">
        <v>136</v>
      </c>
      <c r="AB140">
        <v>1.002</v>
      </c>
    </row>
    <row r="141" spans="3:28" x14ac:dyDescent="0.25">
      <c r="C141" s="75"/>
      <c r="F141" s="5"/>
      <c r="G141" s="3"/>
      <c r="H141" s="3"/>
      <c r="I141"/>
      <c r="J141"/>
      <c r="K141" s="3"/>
      <c r="M141"/>
      <c r="O141" s="3">
        <f t="shared" si="26"/>
        <v>136</v>
      </c>
      <c r="P141" s="13">
        <f t="shared" si="22"/>
        <v>0.52394667684535312</v>
      </c>
      <c r="Q141" s="13">
        <f t="shared" si="18"/>
        <v>5.3333333333333316E-2</v>
      </c>
      <c r="R141" s="13">
        <f t="shared" si="23"/>
        <v>29.92</v>
      </c>
      <c r="S141">
        <f t="shared" si="19"/>
        <v>0.10333333333333332</v>
      </c>
      <c r="T141" s="8">
        <f t="shared" si="24"/>
        <v>0.92596136310174915</v>
      </c>
      <c r="U141" s="8">
        <f t="shared" si="20"/>
        <v>2.9378178583521312E-2</v>
      </c>
      <c r="V141">
        <f t="shared" si="21"/>
        <v>2.9378178583521312E-2</v>
      </c>
      <c r="W141" s="71">
        <f t="shared" si="25"/>
        <v>1533.3333333333333</v>
      </c>
      <c r="AA141">
        <v>137</v>
      </c>
      <c r="AB141">
        <v>1.002</v>
      </c>
    </row>
    <row r="142" spans="3:28" x14ac:dyDescent="0.25">
      <c r="C142" s="75"/>
      <c r="F142" s="5"/>
      <c r="G142" s="3"/>
      <c r="H142" s="3"/>
      <c r="I142"/>
      <c r="J142"/>
      <c r="K142" s="3"/>
      <c r="M142"/>
      <c r="O142" s="3">
        <f t="shared" si="26"/>
        <v>137</v>
      </c>
      <c r="P142" s="13">
        <f t="shared" si="22"/>
        <v>0.55669334414818783</v>
      </c>
      <c r="Q142" s="13">
        <f t="shared" si="18"/>
        <v>5.6666666666666664E-2</v>
      </c>
      <c r="R142" s="13">
        <f t="shared" si="23"/>
        <v>30.14</v>
      </c>
      <c r="S142">
        <f t="shared" si="19"/>
        <v>0.10666666666666666</v>
      </c>
      <c r="T142" s="8">
        <f t="shared" si="24"/>
        <v>0.92186564690685235</v>
      </c>
      <c r="U142" s="8">
        <f t="shared" si="20"/>
        <v>2.3033015173521937E-2</v>
      </c>
      <c r="V142">
        <f t="shared" si="21"/>
        <v>2.3033015173521937E-2</v>
      </c>
      <c r="W142" s="71">
        <f t="shared" si="25"/>
        <v>1566.6666666666667</v>
      </c>
      <c r="AA142">
        <v>138</v>
      </c>
      <c r="AB142">
        <v>1.002</v>
      </c>
    </row>
    <row r="143" spans="3:28" x14ac:dyDescent="0.25">
      <c r="C143" s="75"/>
      <c r="F143" s="5"/>
      <c r="G143" s="3"/>
      <c r="H143" s="3"/>
      <c r="I143"/>
      <c r="J143"/>
      <c r="K143" s="3"/>
      <c r="M143"/>
      <c r="O143" s="3">
        <f t="shared" si="26"/>
        <v>138</v>
      </c>
      <c r="P143" s="13">
        <f t="shared" si="22"/>
        <v>0.58944001145102254</v>
      </c>
      <c r="Q143" s="13">
        <f t="shared" si="18"/>
        <v>6.0000000000000012E-2</v>
      </c>
      <c r="R143" s="13">
        <f t="shared" si="23"/>
        <v>30.36</v>
      </c>
      <c r="S143">
        <f t="shared" si="19"/>
        <v>0.11000000000000001</v>
      </c>
      <c r="T143" s="8">
        <f t="shared" si="24"/>
        <v>0.9176007705113266</v>
      </c>
      <c r="U143" s="8">
        <f t="shared" si="20"/>
        <v>1.8007284916110266E-2</v>
      </c>
      <c r="V143">
        <f t="shared" si="21"/>
        <v>1.8007284916110266E-2</v>
      </c>
      <c r="W143" s="71">
        <f t="shared" si="25"/>
        <v>1600.0000000000002</v>
      </c>
      <c r="AA143">
        <v>139</v>
      </c>
      <c r="AB143">
        <v>1.002</v>
      </c>
    </row>
    <row r="144" spans="3:28" x14ac:dyDescent="0.25">
      <c r="C144" s="75"/>
      <c r="F144" s="5"/>
      <c r="G144" s="3"/>
      <c r="H144" s="3"/>
      <c r="I144"/>
      <c r="J144"/>
      <c r="K144" s="3"/>
      <c r="M144"/>
      <c r="O144" s="3">
        <f t="shared" si="26"/>
        <v>139</v>
      </c>
      <c r="P144" s="13">
        <f t="shared" si="22"/>
        <v>0.62218667875385636</v>
      </c>
      <c r="Q144" s="13">
        <f t="shared" si="18"/>
        <v>6.3333333333333269E-2</v>
      </c>
      <c r="R144" s="13">
        <f t="shared" si="23"/>
        <v>30.580000000000002</v>
      </c>
      <c r="S144">
        <f t="shared" si="19"/>
        <v>0.11333333333333327</v>
      </c>
      <c r="T144" s="8">
        <f t="shared" si="24"/>
        <v>0.91316593723720119</v>
      </c>
      <c r="U144" s="8">
        <f t="shared" si="20"/>
        <v>1.4046608746504222E-2</v>
      </c>
      <c r="V144">
        <f t="shared" si="21"/>
        <v>1.4046608746504222E-2</v>
      </c>
      <c r="W144" s="71">
        <f t="shared" si="25"/>
        <v>1633.3333333333328</v>
      </c>
      <c r="AA144">
        <v>140</v>
      </c>
      <c r="AB144">
        <v>1.002</v>
      </c>
    </row>
    <row r="145" spans="3:28" x14ac:dyDescent="0.25">
      <c r="C145" s="75"/>
      <c r="F145" s="5"/>
      <c r="G145" s="3"/>
      <c r="H145" s="3"/>
      <c r="I145"/>
      <c r="J145"/>
      <c r="K145" s="3"/>
      <c r="M145"/>
      <c r="O145" s="3">
        <f t="shared" si="26"/>
        <v>140</v>
      </c>
      <c r="P145" s="13">
        <f t="shared" si="22"/>
        <v>0.65493334605669107</v>
      </c>
      <c r="Q145" s="13">
        <f t="shared" si="18"/>
        <v>6.666666666666661E-2</v>
      </c>
      <c r="R145" s="13">
        <f t="shared" si="23"/>
        <v>30.8</v>
      </c>
      <c r="S145">
        <f t="shared" si="19"/>
        <v>0.11666666666666661</v>
      </c>
      <c r="T145" s="8">
        <f t="shared" si="24"/>
        <v>0.90856102780131809</v>
      </c>
      <c r="U145" s="8">
        <f t="shared" si="20"/>
        <v>1.0937733406928692E-2</v>
      </c>
      <c r="V145">
        <f t="shared" si="21"/>
        <v>1.0937733406928692E-2</v>
      </c>
      <c r="W145" s="71">
        <f t="shared" si="25"/>
        <v>1666.6666666666663</v>
      </c>
      <c r="AA145">
        <v>141</v>
      </c>
      <c r="AB145">
        <v>1.002</v>
      </c>
    </row>
    <row r="146" spans="3:28" x14ac:dyDescent="0.25">
      <c r="C146" s="75"/>
      <c r="F146" s="5"/>
      <c r="G146" s="3"/>
      <c r="H146" s="3"/>
      <c r="I146"/>
      <c r="J146"/>
      <c r="K146" s="3"/>
      <c r="M146"/>
      <c r="O146" s="3">
        <f t="shared" si="26"/>
        <v>141</v>
      </c>
      <c r="P146" s="13">
        <f t="shared" si="22"/>
        <v>0.68768001335952578</v>
      </c>
      <c r="Q146" s="13">
        <f t="shared" si="18"/>
        <v>6.9999999999999965E-2</v>
      </c>
      <c r="R146" s="13">
        <f t="shared" si="23"/>
        <v>31.02</v>
      </c>
      <c r="S146">
        <f t="shared" si="19"/>
        <v>0.11999999999999997</v>
      </c>
      <c r="T146" s="8">
        <f t="shared" si="24"/>
        <v>0.90378664573107659</v>
      </c>
      <c r="U146" s="8">
        <f t="shared" si="20"/>
        <v>8.505138139106477E-3</v>
      </c>
      <c r="V146">
        <f t="shared" si="21"/>
        <v>8.505138139106477E-3</v>
      </c>
      <c r="W146" s="71">
        <f t="shared" si="25"/>
        <v>1699.9999999999998</v>
      </c>
      <c r="AA146">
        <v>142</v>
      </c>
      <c r="AB146">
        <v>1.002</v>
      </c>
    </row>
    <row r="147" spans="3:28" x14ac:dyDescent="0.25">
      <c r="C147" s="75"/>
      <c r="F147" s="5"/>
      <c r="G147" s="3"/>
      <c r="H147" s="3"/>
      <c r="I147"/>
      <c r="J147"/>
      <c r="K147" s="3"/>
      <c r="M147"/>
      <c r="O147" s="3">
        <f t="shared" si="26"/>
        <v>142</v>
      </c>
      <c r="P147" s="13">
        <f t="shared" si="22"/>
        <v>0.72042668066236049</v>
      </c>
      <c r="Q147" s="13">
        <f t="shared" si="18"/>
        <v>7.3333333333333306E-2</v>
      </c>
      <c r="R147" s="13">
        <f t="shared" si="23"/>
        <v>31.24</v>
      </c>
      <c r="S147">
        <f t="shared" si="19"/>
        <v>0.12333333333333331</v>
      </c>
      <c r="T147" s="8">
        <f t="shared" si="24"/>
        <v>0.8988441563828109</v>
      </c>
      <c r="U147" s="8">
        <f t="shared" si="20"/>
        <v>6.6064014451352963E-3</v>
      </c>
      <c r="V147">
        <f t="shared" si="21"/>
        <v>6.6064014451352963E-3</v>
      </c>
      <c r="W147" s="71">
        <f t="shared" si="25"/>
        <v>1733.333333333333</v>
      </c>
      <c r="AA147">
        <v>143</v>
      </c>
      <c r="AB147">
        <v>1.002</v>
      </c>
    </row>
    <row r="148" spans="3:28" x14ac:dyDescent="0.25">
      <c r="C148" s="75"/>
      <c r="F148" s="5"/>
      <c r="G148" s="3"/>
      <c r="H148" s="3"/>
      <c r="I148"/>
      <c r="J148"/>
      <c r="K148" s="3"/>
      <c r="M148"/>
      <c r="O148" s="3">
        <f t="shared" si="26"/>
        <v>143</v>
      </c>
      <c r="P148" s="13">
        <f t="shared" si="22"/>
        <v>0.75317334796519519</v>
      </c>
      <c r="Q148" s="13">
        <f t="shared" si="18"/>
        <v>7.6666666666666661E-2</v>
      </c>
      <c r="R148" s="13">
        <f t="shared" si="23"/>
        <v>31.46</v>
      </c>
      <c r="S148">
        <f t="shared" si="19"/>
        <v>0.12666666666666665</v>
      </c>
      <c r="T148" s="8">
        <f t="shared" si="24"/>
        <v>0.89373571776176397</v>
      </c>
      <c r="U148" s="8">
        <f t="shared" si="20"/>
        <v>5.1272164782213006E-3</v>
      </c>
      <c r="V148">
        <f t="shared" si="21"/>
        <v>5.1272164782213006E-3</v>
      </c>
      <c r="W148" s="71">
        <f t="shared" si="25"/>
        <v>1766.6666666666667</v>
      </c>
      <c r="AA148">
        <v>144</v>
      </c>
      <c r="AB148">
        <v>1.002</v>
      </c>
    </row>
    <row r="149" spans="3:28" x14ac:dyDescent="0.25">
      <c r="C149" s="75"/>
      <c r="F149" s="5"/>
      <c r="G149" s="3"/>
      <c r="H149" s="3"/>
      <c r="I149"/>
      <c r="J149"/>
      <c r="K149" s="3"/>
      <c r="M149"/>
      <c r="O149" s="3">
        <f t="shared" si="26"/>
        <v>144</v>
      </c>
      <c r="P149" s="13">
        <f t="shared" si="22"/>
        <v>0.7859200152680299</v>
      </c>
      <c r="Q149" s="13">
        <f t="shared" si="18"/>
        <v>0.08</v>
      </c>
      <c r="R149" s="13">
        <f t="shared" si="23"/>
        <v>31.68</v>
      </c>
      <c r="S149">
        <f t="shared" si="19"/>
        <v>0.13</v>
      </c>
      <c r="T149" s="8">
        <f t="shared" si="24"/>
        <v>0.88846430117943953</v>
      </c>
      <c r="U149" s="8">
        <f t="shared" si="20"/>
        <v>3.9766074630823269E-3</v>
      </c>
      <c r="V149">
        <f t="shared" si="21"/>
        <v>3.9766074630823269E-3</v>
      </c>
      <c r="W149" s="71">
        <f t="shared" si="25"/>
        <v>1800</v>
      </c>
      <c r="AA149">
        <v>145</v>
      </c>
      <c r="AB149">
        <v>1.002</v>
      </c>
    </row>
    <row r="150" spans="3:28" x14ac:dyDescent="0.25">
      <c r="C150" s="75"/>
      <c r="F150" s="5"/>
      <c r="G150" s="3"/>
      <c r="H150" s="3"/>
      <c r="I150"/>
      <c r="J150"/>
      <c r="K150" s="3"/>
      <c r="M150"/>
      <c r="O150" s="3">
        <f t="shared" si="26"/>
        <v>145</v>
      </c>
      <c r="P150" s="13">
        <f t="shared" si="22"/>
        <v>0.81866668257086372</v>
      </c>
      <c r="Q150" s="13">
        <f t="shared" si="18"/>
        <v>8.3333333333333259E-2</v>
      </c>
      <c r="R150" s="13">
        <f t="shared" si="23"/>
        <v>31.9</v>
      </c>
      <c r="S150">
        <f t="shared" si="19"/>
        <v>0.13333333333333325</v>
      </c>
      <c r="T150" s="8">
        <f t="shared" si="24"/>
        <v>0.88303369960846534</v>
      </c>
      <c r="U150" s="8">
        <f t="shared" si="20"/>
        <v>3.0826323997059234E-3</v>
      </c>
      <c r="V150">
        <f t="shared" si="21"/>
        <v>3.0826323997059234E-3</v>
      </c>
      <c r="W150" s="71">
        <f t="shared" si="25"/>
        <v>1833.3333333333326</v>
      </c>
      <c r="AA150">
        <v>146</v>
      </c>
      <c r="AB150">
        <v>1.002</v>
      </c>
    </row>
    <row r="151" spans="3:28" x14ac:dyDescent="0.25">
      <c r="C151" s="75"/>
      <c r="F151" s="5"/>
      <c r="G151" s="3"/>
      <c r="H151" s="3"/>
      <c r="I151"/>
      <c r="J151"/>
      <c r="K151" s="3"/>
      <c r="M151"/>
      <c r="O151" s="3">
        <f t="shared" si="26"/>
        <v>146</v>
      </c>
      <c r="P151" s="13">
        <f t="shared" ref="P151:P159" si="27">$C$24*O151+$C$21</f>
        <v>0.85141334987369843</v>
      </c>
      <c r="Q151" s="13">
        <f t="shared" ref="Q151:Q159" si="28">P151*$G$18</f>
        <v>8.66666666666666E-2</v>
      </c>
      <c r="R151" s="13">
        <f t="shared" ref="R151:R159" si="29">$S$3*O151</f>
        <v>32.119999999999997</v>
      </c>
      <c r="S151">
        <f t="shared" ref="S151:S159" si="30">ABS(Q151-$K$38)</f>
        <v>0.1366666666666666</v>
      </c>
      <c r="T151" s="8">
        <f t="shared" si="24"/>
        <v>0.87744852139212137</v>
      </c>
      <c r="U151" s="8">
        <f t="shared" si="20"/>
        <v>2.3886818220834956E-3</v>
      </c>
      <c r="V151">
        <f t="shared" ref="V151:V159" si="31">IF(Q151-$K$38&gt;0,U151,T151)</f>
        <v>2.3886818220834956E-3</v>
      </c>
      <c r="W151" s="71">
        <f t="shared" ref="W151:W159" si="32">(Q151+W$3)*10000</f>
        <v>1866.6666666666658</v>
      </c>
      <c r="AA151">
        <v>147</v>
      </c>
      <c r="AB151">
        <v>1.002</v>
      </c>
    </row>
    <row r="152" spans="3:28" x14ac:dyDescent="0.25">
      <c r="C152" s="75"/>
      <c r="F152" s="5"/>
      <c r="G152" s="3"/>
      <c r="H152" s="3"/>
      <c r="I152"/>
      <c r="J152"/>
      <c r="K152" s="3"/>
      <c r="M152"/>
      <c r="O152" s="3">
        <f t="shared" si="26"/>
        <v>147</v>
      </c>
      <c r="P152" s="13">
        <f t="shared" si="27"/>
        <v>0.88416001717653314</v>
      </c>
      <c r="Q152" s="13">
        <f t="shared" si="28"/>
        <v>8.9999999999999955E-2</v>
      </c>
      <c r="R152" s="13">
        <f t="shared" si="29"/>
        <v>32.340000000000003</v>
      </c>
      <c r="S152">
        <f t="shared" si="30"/>
        <v>0.13999999999999996</v>
      </c>
      <c r="T152" s="8">
        <f t="shared" si="24"/>
        <v>0.87171416671145019</v>
      </c>
      <c r="U152" s="8">
        <f t="shared" si="20"/>
        <v>1.85038054072513E-3</v>
      </c>
      <c r="V152">
        <f t="shared" si="31"/>
        <v>1.85038054072513E-3</v>
      </c>
      <c r="W152" s="71">
        <f t="shared" si="32"/>
        <v>1899.9999999999995</v>
      </c>
      <c r="AA152">
        <v>148</v>
      </c>
      <c r="AB152">
        <v>1.002</v>
      </c>
    </row>
    <row r="153" spans="3:28" x14ac:dyDescent="0.25">
      <c r="C153" s="75"/>
      <c r="F153" s="5"/>
      <c r="G153" s="3"/>
      <c r="H153" s="3"/>
      <c r="I153"/>
      <c r="J153"/>
      <c r="K153" s="3"/>
      <c r="M153"/>
      <c r="O153" s="3">
        <f t="shared" si="26"/>
        <v>148</v>
      </c>
      <c r="P153" s="13">
        <f t="shared" si="27"/>
        <v>0.91690668447936785</v>
      </c>
      <c r="Q153" s="13">
        <f t="shared" si="28"/>
        <v>9.3333333333333296E-2</v>
      </c>
      <c r="R153" s="13">
        <f t="shared" si="29"/>
        <v>32.56</v>
      </c>
      <c r="S153">
        <f t="shared" si="30"/>
        <v>0.14333333333333331</v>
      </c>
      <c r="T153" s="8">
        <f t="shared" si="24"/>
        <v>0.86583678387084095</v>
      </c>
      <c r="U153" s="8">
        <f t="shared" si="20"/>
        <v>1.4330456512218232E-3</v>
      </c>
      <c r="V153">
        <f t="shared" si="31"/>
        <v>1.4330456512218232E-3</v>
      </c>
      <c r="W153" s="71">
        <f t="shared" si="32"/>
        <v>1933.333333333333</v>
      </c>
      <c r="AA153">
        <v>149</v>
      </c>
      <c r="AB153">
        <v>1.002</v>
      </c>
    </row>
    <row r="154" spans="3:28" x14ac:dyDescent="0.25">
      <c r="C154" s="75"/>
      <c r="F154" s="5"/>
      <c r="G154" s="3"/>
      <c r="H154" s="3"/>
      <c r="I154"/>
      <c r="J154"/>
      <c r="K154" s="3"/>
      <c r="M154"/>
      <c r="O154" s="3">
        <f t="shared" si="26"/>
        <v>149</v>
      </c>
      <c r="P154" s="13">
        <f t="shared" si="27"/>
        <v>0.94965335178220256</v>
      </c>
      <c r="Q154" s="13">
        <f t="shared" si="28"/>
        <v>9.6666666666666637E-2</v>
      </c>
      <c r="R154" s="13">
        <f t="shared" si="29"/>
        <v>32.78</v>
      </c>
      <c r="S154">
        <f t="shared" si="30"/>
        <v>0.14666666666666664</v>
      </c>
      <c r="T154" s="8">
        <f t="shared" si="24"/>
        <v>0.85982320197940132</v>
      </c>
      <c r="U154" s="8">
        <f t="shared" si="20"/>
        <v>1.1096309474006689E-3</v>
      </c>
      <c r="V154">
        <f t="shared" si="31"/>
        <v>1.1096309474006689E-3</v>
      </c>
      <c r="W154" s="71">
        <f t="shared" si="32"/>
        <v>1966.6666666666665</v>
      </c>
      <c r="AA154">
        <v>150</v>
      </c>
      <c r="AB154">
        <v>1.002</v>
      </c>
    </row>
    <row r="155" spans="3:28" x14ac:dyDescent="0.25">
      <c r="C155" s="75"/>
      <c r="F155" s="5"/>
      <c r="G155" s="3"/>
      <c r="H155" s="3"/>
      <c r="I155"/>
      <c r="J155"/>
      <c r="K155" s="3"/>
      <c r="M155"/>
      <c r="O155" s="3">
        <f t="shared" si="26"/>
        <v>150</v>
      </c>
      <c r="P155" s="13">
        <f t="shared" si="27"/>
        <v>0.98240001908503727</v>
      </c>
      <c r="Q155" s="13">
        <f t="shared" si="28"/>
        <v>9.9999999999999992E-2</v>
      </c>
      <c r="R155" s="13">
        <f t="shared" si="29"/>
        <v>33</v>
      </c>
      <c r="S155">
        <f t="shared" si="30"/>
        <v>0.15</v>
      </c>
      <c r="T155" s="8">
        <f t="shared" si="24"/>
        <v>0.85368083590304733</v>
      </c>
      <c r="U155" s="8">
        <f t="shared" si="20"/>
        <v>8.5908229845959715E-4</v>
      </c>
      <c r="V155">
        <f t="shared" si="31"/>
        <v>8.5908229845959715E-4</v>
      </c>
      <c r="W155" s="71">
        <f t="shared" si="32"/>
        <v>2000</v>
      </c>
      <c r="AA155">
        <v>151</v>
      </c>
      <c r="AB155">
        <v>1.002</v>
      </c>
    </row>
    <row r="156" spans="3:28" x14ac:dyDescent="0.25">
      <c r="C156" s="75"/>
      <c r="F156" s="5"/>
      <c r="G156" s="3"/>
      <c r="H156" s="3"/>
      <c r="I156"/>
      <c r="J156"/>
      <c r="K156" s="3"/>
      <c r="M156"/>
      <c r="O156" s="3">
        <f t="shared" si="26"/>
        <v>151</v>
      </c>
      <c r="P156" s="13">
        <f t="shared" si="27"/>
        <v>1.015146686387872</v>
      </c>
      <c r="Q156" s="13">
        <f t="shared" si="28"/>
        <v>0.10333333333333333</v>
      </c>
      <c r="R156" s="13">
        <f t="shared" si="29"/>
        <v>33.22</v>
      </c>
      <c r="S156">
        <f t="shared" si="30"/>
        <v>0.15333333333333332</v>
      </c>
      <c r="T156" s="8">
        <f t="shared" si="24"/>
        <v>0.84741755833194887</v>
      </c>
      <c r="U156" s="8">
        <f t="shared" si="20"/>
        <v>6.6503224483852768E-4</v>
      </c>
      <c r="V156">
        <f t="shared" si="31"/>
        <v>6.6503224483852768E-4</v>
      </c>
      <c r="W156" s="71">
        <f t="shared" si="32"/>
        <v>2033.3333333333335</v>
      </c>
      <c r="AA156">
        <v>152</v>
      </c>
      <c r="AB156">
        <v>1.002</v>
      </c>
    </row>
    <row r="157" spans="3:28" x14ac:dyDescent="0.25">
      <c r="C157" s="75"/>
      <c r="F157" s="5"/>
      <c r="G157" s="3"/>
      <c r="H157" s="3"/>
      <c r="I157"/>
      <c r="J157"/>
      <c r="K157" s="3"/>
      <c r="M157"/>
      <c r="O157" s="3">
        <f t="shared" si="26"/>
        <v>152</v>
      </c>
      <c r="P157" s="13">
        <f t="shared" si="27"/>
        <v>1.0478933536907058</v>
      </c>
      <c r="Q157" s="13">
        <f t="shared" si="28"/>
        <v>0.10666666666666659</v>
      </c>
      <c r="R157" s="13">
        <f t="shared" si="29"/>
        <v>33.44</v>
      </c>
      <c r="S157">
        <f t="shared" si="30"/>
        <v>0.15666666666666659</v>
      </c>
      <c r="T157" s="8">
        <f t="shared" si="24"/>
        <v>0.84104153229739587</v>
      </c>
      <c r="U157" s="8">
        <f t="shared" si="20"/>
        <v>5.1477002346049766E-4</v>
      </c>
      <c r="V157">
        <f t="shared" si="31"/>
        <v>5.1477002346049766E-4</v>
      </c>
      <c r="W157" s="71">
        <f t="shared" si="32"/>
        <v>2066.6666666666661</v>
      </c>
      <c r="AA157">
        <v>153</v>
      </c>
      <c r="AB157">
        <v>1.002</v>
      </c>
    </row>
    <row r="158" spans="3:28" x14ac:dyDescent="0.25">
      <c r="C158" s="75"/>
      <c r="F158" s="5"/>
      <c r="G158" s="3"/>
      <c r="H158" s="3"/>
      <c r="I158"/>
      <c r="J158"/>
      <c r="K158" s="3"/>
      <c r="M158"/>
      <c r="O158" s="3">
        <f t="shared" si="26"/>
        <v>153</v>
      </c>
      <c r="P158" s="13">
        <f t="shared" si="27"/>
        <v>1.0806400209935405</v>
      </c>
      <c r="Q158" s="13">
        <f t="shared" si="28"/>
        <v>0.10999999999999995</v>
      </c>
      <c r="R158" s="13">
        <f t="shared" si="29"/>
        <v>33.660000000000004</v>
      </c>
      <c r="S158">
        <f t="shared" si="30"/>
        <v>0.15999999999999995</v>
      </c>
      <c r="T158" s="8">
        <f t="shared" si="24"/>
        <v>0.83456099527054906</v>
      </c>
      <c r="U158" s="8">
        <f t="shared" si="20"/>
        <v>3.9843258226931224E-4</v>
      </c>
      <c r="V158">
        <f t="shared" si="31"/>
        <v>3.9843258226931224E-4</v>
      </c>
      <c r="W158" s="71">
        <f t="shared" si="32"/>
        <v>2099.9999999999995</v>
      </c>
      <c r="AA158">
        <v>154</v>
      </c>
      <c r="AB158">
        <v>1.002</v>
      </c>
    </row>
    <row r="159" spans="3:28" x14ac:dyDescent="0.25">
      <c r="C159" s="75"/>
      <c r="F159" s="5"/>
      <c r="G159" s="3"/>
      <c r="H159" s="3"/>
      <c r="I159"/>
      <c r="J159"/>
      <c r="K159" s="3"/>
      <c r="M159"/>
      <c r="O159" s="3">
        <f t="shared" si="26"/>
        <v>154</v>
      </c>
      <c r="P159" s="13">
        <f t="shared" si="27"/>
        <v>1.1133866882963752</v>
      </c>
      <c r="Q159" s="13">
        <f t="shared" si="28"/>
        <v>0.11333333333333329</v>
      </c>
      <c r="R159" s="13">
        <f t="shared" si="29"/>
        <v>33.880000000000003</v>
      </c>
      <c r="S159">
        <f t="shared" si="30"/>
        <v>0.16333333333333327</v>
      </c>
      <c r="T159" s="8">
        <f t="shared" si="24"/>
        <v>0.82798398279307617</v>
      </c>
      <c r="U159" s="8">
        <f t="shared" si="20"/>
        <v>3.0837135718789877E-4</v>
      </c>
      <c r="V159">
        <f t="shared" si="31"/>
        <v>3.0837135718789877E-4</v>
      </c>
      <c r="W159" s="71">
        <f t="shared" si="32"/>
        <v>2133.333333333333</v>
      </c>
      <c r="AA159">
        <v>155</v>
      </c>
      <c r="AB159">
        <v>1.002</v>
      </c>
    </row>
    <row r="160" spans="3:28" x14ac:dyDescent="0.25">
      <c r="C160" s="75"/>
      <c r="F160" s="5"/>
      <c r="G160" s="3"/>
      <c r="H160" s="3"/>
      <c r="I160"/>
      <c r="J160"/>
      <c r="K160" s="3"/>
      <c r="M160"/>
      <c r="P160" s="3"/>
      <c r="Q160" s="7"/>
      <c r="R160" s="7"/>
      <c r="S160" s="7"/>
      <c r="U160" s="8"/>
      <c r="V160" s="8"/>
      <c r="AA160">
        <v>156</v>
      </c>
      <c r="AB160">
        <v>1.002</v>
      </c>
    </row>
    <row r="161" spans="3:28" x14ac:dyDescent="0.25">
      <c r="C161" s="75"/>
      <c r="F161" s="5"/>
      <c r="G161" s="3"/>
      <c r="H161" s="3"/>
      <c r="I161"/>
      <c r="J161"/>
      <c r="K161" s="3"/>
      <c r="M161"/>
      <c r="P161" s="3"/>
      <c r="Q161" s="7"/>
      <c r="R161" s="7"/>
      <c r="S161" s="7"/>
      <c r="U161" s="8"/>
      <c r="V161" s="8"/>
      <c r="AA161">
        <v>157</v>
      </c>
      <c r="AB161">
        <v>1.002</v>
      </c>
    </row>
    <row r="162" spans="3:28" x14ac:dyDescent="0.25">
      <c r="C162" s="75"/>
      <c r="F162" s="5"/>
      <c r="G162" s="3"/>
      <c r="H162" s="3"/>
      <c r="I162"/>
      <c r="J162"/>
      <c r="K162" s="3"/>
      <c r="M162"/>
      <c r="P162" s="3"/>
      <c r="Q162" s="7"/>
      <c r="R162" s="7"/>
      <c r="S162" s="7"/>
      <c r="U162" s="8"/>
      <c r="V162" s="8"/>
      <c r="AA162">
        <v>158</v>
      </c>
      <c r="AB162">
        <v>1.002</v>
      </c>
    </row>
    <row r="163" spans="3:28" x14ac:dyDescent="0.25">
      <c r="C163" s="75"/>
      <c r="F163" s="5"/>
      <c r="G163" s="3"/>
      <c r="H163" s="3"/>
      <c r="I163"/>
      <c r="J163"/>
      <c r="K163" s="3"/>
      <c r="M163"/>
      <c r="P163" s="3"/>
      <c r="Q163" s="7"/>
      <c r="R163" s="7"/>
      <c r="S163" s="7"/>
      <c r="U163" s="8"/>
      <c r="V163" s="8"/>
      <c r="AA163">
        <v>159</v>
      </c>
      <c r="AB163">
        <v>1.002</v>
      </c>
    </row>
    <row r="164" spans="3:28" x14ac:dyDescent="0.25">
      <c r="C164" s="75"/>
      <c r="F164" s="5"/>
      <c r="G164" s="3"/>
      <c r="H164" s="3"/>
      <c r="I164"/>
      <c r="J164"/>
      <c r="K164" s="3"/>
      <c r="M164"/>
      <c r="P164" s="3"/>
      <c r="Q164" s="7"/>
      <c r="R164" s="7"/>
      <c r="S164" s="7"/>
      <c r="U164" s="8"/>
      <c r="V164" s="8"/>
      <c r="AA164">
        <v>160</v>
      </c>
      <c r="AB164">
        <v>1.002</v>
      </c>
    </row>
    <row r="165" spans="3:28" x14ac:dyDescent="0.25">
      <c r="C165" s="75"/>
      <c r="F165" s="5"/>
      <c r="G165" s="3"/>
      <c r="H165" s="3"/>
      <c r="I165"/>
      <c r="J165"/>
      <c r="K165" s="3"/>
      <c r="M165"/>
      <c r="P165" s="3"/>
      <c r="Q165" s="7"/>
      <c r="R165" s="7"/>
      <c r="S165" s="7"/>
      <c r="U165" s="8"/>
      <c r="V165" s="8"/>
      <c r="AA165">
        <v>161</v>
      </c>
      <c r="AB165">
        <v>1.002</v>
      </c>
    </row>
    <row r="166" spans="3:28" x14ac:dyDescent="0.25">
      <c r="C166" s="75"/>
      <c r="F166" s="5"/>
      <c r="G166" s="3"/>
      <c r="H166" s="3"/>
      <c r="I166"/>
      <c r="J166"/>
      <c r="K166" s="3"/>
      <c r="M166"/>
      <c r="P166" s="3"/>
      <c r="Q166" s="7"/>
      <c r="R166" s="7"/>
      <c r="S166" s="7"/>
      <c r="U166" s="8"/>
      <c r="V166" s="8"/>
      <c r="AA166">
        <v>162</v>
      </c>
      <c r="AB166">
        <v>1.002</v>
      </c>
    </row>
    <row r="167" spans="3:28" x14ac:dyDescent="0.25">
      <c r="C167" s="75"/>
      <c r="F167" s="5"/>
      <c r="G167" s="3"/>
      <c r="H167" s="3"/>
      <c r="I167"/>
      <c r="J167"/>
      <c r="K167" s="3"/>
      <c r="M167"/>
      <c r="P167" s="3"/>
      <c r="Q167" s="7"/>
      <c r="R167" s="7"/>
      <c r="S167" s="7"/>
      <c r="U167" s="8"/>
      <c r="V167" s="8"/>
      <c r="AA167">
        <v>163</v>
      </c>
      <c r="AB167">
        <v>1.002</v>
      </c>
    </row>
    <row r="168" spans="3:28" x14ac:dyDescent="0.25">
      <c r="C168" s="75"/>
      <c r="F168" s="5"/>
      <c r="G168" s="3"/>
      <c r="H168" s="3"/>
      <c r="I168"/>
      <c r="J168"/>
      <c r="K168" s="3"/>
      <c r="M168"/>
      <c r="P168" s="3"/>
      <c r="Q168" s="7"/>
      <c r="R168" s="7"/>
      <c r="S168" s="7"/>
      <c r="U168" s="8"/>
      <c r="V168" s="8"/>
      <c r="AA168">
        <v>164</v>
      </c>
      <c r="AB168">
        <v>1.002</v>
      </c>
    </row>
    <row r="169" spans="3:28" x14ac:dyDescent="0.25">
      <c r="C169" s="75"/>
      <c r="F169" s="5"/>
      <c r="G169" s="3"/>
      <c r="H169" s="3"/>
      <c r="I169"/>
      <c r="J169"/>
      <c r="K169" s="3"/>
      <c r="M169"/>
      <c r="P169" s="3"/>
      <c r="Q169" s="7"/>
      <c r="R169" s="7"/>
      <c r="S169" s="7"/>
      <c r="U169" s="8"/>
      <c r="V169" s="8"/>
      <c r="AA169">
        <v>165</v>
      </c>
      <c r="AB169">
        <v>1.002</v>
      </c>
    </row>
    <row r="170" spans="3:28" x14ac:dyDescent="0.25">
      <c r="C170" s="75"/>
      <c r="F170" s="5"/>
      <c r="G170" s="3"/>
      <c r="H170" s="3"/>
      <c r="I170"/>
      <c r="J170"/>
      <c r="K170" s="3"/>
      <c r="M170"/>
      <c r="P170" s="3"/>
      <c r="Q170" s="7"/>
      <c r="R170" s="7"/>
      <c r="S170" s="7"/>
      <c r="U170" s="8"/>
      <c r="V170" s="8"/>
      <c r="AA170">
        <v>166</v>
      </c>
      <c r="AB170">
        <v>1.002</v>
      </c>
    </row>
    <row r="171" spans="3:28" x14ac:dyDescent="0.25">
      <c r="C171" s="75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  <c r="R171" s="7"/>
      <c r="S171" s="7"/>
      <c r="U171" s="8"/>
      <c r="V171" s="8"/>
      <c r="AA171">
        <v>167</v>
      </c>
      <c r="AB171">
        <v>1.002</v>
      </c>
    </row>
    <row r="172" spans="3:28" x14ac:dyDescent="0.25">
      <c r="C172" s="75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  <c r="R172" s="7"/>
      <c r="S172" s="7"/>
      <c r="U172" s="8"/>
      <c r="V172" s="8"/>
      <c r="AA172">
        <v>168</v>
      </c>
      <c r="AB172">
        <v>1.002</v>
      </c>
    </row>
    <row r="173" spans="3:28" x14ac:dyDescent="0.25">
      <c r="C173" s="75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  <c r="R173" s="7"/>
      <c r="S173" s="7"/>
      <c r="U173" s="8"/>
      <c r="V173" s="8"/>
      <c r="AA173">
        <v>169</v>
      </c>
      <c r="AB173">
        <v>1.002</v>
      </c>
    </row>
    <row r="174" spans="3:28" x14ac:dyDescent="0.25">
      <c r="C174" s="75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  <c r="R174" s="7"/>
      <c r="S174" s="7"/>
      <c r="U174" s="8"/>
      <c r="V174" s="8"/>
      <c r="AA174">
        <v>170</v>
      </c>
      <c r="AB174">
        <v>1.002</v>
      </c>
    </row>
    <row r="175" spans="3:28" x14ac:dyDescent="0.25">
      <c r="C175" s="75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  <c r="R175" s="7"/>
      <c r="S175" s="7"/>
      <c r="U175" s="8"/>
      <c r="V175" s="8"/>
      <c r="AA175">
        <v>171</v>
      </c>
      <c r="AB175">
        <v>1.002</v>
      </c>
    </row>
    <row r="176" spans="3:28" x14ac:dyDescent="0.25">
      <c r="C176" s="75"/>
      <c r="F176" s="5"/>
      <c r="G176" s="3"/>
      <c r="H176" s="3">
        <v>-3.6042509756097498</v>
      </c>
      <c r="I176"/>
      <c r="J176"/>
      <c r="K176" s="3"/>
      <c r="M176"/>
      <c r="P176" s="3"/>
      <c r="Q176" s="7"/>
      <c r="R176" s="7"/>
      <c r="S176" s="7"/>
      <c r="U176" s="8"/>
      <c r="V176" s="8"/>
      <c r="AA176">
        <v>172</v>
      </c>
      <c r="AB176">
        <v>1.002</v>
      </c>
    </row>
    <row r="177" spans="3:28" x14ac:dyDescent="0.25">
      <c r="C177" s="75"/>
      <c r="F177" s="5"/>
      <c r="G177" s="3"/>
      <c r="H177" s="3">
        <v>-3.59206775133848</v>
      </c>
      <c r="I177"/>
      <c r="J177"/>
      <c r="K177" s="3"/>
      <c r="M177"/>
      <c r="AA177">
        <v>173</v>
      </c>
      <c r="AB177">
        <v>1.002</v>
      </c>
    </row>
    <row r="178" spans="3:28" x14ac:dyDescent="0.25">
      <c r="C178" s="75"/>
      <c r="F178" s="5"/>
      <c r="G178" s="3"/>
      <c r="H178" s="3">
        <v>-3.5798845270672102</v>
      </c>
      <c r="I178"/>
      <c r="J178"/>
      <c r="K178" s="3"/>
      <c r="M178"/>
      <c r="AA178">
        <v>174</v>
      </c>
      <c r="AB178">
        <v>1.002</v>
      </c>
    </row>
    <row r="179" spans="3:28" x14ac:dyDescent="0.25">
      <c r="C179" s="75"/>
      <c r="F179" s="5"/>
      <c r="G179" s="3"/>
      <c r="H179" s="3"/>
      <c r="I179"/>
      <c r="J179"/>
      <c r="K179" s="3"/>
      <c r="M179"/>
      <c r="AA179">
        <v>175</v>
      </c>
      <c r="AB179">
        <v>1.002</v>
      </c>
    </row>
    <row r="180" spans="3:28" x14ac:dyDescent="0.25">
      <c r="C180" s="75"/>
      <c r="F180" s="5"/>
      <c r="G180" s="3"/>
      <c r="H180" s="3"/>
      <c r="I180"/>
      <c r="J180"/>
      <c r="K180" s="3"/>
      <c r="M180"/>
      <c r="AA180">
        <v>176</v>
      </c>
      <c r="AB180">
        <v>1.002</v>
      </c>
    </row>
    <row r="181" spans="3:28" x14ac:dyDescent="0.25">
      <c r="C181" s="75"/>
      <c r="F181" s="5"/>
      <c r="G181" s="3"/>
      <c r="H181" s="3"/>
      <c r="I181"/>
      <c r="J181"/>
      <c r="K181" s="3"/>
      <c r="M181"/>
      <c r="AA181">
        <v>177</v>
      </c>
      <c r="AB181">
        <v>1.002</v>
      </c>
    </row>
    <row r="182" spans="3:28" x14ac:dyDescent="0.25">
      <c r="C182" s="75"/>
      <c r="F182" s="5"/>
      <c r="G182" s="3"/>
      <c r="H182" s="3"/>
      <c r="I182"/>
      <c r="J182"/>
      <c r="K182" s="3"/>
      <c r="M182"/>
      <c r="AA182">
        <v>178</v>
      </c>
      <c r="AB182">
        <v>1.002</v>
      </c>
    </row>
    <row r="183" spans="3:28" x14ac:dyDescent="0.25">
      <c r="C183" s="75"/>
      <c r="F183" s="5"/>
      <c r="G183" s="3"/>
      <c r="H183" s="3"/>
      <c r="I183"/>
      <c r="J183"/>
      <c r="K183" s="3"/>
      <c r="M183"/>
      <c r="AA183">
        <v>179</v>
      </c>
      <c r="AB183">
        <v>1.002</v>
      </c>
    </row>
    <row r="184" spans="3:28" x14ac:dyDescent="0.25">
      <c r="C184" s="75"/>
      <c r="F184" s="5"/>
      <c r="G184" s="3"/>
      <c r="H184" s="3"/>
      <c r="I184"/>
      <c r="J184"/>
      <c r="K184" s="3"/>
      <c r="M184"/>
      <c r="AA184">
        <v>180</v>
      </c>
      <c r="AB184">
        <v>1.002</v>
      </c>
    </row>
    <row r="185" spans="3:28" x14ac:dyDescent="0.25">
      <c r="C185" s="75"/>
      <c r="F185" s="5"/>
      <c r="G185" s="3"/>
      <c r="H185" s="3"/>
      <c r="I185"/>
      <c r="J185"/>
      <c r="K185" s="3"/>
      <c r="M185"/>
      <c r="AA185">
        <v>181</v>
      </c>
      <c r="AB185">
        <v>1.002</v>
      </c>
    </row>
    <row r="186" spans="3:28" x14ac:dyDescent="0.25">
      <c r="C186" s="75"/>
      <c r="F186" s="5"/>
      <c r="G186" s="3"/>
      <c r="H186" s="3"/>
      <c r="I186"/>
      <c r="J186"/>
      <c r="K186" s="3"/>
      <c r="M186"/>
      <c r="AA186">
        <v>182</v>
      </c>
      <c r="AB186">
        <v>1.002</v>
      </c>
    </row>
    <row r="187" spans="3:28" x14ac:dyDescent="0.25">
      <c r="C187" s="75"/>
      <c r="F187" s="5"/>
      <c r="G187" s="3"/>
      <c r="H187" s="3"/>
      <c r="I187"/>
      <c r="J187"/>
      <c r="K187" s="3"/>
      <c r="M187"/>
      <c r="AA187">
        <v>183</v>
      </c>
      <c r="AB187">
        <v>1.002</v>
      </c>
    </row>
    <row r="188" spans="3:28" x14ac:dyDescent="0.25">
      <c r="C188" s="75"/>
      <c r="F188" s="5"/>
      <c r="G188" s="3"/>
      <c r="H188" s="3"/>
      <c r="I188"/>
      <c r="J188"/>
      <c r="K188" s="3"/>
      <c r="M188"/>
      <c r="AA188">
        <v>184</v>
      </c>
      <c r="AB188">
        <v>1.002</v>
      </c>
    </row>
    <row r="189" spans="3:28" x14ac:dyDescent="0.25">
      <c r="C189" s="75"/>
      <c r="F189" s="5"/>
      <c r="G189" s="3"/>
      <c r="H189" s="3"/>
      <c r="I189"/>
      <c r="J189"/>
      <c r="K189" s="3"/>
      <c r="M189"/>
      <c r="AA189">
        <v>185</v>
      </c>
      <c r="AB189">
        <v>1.002</v>
      </c>
    </row>
    <row r="190" spans="3:28" x14ac:dyDescent="0.25">
      <c r="C190" s="75"/>
      <c r="F190" s="5"/>
      <c r="G190" s="3"/>
      <c r="H190" s="3"/>
      <c r="I190"/>
      <c r="J190"/>
      <c r="K190" s="3"/>
      <c r="M190"/>
      <c r="AA190">
        <v>186</v>
      </c>
      <c r="AB190">
        <v>1.002</v>
      </c>
    </row>
    <row r="191" spans="3:28" x14ac:dyDescent="0.25">
      <c r="C191" s="75"/>
      <c r="F191" s="5"/>
      <c r="G191" s="3"/>
      <c r="H191" s="3"/>
      <c r="I191"/>
      <c r="J191"/>
      <c r="K191" s="3"/>
      <c r="M191"/>
      <c r="AA191">
        <v>187</v>
      </c>
      <c r="AB191">
        <v>1.002</v>
      </c>
    </row>
    <row r="192" spans="3:28" x14ac:dyDescent="0.25">
      <c r="C192" s="75"/>
      <c r="F192" s="5"/>
      <c r="G192" s="3"/>
      <c r="H192" s="3"/>
      <c r="I192"/>
      <c r="J192"/>
      <c r="K192" s="3"/>
      <c r="M192"/>
      <c r="AA192">
        <v>188</v>
      </c>
      <c r="AB192">
        <v>1.0029999999999999</v>
      </c>
    </row>
    <row r="193" spans="3:28" x14ac:dyDescent="0.25">
      <c r="C193" s="75"/>
      <c r="F193" s="5"/>
      <c r="G193" s="3"/>
      <c r="H193" s="3"/>
      <c r="I193"/>
      <c r="J193"/>
      <c r="K193" s="3"/>
      <c r="M193"/>
      <c r="AA193">
        <v>189</v>
      </c>
      <c r="AB193">
        <v>1.0029999999999999</v>
      </c>
    </row>
    <row r="194" spans="3:28" x14ac:dyDescent="0.25">
      <c r="C194" s="75"/>
      <c r="F194" s="5"/>
      <c r="G194" s="3"/>
      <c r="H194" s="3"/>
      <c r="I194"/>
      <c r="J194"/>
      <c r="K194" s="3"/>
      <c r="M194"/>
      <c r="AA194">
        <v>190</v>
      </c>
      <c r="AB194">
        <v>1.0029999999999999</v>
      </c>
    </row>
    <row r="195" spans="3:28" x14ac:dyDescent="0.25">
      <c r="C195" s="75"/>
      <c r="F195" s="5"/>
      <c r="G195" s="3"/>
      <c r="H195" s="3"/>
      <c r="I195"/>
      <c r="J195"/>
      <c r="K195" s="3"/>
      <c r="M195"/>
      <c r="AA195">
        <v>191</v>
      </c>
      <c r="AB195">
        <v>1.0029999999999999</v>
      </c>
    </row>
    <row r="196" spans="3:28" x14ac:dyDescent="0.25">
      <c r="C196" s="75"/>
      <c r="F196" s="5"/>
      <c r="G196" s="3"/>
      <c r="H196" s="3"/>
      <c r="I196"/>
      <c r="J196"/>
      <c r="K196" s="3"/>
      <c r="M196"/>
      <c r="AA196">
        <v>192</v>
      </c>
      <c r="AB196">
        <v>1.0029999999999999</v>
      </c>
    </row>
    <row r="197" spans="3:28" x14ac:dyDescent="0.25">
      <c r="C197" s="75"/>
      <c r="F197" s="5"/>
      <c r="G197" s="3"/>
      <c r="H197" s="3"/>
      <c r="I197"/>
      <c r="J197"/>
      <c r="K197" s="3"/>
      <c r="M197"/>
      <c r="AA197">
        <v>193</v>
      </c>
      <c r="AB197">
        <v>1.0029999999999999</v>
      </c>
    </row>
    <row r="198" spans="3:28" x14ac:dyDescent="0.25">
      <c r="C198" s="75"/>
      <c r="F198" s="5"/>
      <c r="G198" s="3"/>
      <c r="H198" s="3"/>
      <c r="I198"/>
      <c r="J198"/>
      <c r="K198" s="3"/>
      <c r="M198"/>
      <c r="AA198">
        <v>194</v>
      </c>
      <c r="AB198">
        <v>1.0029999999999999</v>
      </c>
    </row>
    <row r="199" spans="3:28" x14ac:dyDescent="0.25">
      <c r="C199" s="75"/>
      <c r="F199" s="5"/>
      <c r="G199" s="3"/>
      <c r="H199" s="3"/>
      <c r="I199"/>
      <c r="J199"/>
      <c r="K199" s="3"/>
      <c r="M199"/>
      <c r="AA199">
        <v>195</v>
      </c>
      <c r="AB199">
        <v>1.004</v>
      </c>
    </row>
    <row r="200" spans="3:28" x14ac:dyDescent="0.25">
      <c r="C200" s="75"/>
      <c r="F200" s="5"/>
      <c r="G200" s="3"/>
      <c r="H200" s="3"/>
      <c r="I200"/>
      <c r="J200"/>
      <c r="K200" s="3"/>
      <c r="M200"/>
      <c r="AA200">
        <v>196</v>
      </c>
      <c r="AB200">
        <v>1.004</v>
      </c>
    </row>
    <row r="201" spans="3:28" x14ac:dyDescent="0.25">
      <c r="C201" s="75"/>
      <c r="F201" s="5"/>
      <c r="G201" s="3"/>
      <c r="H201" s="3"/>
      <c r="I201"/>
      <c r="J201"/>
      <c r="K201" s="3"/>
      <c r="M201"/>
      <c r="AA201">
        <v>197</v>
      </c>
      <c r="AB201">
        <v>1.004</v>
      </c>
    </row>
    <row r="202" spans="3:28" x14ac:dyDescent="0.25">
      <c r="C202" s="75"/>
      <c r="F202" s="5"/>
      <c r="G202" s="3"/>
      <c r="H202" s="3"/>
      <c r="I202"/>
      <c r="J202"/>
      <c r="K202" s="3"/>
      <c r="M202"/>
      <c r="AA202">
        <v>198</v>
      </c>
      <c r="AB202">
        <v>1.0049999999999999</v>
      </c>
    </row>
    <row r="203" spans="3:28" x14ac:dyDescent="0.25">
      <c r="C203" s="75"/>
      <c r="F203" s="5"/>
      <c r="G203" s="3"/>
      <c r="H203" s="3"/>
      <c r="I203"/>
      <c r="J203"/>
      <c r="K203" s="3"/>
      <c r="M203"/>
      <c r="AA203">
        <v>199</v>
      </c>
      <c r="AB203">
        <v>1.0049999999999999</v>
      </c>
    </row>
    <row r="204" spans="3:28" x14ac:dyDescent="0.25">
      <c r="C204" s="75"/>
      <c r="F204" s="5"/>
      <c r="G204" s="3"/>
      <c r="H204" s="3"/>
      <c r="I204"/>
      <c r="J204"/>
      <c r="K204" s="3"/>
      <c r="M204"/>
      <c r="AA204">
        <v>200</v>
      </c>
      <c r="AB204">
        <v>1.006</v>
      </c>
    </row>
    <row r="205" spans="3:28" x14ac:dyDescent="0.25">
      <c r="C205" s="75"/>
      <c r="F205" s="5"/>
      <c r="G205" s="3"/>
      <c r="H205" s="3"/>
      <c r="I205"/>
      <c r="J205"/>
      <c r="K205" s="3"/>
      <c r="M205"/>
      <c r="AA205">
        <v>201</v>
      </c>
      <c r="AB205">
        <v>1.0069999999999999</v>
      </c>
    </row>
    <row r="206" spans="3:28" x14ac:dyDescent="0.25">
      <c r="C206" s="75"/>
      <c r="F206" s="5"/>
      <c r="G206" s="3"/>
      <c r="H206" s="3"/>
      <c r="I206"/>
      <c r="J206"/>
      <c r="K206" s="3"/>
      <c r="M206"/>
      <c r="AA206">
        <v>202</v>
      </c>
      <c r="AB206">
        <v>1.008</v>
      </c>
    </row>
    <row r="207" spans="3:28" x14ac:dyDescent="0.25">
      <c r="C207" s="75"/>
      <c r="F207" s="5"/>
      <c r="G207" s="3"/>
      <c r="H207" s="3"/>
      <c r="I207"/>
      <c r="J207"/>
      <c r="K207" s="3"/>
      <c r="M207"/>
      <c r="AA207">
        <v>203</v>
      </c>
      <c r="AB207">
        <v>1.0089999999999999</v>
      </c>
    </row>
    <row r="208" spans="3:28" x14ac:dyDescent="0.25">
      <c r="C208" s="75"/>
      <c r="F208" s="5"/>
      <c r="G208" s="3"/>
      <c r="H208" s="3"/>
      <c r="I208"/>
      <c r="J208"/>
      <c r="K208" s="3"/>
      <c r="M208"/>
      <c r="AA208">
        <v>204</v>
      </c>
      <c r="AB208">
        <v>1.0109999999999999</v>
      </c>
    </row>
    <row r="209" spans="3:28" x14ac:dyDescent="0.25">
      <c r="C209" s="75"/>
      <c r="F209" s="5"/>
      <c r="G209" s="3"/>
      <c r="H209" s="3"/>
      <c r="I209"/>
      <c r="J209"/>
      <c r="K209" s="3"/>
      <c r="M209"/>
      <c r="AA209">
        <v>205</v>
      </c>
      <c r="AB209">
        <v>1.012</v>
      </c>
    </row>
    <row r="210" spans="3:28" x14ac:dyDescent="0.25">
      <c r="C210" s="75"/>
      <c r="F210" s="5"/>
      <c r="G210" s="3"/>
      <c r="H210" s="3"/>
      <c r="I210"/>
      <c r="J210"/>
      <c r="K210" s="3"/>
      <c r="M210"/>
      <c r="AA210">
        <v>206</v>
      </c>
      <c r="AB210">
        <v>1.014</v>
      </c>
    </row>
    <row r="211" spans="3:28" x14ac:dyDescent="0.25">
      <c r="C211" s="75"/>
      <c r="F211" s="5"/>
      <c r="G211" s="3"/>
      <c r="H211" s="3"/>
      <c r="I211"/>
      <c r="J211"/>
      <c r="K211" s="3"/>
      <c r="M211"/>
      <c r="AA211">
        <v>207</v>
      </c>
      <c r="AB211">
        <v>1.016</v>
      </c>
    </row>
    <row r="212" spans="3:28" x14ac:dyDescent="0.25">
      <c r="C212" s="75"/>
      <c r="F212" s="5"/>
      <c r="G212" s="3"/>
      <c r="H212" s="3"/>
      <c r="I212"/>
      <c r="J212"/>
      <c r="K212" s="3"/>
      <c r="M212"/>
      <c r="AA212">
        <v>208</v>
      </c>
      <c r="AB212">
        <v>1.0189999999999999</v>
      </c>
    </row>
    <row r="213" spans="3:28" x14ac:dyDescent="0.25">
      <c r="F213" s="5"/>
      <c r="G213" s="3"/>
      <c r="H213" s="3"/>
      <c r="I213"/>
      <c r="J213"/>
      <c r="K213" s="3"/>
      <c r="M213"/>
      <c r="AA213">
        <v>209</v>
      </c>
      <c r="AB213">
        <v>1.022</v>
      </c>
    </row>
    <row r="214" spans="3:28" x14ac:dyDescent="0.25">
      <c r="F214" s="5"/>
      <c r="G214" s="3"/>
      <c r="H214" s="3"/>
      <c r="I214"/>
      <c r="J214"/>
      <c r="K214" s="3"/>
      <c r="M214"/>
      <c r="AA214">
        <v>210</v>
      </c>
      <c r="AB214">
        <v>1.0249999999999999</v>
      </c>
    </row>
    <row r="215" spans="3:28" x14ac:dyDescent="0.25">
      <c r="F215" s="5"/>
      <c r="G215" s="3"/>
      <c r="H215" s="3"/>
      <c r="I215"/>
      <c r="J215"/>
      <c r="K215" s="3"/>
      <c r="M215"/>
      <c r="AA215">
        <v>211</v>
      </c>
      <c r="AB215">
        <v>1.0289999999999999</v>
      </c>
    </row>
    <row r="216" spans="3:28" x14ac:dyDescent="0.25">
      <c r="F216" s="5"/>
      <c r="G216" s="3"/>
      <c r="H216" s="3"/>
      <c r="I216"/>
      <c r="J216"/>
      <c r="K216" s="3"/>
      <c r="M216"/>
      <c r="AA216">
        <v>212</v>
      </c>
      <c r="AB216">
        <v>1.0329999999999999</v>
      </c>
    </row>
    <row r="217" spans="3:28" x14ac:dyDescent="0.25">
      <c r="F217" s="5"/>
      <c r="G217" s="3"/>
      <c r="H217" s="3"/>
      <c r="I217"/>
      <c r="J217"/>
      <c r="K217" s="3"/>
      <c r="M217"/>
      <c r="AA217">
        <v>213</v>
      </c>
      <c r="AB217">
        <v>1.038</v>
      </c>
    </row>
    <row r="218" spans="3:28" x14ac:dyDescent="0.25">
      <c r="G218" s="5"/>
      <c r="H218" s="3"/>
      <c r="J218"/>
      <c r="L218" s="3"/>
      <c r="M218"/>
      <c r="AA218">
        <v>214</v>
      </c>
      <c r="AB218">
        <v>1.0429999999999999</v>
      </c>
    </row>
    <row r="219" spans="3:28" x14ac:dyDescent="0.25">
      <c r="G219" s="5"/>
      <c r="H219" s="3"/>
      <c r="J219"/>
      <c r="L219" s="3"/>
      <c r="M219"/>
      <c r="AA219">
        <v>215</v>
      </c>
      <c r="AB219">
        <v>1.0489999999999999</v>
      </c>
    </row>
    <row r="220" spans="3:28" x14ac:dyDescent="0.25">
      <c r="G220" s="5"/>
      <c r="H220" s="3"/>
      <c r="J220"/>
      <c r="L220" s="3"/>
      <c r="M220"/>
      <c r="AA220">
        <v>216</v>
      </c>
      <c r="AB220">
        <v>1.056</v>
      </c>
    </row>
    <row r="221" spans="3:28" x14ac:dyDescent="0.25">
      <c r="G221" s="5"/>
      <c r="H221" s="3"/>
      <c r="J221"/>
      <c r="L221" s="3"/>
      <c r="M221"/>
      <c r="AA221">
        <v>217</v>
      </c>
      <c r="AB221">
        <v>1.0629999999999999</v>
      </c>
    </row>
    <row r="222" spans="3:28" x14ac:dyDescent="0.25">
      <c r="G222" s="5"/>
      <c r="H222" s="3"/>
      <c r="J222"/>
      <c r="L222" s="3"/>
      <c r="M222"/>
      <c r="AA222">
        <v>218</v>
      </c>
      <c r="AB222">
        <v>1.0720000000000001</v>
      </c>
    </row>
    <row r="223" spans="3:28" x14ac:dyDescent="0.25">
      <c r="G223" s="5"/>
      <c r="H223" s="3"/>
      <c r="J223"/>
      <c r="L223" s="3"/>
      <c r="M223"/>
      <c r="AA223">
        <v>219</v>
      </c>
      <c r="AB223">
        <v>1.081</v>
      </c>
    </row>
    <row r="224" spans="3:28" x14ac:dyDescent="0.25">
      <c r="G224" s="5"/>
      <c r="H224" s="3"/>
      <c r="J224"/>
      <c r="L224" s="3"/>
      <c r="M224"/>
      <c r="AA224">
        <v>220</v>
      </c>
      <c r="AB224">
        <v>1.091</v>
      </c>
    </row>
    <row r="225" spans="7:28" x14ac:dyDescent="0.25">
      <c r="G225" s="5"/>
      <c r="H225" s="3"/>
      <c r="J225"/>
      <c r="L225" s="3"/>
      <c r="M225"/>
      <c r="AA225">
        <v>221</v>
      </c>
      <c r="AB225">
        <v>1.101</v>
      </c>
    </row>
    <row r="226" spans="7:28" x14ac:dyDescent="0.25">
      <c r="G226" s="5"/>
      <c r="H226" s="3"/>
      <c r="J226"/>
      <c r="L226" s="3"/>
      <c r="M226"/>
      <c r="AA226">
        <v>222</v>
      </c>
      <c r="AB226">
        <v>1.113</v>
      </c>
    </row>
    <row r="227" spans="7:28" x14ac:dyDescent="0.25">
      <c r="G227" s="5"/>
      <c r="H227" s="3"/>
      <c r="J227"/>
      <c r="L227" s="3"/>
      <c r="M227"/>
      <c r="AA227">
        <v>223</v>
      </c>
      <c r="AB227">
        <v>1.1259999999999999</v>
      </c>
    </row>
    <row r="228" spans="7:28" x14ac:dyDescent="0.25">
      <c r="G228" s="5"/>
      <c r="H228" s="3"/>
      <c r="J228"/>
      <c r="L228" s="3"/>
      <c r="M228"/>
      <c r="AA228">
        <v>224</v>
      </c>
      <c r="AB228">
        <v>1.139</v>
      </c>
    </row>
    <row r="229" spans="7:28" x14ac:dyDescent="0.25">
      <c r="G229" s="5"/>
      <c r="H229" s="3"/>
      <c r="J229"/>
      <c r="L229" s="3"/>
      <c r="M229"/>
      <c r="AA229">
        <v>225</v>
      </c>
      <c r="AB229">
        <v>1.1539999999999999</v>
      </c>
    </row>
    <row r="230" spans="7:28" x14ac:dyDescent="0.25">
      <c r="G230" s="5"/>
      <c r="H230" s="3"/>
      <c r="J230"/>
      <c r="L230" s="3"/>
      <c r="M230"/>
      <c r="AA230">
        <v>226</v>
      </c>
      <c r="AB230">
        <v>1.169</v>
      </c>
    </row>
    <row r="231" spans="7:28" x14ac:dyDescent="0.25">
      <c r="G231" s="5"/>
      <c r="H231" s="3"/>
      <c r="J231"/>
      <c r="L231" s="3"/>
      <c r="M231"/>
      <c r="AA231">
        <v>227</v>
      </c>
      <c r="AB231">
        <v>1.1850000000000001</v>
      </c>
    </row>
    <row r="232" spans="7:28" x14ac:dyDescent="0.25">
      <c r="G232" s="5"/>
      <c r="H232" s="3"/>
      <c r="J232"/>
      <c r="L232" s="3"/>
      <c r="M232"/>
      <c r="AA232">
        <v>228</v>
      </c>
      <c r="AB232">
        <v>1.202</v>
      </c>
    </row>
    <row r="233" spans="7:28" x14ac:dyDescent="0.25">
      <c r="G233" s="5"/>
      <c r="H233" s="3"/>
      <c r="J233"/>
      <c r="L233" s="3"/>
      <c r="M233"/>
      <c r="AA233">
        <v>229</v>
      </c>
      <c r="AB233">
        <v>1.22</v>
      </c>
    </row>
    <row r="234" spans="7:28" x14ac:dyDescent="0.25">
      <c r="G234" s="5"/>
      <c r="H234" s="3"/>
      <c r="J234"/>
      <c r="L234" s="3"/>
      <c r="M234"/>
      <c r="AA234">
        <v>230</v>
      </c>
      <c r="AB234">
        <v>1.238</v>
      </c>
    </row>
    <row r="235" spans="7:28" x14ac:dyDescent="0.25">
      <c r="G235" s="5"/>
      <c r="H235" s="3"/>
      <c r="J235"/>
      <c r="L235" s="3"/>
      <c r="M235"/>
      <c r="AA235">
        <v>231</v>
      </c>
      <c r="AB235">
        <v>1.2569999999999999</v>
      </c>
    </row>
    <row r="236" spans="7:28" x14ac:dyDescent="0.25">
      <c r="G236" s="5"/>
      <c r="H236" s="3"/>
      <c r="J236"/>
      <c r="L236" s="3"/>
      <c r="M236"/>
      <c r="AA236">
        <v>232</v>
      </c>
      <c r="AB236">
        <v>1.2749999999999999</v>
      </c>
    </row>
    <row r="237" spans="7:28" x14ac:dyDescent="0.25">
      <c r="G237" s="5"/>
      <c r="H237" s="3"/>
      <c r="J237"/>
      <c r="L237" s="3"/>
      <c r="M237"/>
      <c r="AA237">
        <v>233</v>
      </c>
      <c r="AB237">
        <v>1.2929999999999999</v>
      </c>
    </row>
    <row r="238" spans="7:28" x14ac:dyDescent="0.25">
      <c r="G238" s="5"/>
      <c r="H238" s="3"/>
      <c r="J238"/>
      <c r="L238" s="3"/>
      <c r="M238"/>
      <c r="AA238">
        <v>234</v>
      </c>
      <c r="AB238">
        <v>1.3089999999999999</v>
      </c>
    </row>
    <row r="239" spans="7:28" x14ac:dyDescent="0.25">
      <c r="G239" s="5"/>
      <c r="H239" s="3"/>
      <c r="J239"/>
      <c r="L239" s="3"/>
      <c r="M239"/>
      <c r="AA239">
        <v>235</v>
      </c>
      <c r="AB239">
        <v>1.325</v>
      </c>
    </row>
    <row r="240" spans="7:28" x14ac:dyDescent="0.25">
      <c r="G240" s="5"/>
      <c r="H240" s="3"/>
      <c r="J240"/>
      <c r="L240" s="3"/>
      <c r="M240"/>
      <c r="AA240">
        <v>236</v>
      </c>
      <c r="AB240">
        <v>1.34</v>
      </c>
    </row>
    <row r="241" spans="7:28" x14ac:dyDescent="0.25">
      <c r="G241" s="5"/>
      <c r="H241" s="3"/>
      <c r="J241"/>
      <c r="L241" s="3"/>
      <c r="M241"/>
      <c r="AA241">
        <v>237</v>
      </c>
      <c r="AB241">
        <v>1.3540000000000001</v>
      </c>
    </row>
    <row r="242" spans="7:28" x14ac:dyDescent="0.25">
      <c r="G242" s="5"/>
      <c r="H242" s="3"/>
      <c r="J242"/>
      <c r="L242" s="3"/>
      <c r="M242"/>
      <c r="AA242">
        <v>238</v>
      </c>
      <c r="AB242">
        <v>1.3640000000000001</v>
      </c>
    </row>
    <row r="243" spans="7:28" x14ac:dyDescent="0.25">
      <c r="G243" s="5"/>
      <c r="H243" s="3"/>
      <c r="J243"/>
      <c r="L243" s="3"/>
      <c r="M243"/>
      <c r="AA243">
        <v>239</v>
      </c>
      <c r="AB243">
        <v>1.371</v>
      </c>
    </row>
    <row r="244" spans="7:28" x14ac:dyDescent="0.25">
      <c r="G244" s="5"/>
      <c r="H244" s="3"/>
      <c r="J244"/>
      <c r="L244" s="3"/>
      <c r="M244"/>
      <c r="AA244">
        <v>240</v>
      </c>
      <c r="AB244">
        <v>1.373</v>
      </c>
    </row>
    <row r="245" spans="7:28" x14ac:dyDescent="0.25">
      <c r="G245" s="5"/>
      <c r="H245" s="3"/>
      <c r="J245"/>
      <c r="L245" s="3"/>
      <c r="M245"/>
      <c r="AA245">
        <v>241</v>
      </c>
      <c r="AB245">
        <v>1.3680000000000001</v>
      </c>
    </row>
    <row r="246" spans="7:28" x14ac:dyDescent="0.25">
      <c r="G246" s="5"/>
      <c r="H246" s="3"/>
      <c r="J246"/>
      <c r="L246" s="3"/>
      <c r="M246"/>
      <c r="AA246">
        <v>242</v>
      </c>
      <c r="AB246">
        <v>1.3560000000000001</v>
      </c>
    </row>
    <row r="247" spans="7:28" x14ac:dyDescent="0.25">
      <c r="G247" s="5"/>
      <c r="H247" s="3"/>
      <c r="J247"/>
      <c r="L247" s="3"/>
      <c r="M247"/>
      <c r="AA247">
        <v>243</v>
      </c>
      <c r="AB247">
        <v>1.3380000000000001</v>
      </c>
    </row>
    <row r="248" spans="7:28" x14ac:dyDescent="0.25">
      <c r="G248" s="5"/>
      <c r="H248" s="3"/>
      <c r="J248"/>
      <c r="L248" s="3"/>
      <c r="M248"/>
      <c r="AA248">
        <v>244</v>
      </c>
      <c r="AB248">
        <v>1.3149999999999999</v>
      </c>
    </row>
    <row r="249" spans="7:28" x14ac:dyDescent="0.25">
      <c r="G249" s="5"/>
      <c r="H249" s="3"/>
      <c r="J249"/>
      <c r="L249" s="3"/>
      <c r="M249"/>
      <c r="AA249">
        <v>245</v>
      </c>
      <c r="AB249">
        <v>1.29</v>
      </c>
    </row>
    <row r="250" spans="7:28" x14ac:dyDescent="0.25">
      <c r="G250" s="5"/>
      <c r="H250" s="3"/>
      <c r="J250"/>
      <c r="L250" s="3"/>
      <c r="M250"/>
      <c r="AA250">
        <v>246</v>
      </c>
      <c r="AB250">
        <v>1.258</v>
      </c>
    </row>
    <row r="251" spans="7:28" x14ac:dyDescent="0.25">
      <c r="G251" s="5"/>
      <c r="H251" s="3"/>
      <c r="J251"/>
      <c r="L251" s="3"/>
      <c r="M251"/>
      <c r="AA251">
        <v>247</v>
      </c>
      <c r="AB251">
        <v>1.22</v>
      </c>
    </row>
    <row r="252" spans="7:28" x14ac:dyDescent="0.25">
      <c r="G252" s="5"/>
      <c r="H252" s="3"/>
      <c r="J252"/>
      <c r="L252" s="3"/>
      <c r="M252"/>
      <c r="AA252">
        <v>248</v>
      </c>
      <c r="AB252">
        <v>1.177</v>
      </c>
    </row>
    <row r="253" spans="7:28" x14ac:dyDescent="0.25">
      <c r="L253" s="3"/>
      <c r="M253"/>
      <c r="AA253">
        <v>249</v>
      </c>
      <c r="AB253">
        <v>1.129</v>
      </c>
    </row>
    <row r="254" spans="7:28" x14ac:dyDescent="0.25">
      <c r="AA254">
        <v>250</v>
      </c>
      <c r="AB254">
        <v>1.0840000000000001</v>
      </c>
    </row>
    <row r="255" spans="7:28" x14ac:dyDescent="0.25">
      <c r="AA255">
        <v>251</v>
      </c>
      <c r="AB255">
        <v>1.0349999999999999</v>
      </c>
    </row>
    <row r="256" spans="7:28" x14ac:dyDescent="0.25">
      <c r="AA256">
        <v>252</v>
      </c>
      <c r="AB256">
        <v>0.97899999999999998</v>
      </c>
    </row>
    <row r="257" spans="27:28" x14ac:dyDescent="0.25">
      <c r="AA257">
        <v>253</v>
      </c>
      <c r="AB257">
        <v>0.92300000000000004</v>
      </c>
    </row>
    <row r="258" spans="27:28" x14ac:dyDescent="0.25">
      <c r="AA258">
        <v>254</v>
      </c>
      <c r="AB258">
        <v>0.873</v>
      </c>
    </row>
    <row r="259" spans="27:28" x14ac:dyDescent="0.25">
      <c r="AA259">
        <v>255</v>
      </c>
      <c r="AB259">
        <v>0.82099999999999995</v>
      </c>
    </row>
    <row r="260" spans="27:28" x14ac:dyDescent="0.25">
      <c r="AA260">
        <v>256</v>
      </c>
      <c r="AB260">
        <v>0.77</v>
      </c>
    </row>
    <row r="261" spans="27:28" x14ac:dyDescent="0.25">
      <c r="AA261">
        <v>257</v>
      </c>
      <c r="AB261">
        <v>0.72199999999999998</v>
      </c>
    </row>
    <row r="262" spans="27:28" x14ac:dyDescent="0.25">
      <c r="AA262">
        <v>258</v>
      </c>
      <c r="AB262">
        <v>0.67800000000000005</v>
      </c>
    </row>
    <row r="263" spans="27:28" x14ac:dyDescent="0.25">
      <c r="AA263">
        <v>259</v>
      </c>
      <c r="AB263">
        <v>0.63300000000000001</v>
      </c>
    </row>
    <row r="264" spans="27:28" x14ac:dyDescent="0.25">
      <c r="AA264">
        <v>260</v>
      </c>
      <c r="AB264">
        <v>0.58799999999999997</v>
      </c>
    </row>
    <row r="265" spans="27:28" x14ac:dyDescent="0.25">
      <c r="AA265">
        <v>261</v>
      </c>
      <c r="AB265">
        <v>0.55000000000000004</v>
      </c>
    </row>
    <row r="266" spans="27:28" x14ac:dyDescent="0.25">
      <c r="AA266">
        <v>262</v>
      </c>
      <c r="AB266">
        <v>0.51300000000000001</v>
      </c>
    </row>
    <row r="267" spans="27:28" x14ac:dyDescent="0.25">
      <c r="AA267">
        <v>263</v>
      </c>
      <c r="AB267">
        <v>0.47799999999999998</v>
      </c>
    </row>
    <row r="268" spans="27:28" x14ac:dyDescent="0.25">
      <c r="AA268">
        <v>264</v>
      </c>
      <c r="AB268">
        <v>0.44500000000000001</v>
      </c>
    </row>
    <row r="269" spans="27:28" x14ac:dyDescent="0.25">
      <c r="AA269">
        <v>265</v>
      </c>
      <c r="AB269">
        <v>0.41799999999999998</v>
      </c>
    </row>
    <row r="270" spans="27:28" x14ac:dyDescent="0.25">
      <c r="AA270">
        <v>266</v>
      </c>
      <c r="AB270">
        <v>0.39200000000000002</v>
      </c>
    </row>
    <row r="271" spans="27:28" x14ac:dyDescent="0.25">
      <c r="AA271">
        <v>267</v>
      </c>
      <c r="AB271">
        <v>0.36499999999999999</v>
      </c>
    </row>
    <row r="272" spans="27:28" x14ac:dyDescent="0.25">
      <c r="AA272">
        <v>268</v>
      </c>
      <c r="AB272">
        <v>0.34</v>
      </c>
    </row>
    <row r="273" spans="27:28" x14ac:dyDescent="0.25">
      <c r="AA273">
        <v>269</v>
      </c>
      <c r="AB273">
        <v>0.32</v>
      </c>
    </row>
    <row r="274" spans="27:28" x14ac:dyDescent="0.25">
      <c r="AA274">
        <v>270</v>
      </c>
      <c r="AB274">
        <v>0.30099999999999999</v>
      </c>
    </row>
    <row r="275" spans="27:28" x14ac:dyDescent="0.25">
      <c r="AA275">
        <v>271</v>
      </c>
      <c r="AB275">
        <v>0.28299999999999997</v>
      </c>
    </row>
    <row r="276" spans="27:28" x14ac:dyDescent="0.25">
      <c r="AA276">
        <v>272</v>
      </c>
      <c r="AB276">
        <v>0.26500000000000001</v>
      </c>
    </row>
    <row r="277" spans="27:28" x14ac:dyDescent="0.25">
      <c r="AA277">
        <v>273</v>
      </c>
      <c r="AB277">
        <v>0.252</v>
      </c>
    </row>
    <row r="278" spans="27:28" x14ac:dyDescent="0.25">
      <c r="AA278">
        <v>274</v>
      </c>
      <c r="AB278">
        <v>0.23899999999999999</v>
      </c>
    </row>
    <row r="279" spans="27:28" x14ac:dyDescent="0.25">
      <c r="AA279">
        <v>275</v>
      </c>
      <c r="AB279">
        <v>0.22600000000000001</v>
      </c>
    </row>
    <row r="280" spans="27:28" x14ac:dyDescent="0.25">
      <c r="AA280">
        <v>276</v>
      </c>
      <c r="AB280">
        <v>0.21299999999999999</v>
      </c>
    </row>
    <row r="281" spans="27:28" x14ac:dyDescent="0.25">
      <c r="AA281">
        <v>277</v>
      </c>
      <c r="AB281">
        <v>0.20100000000000001</v>
      </c>
    </row>
    <row r="282" spans="27:28" x14ac:dyDescent="0.25">
      <c r="AA282">
        <v>278</v>
      </c>
      <c r="AB282">
        <v>0.193</v>
      </c>
    </row>
    <row r="283" spans="27:28" x14ac:dyDescent="0.25">
      <c r="AA283">
        <v>279</v>
      </c>
      <c r="AB283">
        <v>0.184</v>
      </c>
    </row>
    <row r="284" spans="27:28" x14ac:dyDescent="0.25">
      <c r="AA284">
        <v>280</v>
      </c>
      <c r="AB284">
        <v>0.17599999999999999</v>
      </c>
    </row>
    <row r="285" spans="27:28" x14ac:dyDescent="0.25">
      <c r="AA285">
        <v>281</v>
      </c>
      <c r="AB285">
        <v>0.16800000000000001</v>
      </c>
    </row>
    <row r="286" spans="27:28" x14ac:dyDescent="0.25">
      <c r="AA286">
        <v>282</v>
      </c>
      <c r="AB286">
        <v>0.16</v>
      </c>
    </row>
    <row r="287" spans="27:28" x14ac:dyDescent="0.25">
      <c r="AA287">
        <v>283</v>
      </c>
      <c r="AB287">
        <v>0.154</v>
      </c>
    </row>
    <row r="288" spans="27:28" x14ac:dyDescent="0.25">
      <c r="AA288">
        <v>284</v>
      </c>
      <c r="AB288">
        <v>0.14899999999999999</v>
      </c>
    </row>
    <row r="289" spans="27:28" x14ac:dyDescent="0.25">
      <c r="AA289">
        <v>285</v>
      </c>
      <c r="AB289">
        <v>0.14399999999999999</v>
      </c>
    </row>
    <row r="290" spans="27:28" x14ac:dyDescent="0.25">
      <c r="AA290">
        <v>286</v>
      </c>
      <c r="AB290">
        <v>0.14000000000000001</v>
      </c>
    </row>
    <row r="291" spans="27:28" x14ac:dyDescent="0.25">
      <c r="AA291">
        <v>287</v>
      </c>
      <c r="AB291">
        <v>0.13400000000000001</v>
      </c>
    </row>
    <row r="292" spans="27:28" x14ac:dyDescent="0.25">
      <c r="AA292">
        <v>288</v>
      </c>
      <c r="AB292">
        <v>0.129</v>
      </c>
    </row>
    <row r="293" spans="27:28" x14ac:dyDescent="0.25">
      <c r="AA293">
        <v>289</v>
      </c>
      <c r="AB293">
        <v>0.124</v>
      </c>
    </row>
    <row r="294" spans="27:28" x14ac:dyDescent="0.25">
      <c r="AA294">
        <v>290</v>
      </c>
      <c r="AB294">
        <v>0.12</v>
      </c>
    </row>
    <row r="295" spans="27:28" x14ac:dyDescent="0.25">
      <c r="AA295">
        <v>291</v>
      </c>
      <c r="AB295">
        <v>0.11799999999999999</v>
      </c>
    </row>
    <row r="296" spans="27:28" x14ac:dyDescent="0.25">
      <c r="AA296">
        <v>292</v>
      </c>
      <c r="AB296">
        <v>0.115</v>
      </c>
    </row>
    <row r="297" spans="27:28" x14ac:dyDescent="0.25">
      <c r="AA297">
        <v>293</v>
      </c>
      <c r="AB297">
        <v>0.112</v>
      </c>
    </row>
    <row r="298" spans="27:28" x14ac:dyDescent="0.25">
      <c r="AA298">
        <v>294</v>
      </c>
      <c r="AB298">
        <v>0.109</v>
      </c>
    </row>
    <row r="299" spans="27:28" x14ac:dyDescent="0.25">
      <c r="AA299">
        <v>295</v>
      </c>
      <c r="AB299">
        <v>0.106</v>
      </c>
    </row>
    <row r="300" spans="27:28" x14ac:dyDescent="0.25">
      <c r="AA300">
        <v>296</v>
      </c>
      <c r="AB300">
        <v>0.104</v>
      </c>
    </row>
    <row r="301" spans="27:28" x14ac:dyDescent="0.25">
      <c r="AA301">
        <v>297</v>
      </c>
      <c r="AB301">
        <v>0.10100000000000001</v>
      </c>
    </row>
    <row r="302" spans="27:28" x14ac:dyDescent="0.25">
      <c r="AA302">
        <v>298</v>
      </c>
      <c r="AB302">
        <v>9.8000000000000004E-2</v>
      </c>
    </row>
    <row r="303" spans="27:28" x14ac:dyDescent="0.25">
      <c r="AA303">
        <v>299</v>
      </c>
      <c r="AB303">
        <v>9.7000000000000003E-2</v>
      </c>
    </row>
    <row r="304" spans="27:28" x14ac:dyDescent="0.25">
      <c r="AA304">
        <v>300</v>
      </c>
      <c r="AB304">
        <v>9.5000000000000001E-2</v>
      </c>
    </row>
    <row r="305" spans="27:28" x14ac:dyDescent="0.25">
      <c r="AA305">
        <v>301</v>
      </c>
      <c r="AB305">
        <v>9.4E-2</v>
      </c>
    </row>
    <row r="306" spans="27:28" x14ac:dyDescent="0.25">
      <c r="AA306">
        <v>302</v>
      </c>
      <c r="AB306">
        <v>9.2999999999999999E-2</v>
      </c>
    </row>
    <row r="307" spans="27:28" x14ac:dyDescent="0.25">
      <c r="AA307">
        <v>303</v>
      </c>
      <c r="AB307">
        <v>9.1999999999999998E-2</v>
      </c>
    </row>
    <row r="308" spans="27:28" x14ac:dyDescent="0.25">
      <c r="AA308">
        <v>304</v>
      </c>
      <c r="AB308">
        <v>9.0999999999999998E-2</v>
      </c>
    </row>
    <row r="309" spans="27:28" x14ac:dyDescent="0.25">
      <c r="AA309">
        <v>305</v>
      </c>
      <c r="AB309">
        <v>8.8999999999999996E-2</v>
      </c>
    </row>
    <row r="310" spans="27:28" x14ac:dyDescent="0.25">
      <c r="AA310">
        <v>306</v>
      </c>
      <c r="AB310">
        <v>8.6999999999999994E-2</v>
      </c>
    </row>
    <row r="311" spans="27:28" x14ac:dyDescent="0.25">
      <c r="AA311">
        <v>307</v>
      </c>
      <c r="AB311">
        <v>8.5999999999999993E-2</v>
      </c>
    </row>
    <row r="312" spans="27:28" x14ac:dyDescent="0.25">
      <c r="AA312">
        <v>308</v>
      </c>
      <c r="AB312">
        <v>8.4000000000000005E-2</v>
      </c>
    </row>
    <row r="313" spans="27:28" x14ac:dyDescent="0.25">
      <c r="AA313">
        <v>309</v>
      </c>
      <c r="AB313">
        <v>8.2000000000000003E-2</v>
      </c>
    </row>
    <row r="314" spans="27:28" x14ac:dyDescent="0.25">
      <c r="AA314">
        <v>310</v>
      </c>
      <c r="AB314">
        <v>8.1000000000000003E-2</v>
      </c>
    </row>
    <row r="315" spans="27:28" x14ac:dyDescent="0.25">
      <c r="AA315">
        <v>311</v>
      </c>
      <c r="AB315">
        <v>0.08</v>
      </c>
    </row>
    <row r="316" spans="27:28" x14ac:dyDescent="0.25">
      <c r="AA316">
        <v>312</v>
      </c>
      <c r="AB316">
        <v>0.08</v>
      </c>
    </row>
    <row r="317" spans="27:28" x14ac:dyDescent="0.25">
      <c r="AA317">
        <v>313</v>
      </c>
      <c r="AB317">
        <v>7.9000000000000001E-2</v>
      </c>
    </row>
    <row r="318" spans="27:28" x14ac:dyDescent="0.25">
      <c r="AA318">
        <v>314</v>
      </c>
      <c r="AB318">
        <v>7.8E-2</v>
      </c>
    </row>
    <row r="319" spans="27:28" x14ac:dyDescent="0.25">
      <c r="AA319">
        <v>315</v>
      </c>
      <c r="AB319">
        <v>7.8E-2</v>
      </c>
    </row>
    <row r="320" spans="27:28" x14ac:dyDescent="0.25">
      <c r="AA320">
        <v>316</v>
      </c>
      <c r="AB320">
        <v>7.6999999999999999E-2</v>
      </c>
    </row>
    <row r="321" spans="27:28" x14ac:dyDescent="0.25">
      <c r="AA321">
        <v>317</v>
      </c>
      <c r="AB321">
        <v>7.6999999999999999E-2</v>
      </c>
    </row>
    <row r="322" spans="27:28" x14ac:dyDescent="0.25">
      <c r="AA322">
        <v>318</v>
      </c>
      <c r="AB322">
        <v>7.5999999999999998E-2</v>
      </c>
    </row>
    <row r="323" spans="27:28" x14ac:dyDescent="0.25">
      <c r="AA323">
        <v>319</v>
      </c>
      <c r="AB323">
        <v>7.5999999999999998E-2</v>
      </c>
    </row>
    <row r="324" spans="27:28" x14ac:dyDescent="0.25">
      <c r="AA324">
        <v>320</v>
      </c>
      <c r="AB324">
        <v>7.4999999999999997E-2</v>
      </c>
    </row>
    <row r="325" spans="27:28" x14ac:dyDescent="0.25">
      <c r="AA325">
        <v>321</v>
      </c>
      <c r="AB325">
        <v>7.4999999999999997E-2</v>
      </c>
    </row>
    <row r="326" spans="27:28" x14ac:dyDescent="0.25">
      <c r="AA326">
        <v>322</v>
      </c>
      <c r="AB326">
        <v>7.3999999999999996E-2</v>
      </c>
    </row>
    <row r="327" spans="27:28" x14ac:dyDescent="0.25">
      <c r="AA327">
        <v>323</v>
      </c>
      <c r="AB327">
        <v>7.3999999999999996E-2</v>
      </c>
    </row>
    <row r="328" spans="27:28" x14ac:dyDescent="0.25">
      <c r="AA328">
        <v>324</v>
      </c>
      <c r="AB328">
        <v>7.4999999999999997E-2</v>
      </c>
    </row>
    <row r="329" spans="27:28" x14ac:dyDescent="0.25">
      <c r="AA329">
        <v>325</v>
      </c>
      <c r="AB329">
        <v>7.6999999999999999E-2</v>
      </c>
    </row>
    <row r="330" spans="27:28" x14ac:dyDescent="0.25">
      <c r="AA330">
        <v>326</v>
      </c>
      <c r="AB330">
        <v>8.1000000000000003E-2</v>
      </c>
    </row>
    <row r="331" spans="27:28" x14ac:dyDescent="0.25">
      <c r="AA331">
        <v>327</v>
      </c>
      <c r="AB331">
        <v>8.5000000000000006E-2</v>
      </c>
    </row>
    <row r="332" spans="27:28" x14ac:dyDescent="0.25">
      <c r="AA332">
        <v>328</v>
      </c>
      <c r="AB332">
        <v>9.0999999999999998E-2</v>
      </c>
    </row>
    <row r="333" spans="27:28" x14ac:dyDescent="0.25">
      <c r="AA333">
        <v>329</v>
      </c>
      <c r="AB333">
        <v>0.10199999999999999</v>
      </c>
    </row>
    <row r="334" spans="27:28" x14ac:dyDescent="0.25">
      <c r="AA334">
        <v>330</v>
      </c>
      <c r="AB334">
        <v>0.14199999999999999</v>
      </c>
    </row>
    <row r="335" spans="27:28" x14ac:dyDescent="0.25">
      <c r="AA335">
        <v>331</v>
      </c>
      <c r="AB335">
        <v>0.312</v>
      </c>
    </row>
    <row r="336" spans="27:28" x14ac:dyDescent="0.25">
      <c r="AA336">
        <v>332</v>
      </c>
      <c r="AB336">
        <v>146.69399999999999</v>
      </c>
    </row>
    <row r="337" spans="27:28" x14ac:dyDescent="0.25">
      <c r="AA337">
        <v>333</v>
      </c>
      <c r="AB337">
        <v>20.422999999999998</v>
      </c>
    </row>
    <row r="338" spans="27:28" x14ac:dyDescent="0.25">
      <c r="AA338">
        <v>334</v>
      </c>
      <c r="AB338">
        <v>10.846</v>
      </c>
    </row>
    <row r="339" spans="27:28" x14ac:dyDescent="0.25">
      <c r="AA339">
        <v>335</v>
      </c>
      <c r="AB339">
        <v>7.5190000000000001</v>
      </c>
    </row>
    <row r="340" spans="27:28" x14ac:dyDescent="0.25">
      <c r="AA340">
        <v>336</v>
      </c>
      <c r="AB340">
        <v>6.2380000000000004</v>
      </c>
    </row>
    <row r="341" spans="27:28" x14ac:dyDescent="0.25">
      <c r="AA341">
        <v>337</v>
      </c>
      <c r="AB341">
        <v>5.48</v>
      </c>
    </row>
    <row r="342" spans="27:28" x14ac:dyDescent="0.25">
      <c r="AA342">
        <v>338</v>
      </c>
      <c r="AB342">
        <v>4.78</v>
      </c>
    </row>
    <row r="343" spans="27:28" x14ac:dyDescent="0.25">
      <c r="AA343">
        <v>339</v>
      </c>
      <c r="AB343">
        <v>3.6869999999999998</v>
      </c>
    </row>
    <row r="344" spans="27:28" x14ac:dyDescent="0.25">
      <c r="AA344">
        <v>340</v>
      </c>
      <c r="AB344">
        <v>2.9119999999999999</v>
      </c>
    </row>
    <row r="345" spans="27:28" x14ac:dyDescent="0.25">
      <c r="AA345">
        <v>341</v>
      </c>
      <c r="AB345">
        <v>2.41</v>
      </c>
    </row>
    <row r="346" spans="27:28" x14ac:dyDescent="0.25">
      <c r="AA346">
        <v>342</v>
      </c>
      <c r="AB346">
        <v>2.2269999999999999</v>
      </c>
    </row>
    <row r="347" spans="27:28" x14ac:dyDescent="0.25">
      <c r="AA347">
        <v>343</v>
      </c>
      <c r="AB347">
        <v>2.218</v>
      </c>
    </row>
    <row r="348" spans="27:28" x14ac:dyDescent="0.25">
      <c r="AA348">
        <v>344</v>
      </c>
      <c r="AB348">
        <v>2.3250000000000002</v>
      </c>
    </row>
    <row r="349" spans="27:28" x14ac:dyDescent="0.25">
      <c r="AA349">
        <v>345</v>
      </c>
      <c r="AB349">
        <v>2.423</v>
      </c>
    </row>
    <row r="350" spans="27:28" x14ac:dyDescent="0.25">
      <c r="AA350">
        <v>346</v>
      </c>
      <c r="AB350">
        <v>2.2589999999999999</v>
      </c>
    </row>
    <row r="351" spans="27:28" x14ac:dyDescent="0.25">
      <c r="AA351">
        <v>347</v>
      </c>
      <c r="AB351">
        <v>2.4740000000000002</v>
      </c>
    </row>
    <row r="352" spans="27:28" x14ac:dyDescent="0.25">
      <c r="AA352">
        <v>348</v>
      </c>
      <c r="AB352">
        <v>2.875</v>
      </c>
    </row>
    <row r="353" spans="27:28" x14ac:dyDescent="0.25">
      <c r="AA353">
        <v>349</v>
      </c>
      <c r="AB353">
        <v>3.4769999999999999</v>
      </c>
    </row>
    <row r="354" spans="27:28" x14ac:dyDescent="0.25">
      <c r="AA354">
        <v>350</v>
      </c>
      <c r="AB354">
        <v>3.8319999999999999</v>
      </c>
    </row>
    <row r="355" spans="27:28" x14ac:dyDescent="0.25">
      <c r="AA355">
        <v>351</v>
      </c>
      <c r="AB355">
        <v>4.0289999999999999</v>
      </c>
    </row>
    <row r="356" spans="27:28" x14ac:dyDescent="0.25">
      <c r="AA356">
        <v>352</v>
      </c>
      <c r="AB356">
        <v>4.3070000000000004</v>
      </c>
    </row>
    <row r="357" spans="27:28" x14ac:dyDescent="0.25">
      <c r="AA357">
        <v>353</v>
      </c>
      <c r="AB357">
        <v>4.66</v>
      </c>
    </row>
    <row r="358" spans="27:28" x14ac:dyDescent="0.25">
      <c r="AA358">
        <v>354</v>
      </c>
      <c r="AB358">
        <v>4.9960000000000004</v>
      </c>
    </row>
    <row r="359" spans="27:28" x14ac:dyDescent="0.25">
      <c r="AA359">
        <v>355</v>
      </c>
      <c r="AB359">
        <v>5.3819999999999997</v>
      </c>
    </row>
    <row r="360" spans="27:28" x14ac:dyDescent="0.25">
      <c r="AA360">
        <v>356</v>
      </c>
      <c r="AB360">
        <v>5.7830000000000004</v>
      </c>
    </row>
    <row r="361" spans="27:28" x14ac:dyDescent="0.25">
      <c r="AA361">
        <v>357</v>
      </c>
      <c r="AB361">
        <v>6.1630000000000003</v>
      </c>
    </row>
    <row r="362" spans="27:28" x14ac:dyDescent="0.25">
      <c r="AA362">
        <v>358</v>
      </c>
      <c r="AB362">
        <v>5.7439999999999998</v>
      </c>
    </row>
    <row r="363" spans="27:28" x14ac:dyDescent="0.25">
      <c r="AA363">
        <v>359</v>
      </c>
      <c r="AB363">
        <v>5.3090000000000002</v>
      </c>
    </row>
    <row r="364" spans="27:28" x14ac:dyDescent="0.25">
      <c r="AA364">
        <v>360</v>
      </c>
      <c r="AB364">
        <v>4.8719999999999999</v>
      </c>
    </row>
    <row r="365" spans="27:28" x14ac:dyDescent="0.25">
      <c r="AA365">
        <v>361</v>
      </c>
      <c r="AB365">
        <v>4.516</v>
      </c>
    </row>
    <row r="366" spans="27:28" x14ac:dyDescent="0.25">
      <c r="AA366">
        <v>362</v>
      </c>
      <c r="AB366">
        <v>4.4210000000000003</v>
      </c>
    </row>
    <row r="367" spans="27:28" x14ac:dyDescent="0.25">
      <c r="AA367">
        <v>363</v>
      </c>
      <c r="AB367">
        <v>4.2939999999999996</v>
      </c>
    </row>
    <row r="368" spans="27:28" x14ac:dyDescent="0.25">
      <c r="AA368">
        <v>364</v>
      </c>
      <c r="AB368">
        <v>4.2140000000000004</v>
      </c>
    </row>
    <row r="369" spans="27:28" x14ac:dyDescent="0.25">
      <c r="AA369">
        <v>365</v>
      </c>
      <c r="AB369">
        <v>4.125</v>
      </c>
    </row>
    <row r="370" spans="27:28" x14ac:dyDescent="0.25">
      <c r="AA370">
        <v>366</v>
      </c>
      <c r="AB370">
        <v>4.0250000000000004</v>
      </c>
    </row>
    <row r="371" spans="27:28" x14ac:dyDescent="0.25">
      <c r="AA371">
        <v>367</v>
      </c>
      <c r="AB371">
        <v>3.9169999999999998</v>
      </c>
    </row>
    <row r="372" spans="27:28" x14ac:dyDescent="0.25">
      <c r="AA372">
        <v>368</v>
      </c>
      <c r="AB372">
        <v>4.1740000000000004</v>
      </c>
    </row>
    <row r="373" spans="27:28" x14ac:dyDescent="0.25">
      <c r="AA373">
        <v>369</v>
      </c>
      <c r="AB373">
        <v>4.6619999999999999</v>
      </c>
    </row>
    <row r="374" spans="27:28" x14ac:dyDescent="0.25">
      <c r="AA374">
        <v>370</v>
      </c>
      <c r="AB374">
        <v>5.3520000000000003</v>
      </c>
    </row>
    <row r="375" spans="27:28" x14ac:dyDescent="0.25">
      <c r="AA375">
        <v>371</v>
      </c>
      <c r="AB375">
        <v>6.2640000000000002</v>
      </c>
    </row>
    <row r="376" spans="27:28" x14ac:dyDescent="0.25">
      <c r="AA376">
        <v>372</v>
      </c>
      <c r="AB376">
        <v>6.8079999999999998</v>
      </c>
    </row>
    <row r="377" spans="27:28" x14ac:dyDescent="0.25">
      <c r="AA377">
        <v>373</v>
      </c>
      <c r="AB377">
        <v>7.1829999999999998</v>
      </c>
    </row>
    <row r="378" spans="27:28" x14ac:dyDescent="0.25">
      <c r="AA378">
        <v>374</v>
      </c>
      <c r="AB378">
        <v>7.2690000000000001</v>
      </c>
    </row>
    <row r="379" spans="27:28" x14ac:dyDescent="0.25">
      <c r="AA379">
        <v>375</v>
      </c>
      <c r="AB379">
        <v>7.4459999999999997</v>
      </c>
    </row>
    <row r="380" spans="27:28" x14ac:dyDescent="0.25">
      <c r="AA380">
        <v>376</v>
      </c>
      <c r="AB380">
        <v>7.5709999999999997</v>
      </c>
    </row>
    <row r="381" spans="27:28" x14ac:dyDescent="0.25">
      <c r="AA381">
        <v>377</v>
      </c>
      <c r="AB381">
        <v>7.72</v>
      </c>
    </row>
    <row r="382" spans="27:28" x14ac:dyDescent="0.25">
      <c r="AA382">
        <v>378</v>
      </c>
      <c r="AB382">
        <v>7.4139999999999997</v>
      </c>
    </row>
    <row r="383" spans="27:28" x14ac:dyDescent="0.25">
      <c r="AA383">
        <v>379</v>
      </c>
      <c r="AB383">
        <v>7.1219999999999999</v>
      </c>
    </row>
    <row r="384" spans="27:28" x14ac:dyDescent="0.25">
      <c r="AA384">
        <v>380</v>
      </c>
      <c r="AB384">
        <v>7.0149999999999997</v>
      </c>
    </row>
    <row r="385" spans="27:28" x14ac:dyDescent="0.25">
      <c r="AA385">
        <v>381</v>
      </c>
      <c r="AB385">
        <v>6.48</v>
      </c>
    </row>
    <row r="386" spans="27:28" x14ac:dyDescent="0.25">
      <c r="AA386">
        <v>382</v>
      </c>
      <c r="AB386">
        <v>6.1719999999999997</v>
      </c>
    </row>
    <row r="387" spans="27:28" x14ac:dyDescent="0.25">
      <c r="AA387">
        <v>383</v>
      </c>
      <c r="AB387">
        <v>5.94</v>
      </c>
    </row>
    <row r="388" spans="27:28" x14ac:dyDescent="0.25">
      <c r="AA388">
        <v>384</v>
      </c>
      <c r="AB388">
        <v>5.7030000000000003</v>
      </c>
    </row>
    <row r="389" spans="27:28" x14ac:dyDescent="0.25">
      <c r="AA389">
        <v>385</v>
      </c>
      <c r="AB389">
        <v>5.4779999999999998</v>
      </c>
    </row>
    <row r="390" spans="27:28" x14ac:dyDescent="0.25">
      <c r="AA390">
        <v>386</v>
      </c>
      <c r="AB390">
        <v>5.4450000000000003</v>
      </c>
    </row>
    <row r="391" spans="27:28" x14ac:dyDescent="0.25">
      <c r="AA391">
        <v>387</v>
      </c>
      <c r="AB391">
        <v>5.359</v>
      </c>
    </row>
    <row r="392" spans="27:28" x14ac:dyDescent="0.25">
      <c r="AA392">
        <v>388</v>
      </c>
      <c r="AB392">
        <v>5.4550000000000001</v>
      </c>
    </row>
    <row r="393" spans="27:28" x14ac:dyDescent="0.25">
      <c r="AA393">
        <v>389</v>
      </c>
      <c r="AB393">
        <v>5.9320000000000004</v>
      </c>
    </row>
    <row r="394" spans="27:28" x14ac:dyDescent="0.25">
      <c r="AA394">
        <v>390</v>
      </c>
      <c r="AB394">
        <v>6.6890000000000001</v>
      </c>
    </row>
    <row r="395" spans="27:28" x14ac:dyDescent="0.25">
      <c r="AA395">
        <v>391</v>
      </c>
      <c r="AB395">
        <v>7.1189999999999998</v>
      </c>
    </row>
    <row r="396" spans="27:28" x14ac:dyDescent="0.25">
      <c r="AA396">
        <v>392</v>
      </c>
      <c r="AB396">
        <v>7.4690000000000003</v>
      </c>
    </row>
    <row r="397" spans="27:28" x14ac:dyDescent="0.25">
      <c r="AA397">
        <v>393</v>
      </c>
      <c r="AB397">
        <v>8.34</v>
      </c>
    </row>
    <row r="398" spans="27:28" x14ac:dyDescent="0.25">
      <c r="AA398">
        <v>394</v>
      </c>
      <c r="AB398">
        <v>8.9830000000000005</v>
      </c>
    </row>
    <row r="399" spans="27:28" x14ac:dyDescent="0.25">
      <c r="AA399">
        <v>395</v>
      </c>
      <c r="AB399">
        <v>8.5299999999999994</v>
      </c>
    </row>
    <row r="400" spans="27:28" x14ac:dyDescent="0.25">
      <c r="AA400">
        <v>396</v>
      </c>
      <c r="AB400">
        <v>7.4450000000000003</v>
      </c>
    </row>
    <row r="401" spans="27:28" x14ac:dyDescent="0.25">
      <c r="AA401">
        <v>397</v>
      </c>
      <c r="AB401">
        <v>7.4390000000000001</v>
      </c>
    </row>
    <row r="402" spans="27:28" x14ac:dyDescent="0.25">
      <c r="AA402">
        <v>398</v>
      </c>
      <c r="AB402">
        <v>7.8390000000000004</v>
      </c>
    </row>
    <row r="403" spans="27:28" x14ac:dyDescent="0.25">
      <c r="AA403">
        <v>399</v>
      </c>
      <c r="AB403">
        <v>7.2370000000000001</v>
      </c>
    </row>
    <row r="404" spans="27:28" x14ac:dyDescent="0.25">
      <c r="AA404">
        <v>400</v>
      </c>
      <c r="AB404">
        <v>6.5759999999999996</v>
      </c>
    </row>
    <row r="405" spans="27:28" x14ac:dyDescent="0.25">
      <c r="AA405">
        <v>401</v>
      </c>
      <c r="AB405">
        <v>6.3890000000000002</v>
      </c>
    </row>
    <row r="406" spans="27:28" x14ac:dyDescent="0.25">
      <c r="AA406">
        <v>402</v>
      </c>
      <c r="AB406">
        <v>6.0529999999999999</v>
      </c>
    </row>
    <row r="407" spans="27:28" x14ac:dyDescent="0.25">
      <c r="AA407">
        <v>403</v>
      </c>
      <c r="AB407">
        <v>6.7290000000000001</v>
      </c>
    </row>
    <row r="408" spans="27:28" x14ac:dyDescent="0.25">
      <c r="AA408">
        <v>404</v>
      </c>
      <c r="AB408">
        <v>7.2229999999999999</v>
      </c>
    </row>
    <row r="409" spans="27:28" x14ac:dyDescent="0.25">
      <c r="AA409">
        <v>405</v>
      </c>
      <c r="AB409">
        <v>7.0129999999999999</v>
      </c>
    </row>
    <row r="410" spans="27:28" x14ac:dyDescent="0.25">
      <c r="AA410">
        <v>406</v>
      </c>
      <c r="AB410">
        <v>5.8230000000000004</v>
      </c>
    </row>
    <row r="411" spans="27:28" x14ac:dyDescent="0.25">
      <c r="AA411">
        <v>407</v>
      </c>
      <c r="AB411">
        <v>10.07</v>
      </c>
    </row>
    <row r="412" spans="27:28" x14ac:dyDescent="0.25">
      <c r="AA412">
        <v>408</v>
      </c>
      <c r="AB412">
        <v>10.598000000000001</v>
      </c>
    </row>
    <row r="413" spans="27:28" x14ac:dyDescent="0.25">
      <c r="AA413">
        <v>409</v>
      </c>
      <c r="AB413">
        <v>15.196</v>
      </c>
    </row>
    <row r="414" spans="27:28" x14ac:dyDescent="0.25">
      <c r="AA414">
        <v>410</v>
      </c>
      <c r="AB414">
        <v>1.0860000000000001</v>
      </c>
    </row>
    <row r="415" spans="27:28" x14ac:dyDescent="0.25">
      <c r="AA415">
        <v>411</v>
      </c>
      <c r="AB415">
        <v>8.5540000000000003</v>
      </c>
    </row>
    <row r="416" spans="27:28" x14ac:dyDescent="0.25">
      <c r="AA416">
        <v>412</v>
      </c>
      <c r="AB416">
        <v>11.657</v>
      </c>
    </row>
    <row r="417" spans="27:28" x14ac:dyDescent="0.25">
      <c r="AA417">
        <v>413</v>
      </c>
      <c r="AB417">
        <v>7.5129999999999999</v>
      </c>
    </row>
    <row r="418" spans="27:28" x14ac:dyDescent="0.25">
      <c r="AA418">
        <v>414</v>
      </c>
      <c r="AB418">
        <v>8.0109999999999992</v>
      </c>
    </row>
    <row r="419" spans="27:28" x14ac:dyDescent="0.25">
      <c r="AA419">
        <v>415</v>
      </c>
      <c r="AB419">
        <v>10.222</v>
      </c>
    </row>
    <row r="420" spans="27:28" x14ac:dyDescent="0.25">
      <c r="AA420">
        <v>416</v>
      </c>
      <c r="AB420">
        <v>8.3680000000000003</v>
      </c>
    </row>
    <row r="421" spans="27:28" x14ac:dyDescent="0.25">
      <c r="AA421">
        <v>417</v>
      </c>
      <c r="AB421">
        <v>9.4130000000000003</v>
      </c>
    </row>
    <row r="422" spans="27:28" x14ac:dyDescent="0.25">
      <c r="AA422">
        <v>418</v>
      </c>
      <c r="AB422">
        <v>17.376999999999999</v>
      </c>
    </row>
    <row r="423" spans="27:28" x14ac:dyDescent="0.25">
      <c r="AA423">
        <v>419</v>
      </c>
      <c r="AB423">
        <v>14.644</v>
      </c>
    </row>
    <row r="424" spans="27:28" x14ac:dyDescent="0.25">
      <c r="AA424">
        <v>420</v>
      </c>
      <c r="AB424">
        <v>24.061</v>
      </c>
    </row>
    <row r="425" spans="27:28" x14ac:dyDescent="0.25">
      <c r="AA425">
        <v>421</v>
      </c>
      <c r="AB425">
        <v>22.042000000000002</v>
      </c>
    </row>
    <row r="426" spans="27:28" x14ac:dyDescent="0.25">
      <c r="AA426">
        <v>422</v>
      </c>
      <c r="AB426">
        <v>29.039000000000001</v>
      </c>
    </row>
    <row r="427" spans="27:28" x14ac:dyDescent="0.25">
      <c r="AA427">
        <v>423</v>
      </c>
      <c r="AB427">
        <v>46.173999999999999</v>
      </c>
    </row>
    <row r="428" spans="27:28" x14ac:dyDescent="0.25">
      <c r="AA428">
        <v>424</v>
      </c>
      <c r="AB428">
        <v>132.35300000000001</v>
      </c>
    </row>
    <row r="429" spans="27:28" x14ac:dyDescent="0.25">
      <c r="AA429">
        <v>425</v>
      </c>
      <c r="AB429">
        <v>39.344000000000001</v>
      </c>
    </row>
    <row r="430" spans="27:28" x14ac:dyDescent="0.25">
      <c r="AA430">
        <v>426</v>
      </c>
      <c r="AB430">
        <v>44.777999999999999</v>
      </c>
    </row>
    <row r="431" spans="27:28" x14ac:dyDescent="0.25">
      <c r="AA431">
        <v>427</v>
      </c>
      <c r="AB431">
        <v>15.901</v>
      </c>
    </row>
    <row r="432" spans="27:28" x14ac:dyDescent="0.25">
      <c r="AA432">
        <v>428</v>
      </c>
      <c r="AB432">
        <v>12.391</v>
      </c>
    </row>
    <row r="433" spans="27:28" x14ac:dyDescent="0.25">
      <c r="AA433">
        <v>429</v>
      </c>
      <c r="AB433">
        <v>7.1369999999999996</v>
      </c>
    </row>
    <row r="434" spans="27:28" x14ac:dyDescent="0.25">
      <c r="AA434">
        <v>430</v>
      </c>
      <c r="AB434">
        <v>12.974</v>
      </c>
    </row>
    <row r="435" spans="27:28" x14ac:dyDescent="0.25">
      <c r="AA435">
        <v>431</v>
      </c>
      <c r="AB435">
        <v>8.4060000000000006</v>
      </c>
    </row>
    <row r="436" spans="27:28" x14ac:dyDescent="0.25">
      <c r="AA436">
        <v>432</v>
      </c>
      <c r="AB436">
        <v>15.098000000000001</v>
      </c>
    </row>
    <row r="437" spans="27:28" x14ac:dyDescent="0.25">
      <c r="AA437">
        <v>433</v>
      </c>
      <c r="AB437">
        <v>10.018000000000001</v>
      </c>
    </row>
    <row r="438" spans="27:28" x14ac:dyDescent="0.25">
      <c r="AA438">
        <v>434</v>
      </c>
      <c r="AB438">
        <v>15.813000000000001</v>
      </c>
    </row>
    <row r="439" spans="27:28" x14ac:dyDescent="0.25">
      <c r="AA439">
        <v>435</v>
      </c>
      <c r="AB439">
        <v>12.019</v>
      </c>
    </row>
    <row r="440" spans="27:28" x14ac:dyDescent="0.25">
      <c r="AA440">
        <v>436</v>
      </c>
      <c r="AB440">
        <v>34.661999999999999</v>
      </c>
    </row>
    <row r="441" spans="27:28" x14ac:dyDescent="0.25">
      <c r="AA441">
        <v>437</v>
      </c>
      <c r="AB441">
        <v>23.449000000000002</v>
      </c>
    </row>
    <row r="442" spans="27:28" x14ac:dyDescent="0.25">
      <c r="AA442">
        <v>438</v>
      </c>
      <c r="AB442">
        <v>45.662999999999997</v>
      </c>
    </row>
    <row r="443" spans="27:28" x14ac:dyDescent="0.25">
      <c r="AA443">
        <v>439</v>
      </c>
      <c r="AB443">
        <v>28.701000000000001</v>
      </c>
    </row>
    <row r="444" spans="27:28" x14ac:dyDescent="0.25">
      <c r="AA444">
        <v>440</v>
      </c>
      <c r="AB444">
        <v>19.414999999999999</v>
      </c>
    </row>
    <row r="445" spans="27:28" x14ac:dyDescent="0.25">
      <c r="AA445">
        <v>441</v>
      </c>
      <c r="AB445">
        <v>0</v>
      </c>
    </row>
    <row r="446" spans="27:28" x14ac:dyDescent="0.25">
      <c r="AA446">
        <v>442</v>
      </c>
      <c r="AB446">
        <v>0</v>
      </c>
    </row>
    <row r="447" spans="27:28" x14ac:dyDescent="0.25">
      <c r="AA447">
        <v>443</v>
      </c>
      <c r="AB447">
        <v>0</v>
      </c>
    </row>
    <row r="448" spans="27:28" x14ac:dyDescent="0.25">
      <c r="AA448">
        <v>444</v>
      </c>
      <c r="AB448">
        <v>0</v>
      </c>
    </row>
    <row r="449" spans="27:28" x14ac:dyDescent="0.25">
      <c r="AA449">
        <v>445</v>
      </c>
      <c r="AB449">
        <v>0</v>
      </c>
    </row>
    <row r="450" spans="27:28" x14ac:dyDescent="0.25">
      <c r="AA450">
        <v>446</v>
      </c>
      <c r="AB450">
        <v>0</v>
      </c>
    </row>
    <row r="451" spans="27:28" x14ac:dyDescent="0.25">
      <c r="AA451">
        <v>447</v>
      </c>
      <c r="AB451">
        <v>0</v>
      </c>
    </row>
    <row r="452" spans="27:28" x14ac:dyDescent="0.25">
      <c r="AA452">
        <v>448</v>
      </c>
      <c r="AB452">
        <v>0</v>
      </c>
    </row>
    <row r="453" spans="27:28" x14ac:dyDescent="0.25">
      <c r="AA453">
        <v>449</v>
      </c>
      <c r="AB453">
        <v>0</v>
      </c>
    </row>
    <row r="454" spans="27:28" x14ac:dyDescent="0.25">
      <c r="AA454">
        <v>450</v>
      </c>
      <c r="AB454">
        <v>0</v>
      </c>
    </row>
    <row r="455" spans="27:28" x14ac:dyDescent="0.25">
      <c r="AA455">
        <v>451</v>
      </c>
      <c r="AB455">
        <v>0</v>
      </c>
    </row>
    <row r="456" spans="27:28" x14ac:dyDescent="0.25">
      <c r="AA456">
        <v>452</v>
      </c>
      <c r="AB456">
        <v>0.89800000000000002</v>
      </c>
    </row>
    <row r="457" spans="27:28" x14ac:dyDescent="0.25">
      <c r="AA457">
        <v>453</v>
      </c>
      <c r="AB457">
        <v>2.4430000000000001</v>
      </c>
    </row>
    <row r="458" spans="27:28" x14ac:dyDescent="0.25">
      <c r="AA458">
        <v>454</v>
      </c>
      <c r="AB458">
        <v>1.748</v>
      </c>
    </row>
    <row r="459" spans="27:28" x14ac:dyDescent="0.25">
      <c r="AA459">
        <v>455</v>
      </c>
      <c r="AB459">
        <v>0</v>
      </c>
    </row>
    <row r="460" spans="27:28" x14ac:dyDescent="0.25">
      <c r="AA460">
        <v>456</v>
      </c>
      <c r="AB460">
        <v>0</v>
      </c>
    </row>
    <row r="461" spans="27:28" x14ac:dyDescent="0.25">
      <c r="AA461">
        <v>457</v>
      </c>
      <c r="AB461">
        <v>14.031000000000001</v>
      </c>
    </row>
    <row r="462" spans="27:28" x14ac:dyDescent="0.25">
      <c r="AA462">
        <v>458</v>
      </c>
      <c r="AB462">
        <v>9.4190000000000005</v>
      </c>
    </row>
    <row r="463" spans="27:28" x14ac:dyDescent="0.25">
      <c r="AA463">
        <v>459</v>
      </c>
      <c r="AB463">
        <v>11.428000000000001</v>
      </c>
    </row>
    <row r="464" spans="27:28" x14ac:dyDescent="0.25">
      <c r="AA464">
        <v>460</v>
      </c>
      <c r="AB464">
        <v>7.7539999999999996</v>
      </c>
    </row>
    <row r="465" spans="27:28" x14ac:dyDescent="0.25">
      <c r="AA465">
        <v>461</v>
      </c>
      <c r="AB465">
        <v>0</v>
      </c>
    </row>
    <row r="466" spans="27:28" x14ac:dyDescent="0.25">
      <c r="AA466">
        <v>462</v>
      </c>
      <c r="AB466">
        <v>0</v>
      </c>
    </row>
    <row r="467" spans="27:28" x14ac:dyDescent="0.25">
      <c r="AA467">
        <v>463</v>
      </c>
      <c r="AB467">
        <v>0</v>
      </c>
    </row>
    <row r="468" spans="27:28" x14ac:dyDescent="0.25">
      <c r="AA468">
        <v>464</v>
      </c>
      <c r="AB468">
        <v>0</v>
      </c>
    </row>
    <row r="469" spans="27:28" x14ac:dyDescent="0.25">
      <c r="AA469">
        <v>465</v>
      </c>
      <c r="AB469">
        <v>0</v>
      </c>
    </row>
    <row r="470" spans="27:28" x14ac:dyDescent="0.25">
      <c r="AA470">
        <v>466</v>
      </c>
      <c r="AB470">
        <v>0</v>
      </c>
    </row>
    <row r="471" spans="27:28" x14ac:dyDescent="0.25">
      <c r="AA471">
        <v>467</v>
      </c>
      <c r="AB471">
        <v>0</v>
      </c>
    </row>
    <row r="472" spans="27:28" x14ac:dyDescent="0.25">
      <c r="AA472">
        <v>468</v>
      </c>
      <c r="AB472">
        <v>0</v>
      </c>
    </row>
    <row r="473" spans="27:28" x14ac:dyDescent="0.25">
      <c r="AA473">
        <v>469</v>
      </c>
      <c r="AB473">
        <v>48.707000000000001</v>
      </c>
    </row>
    <row r="474" spans="27:28" x14ac:dyDescent="0.25">
      <c r="AA474">
        <v>470</v>
      </c>
      <c r="AB474">
        <v>19.16</v>
      </c>
    </row>
    <row r="475" spans="27:28" x14ac:dyDescent="0.25">
      <c r="AA475">
        <v>471</v>
      </c>
      <c r="AB475">
        <v>17.82</v>
      </c>
    </row>
    <row r="476" spans="27:28" x14ac:dyDescent="0.25">
      <c r="AA476">
        <v>472</v>
      </c>
      <c r="AB476">
        <v>29.475000000000001</v>
      </c>
    </row>
    <row r="477" spans="27:28" x14ac:dyDescent="0.25">
      <c r="AA477">
        <v>473</v>
      </c>
      <c r="AB477">
        <v>0</v>
      </c>
    </row>
    <row r="478" spans="27:28" x14ac:dyDescent="0.25">
      <c r="AA478">
        <v>474</v>
      </c>
      <c r="AB478">
        <v>0</v>
      </c>
    </row>
    <row r="479" spans="27:28" x14ac:dyDescent="0.25">
      <c r="AA479">
        <v>475</v>
      </c>
      <c r="AB479">
        <v>0</v>
      </c>
    </row>
    <row r="480" spans="27:28" x14ac:dyDescent="0.25">
      <c r="AA480">
        <v>476</v>
      </c>
      <c r="AB480">
        <v>0</v>
      </c>
    </row>
    <row r="481" spans="27:28" x14ac:dyDescent="0.25">
      <c r="AA481">
        <v>477</v>
      </c>
      <c r="AB481">
        <v>0</v>
      </c>
    </row>
    <row r="482" spans="27:28" x14ac:dyDescent="0.25">
      <c r="AA482">
        <v>478</v>
      </c>
      <c r="AB482">
        <v>0</v>
      </c>
    </row>
    <row r="483" spans="27:28" x14ac:dyDescent="0.25">
      <c r="AA483">
        <v>479</v>
      </c>
      <c r="AB483">
        <v>0</v>
      </c>
    </row>
    <row r="484" spans="27:28" x14ac:dyDescent="0.25">
      <c r="AA484">
        <v>480</v>
      </c>
      <c r="AB484">
        <v>0</v>
      </c>
    </row>
    <row r="485" spans="27:28" x14ac:dyDescent="0.25">
      <c r="AA485">
        <v>481</v>
      </c>
      <c r="AB485">
        <v>0</v>
      </c>
    </row>
    <row r="486" spans="27:28" x14ac:dyDescent="0.25">
      <c r="AA486">
        <v>482</v>
      </c>
      <c r="AB486">
        <v>0</v>
      </c>
    </row>
    <row r="487" spans="27:28" x14ac:dyDescent="0.25">
      <c r="AA487">
        <v>483</v>
      </c>
      <c r="AB487">
        <v>0</v>
      </c>
    </row>
    <row r="488" spans="27:28" x14ac:dyDescent="0.25">
      <c r="AA488">
        <v>484</v>
      </c>
      <c r="AB488">
        <v>0</v>
      </c>
    </row>
    <row r="489" spans="27:28" x14ac:dyDescent="0.25">
      <c r="AA489">
        <v>485</v>
      </c>
      <c r="AB489">
        <v>0</v>
      </c>
    </row>
    <row r="490" spans="27:28" x14ac:dyDescent="0.25">
      <c r="AA490">
        <v>486</v>
      </c>
      <c r="AB490">
        <v>0</v>
      </c>
    </row>
    <row r="491" spans="27:28" x14ac:dyDescent="0.25">
      <c r="AA491">
        <v>487</v>
      </c>
      <c r="AB491">
        <v>0</v>
      </c>
    </row>
    <row r="492" spans="27:28" x14ac:dyDescent="0.25">
      <c r="AA492">
        <v>488</v>
      </c>
      <c r="AB492">
        <v>0</v>
      </c>
    </row>
    <row r="493" spans="27:28" x14ac:dyDescent="0.25">
      <c r="AA493">
        <v>489</v>
      </c>
      <c r="AB493">
        <v>0</v>
      </c>
    </row>
    <row r="494" spans="27:28" x14ac:dyDescent="0.25">
      <c r="AA494">
        <v>490</v>
      </c>
      <c r="AB494">
        <v>13.839</v>
      </c>
    </row>
    <row r="495" spans="27:28" x14ac:dyDescent="0.25">
      <c r="AA495">
        <v>491</v>
      </c>
      <c r="AB495">
        <v>13.3</v>
      </c>
    </row>
    <row r="496" spans="27:28" x14ac:dyDescent="0.25">
      <c r="AA496">
        <v>492</v>
      </c>
      <c r="AB496">
        <v>12.382</v>
      </c>
    </row>
    <row r="497" spans="27:28" x14ac:dyDescent="0.25">
      <c r="AA497">
        <v>493</v>
      </c>
      <c r="AB497">
        <v>6.5270000000000001</v>
      </c>
    </row>
    <row r="498" spans="27:28" x14ac:dyDescent="0.25">
      <c r="AA498">
        <v>494</v>
      </c>
      <c r="AB498">
        <v>0</v>
      </c>
    </row>
    <row r="499" spans="27:28" x14ac:dyDescent="0.25">
      <c r="AA499">
        <v>495</v>
      </c>
      <c r="AB499">
        <v>36.155000000000001</v>
      </c>
    </row>
    <row r="500" spans="27:28" x14ac:dyDescent="0.25">
      <c r="AA500">
        <v>496</v>
      </c>
      <c r="AB500">
        <v>26.236000000000001</v>
      </c>
    </row>
    <row r="501" spans="27:28" x14ac:dyDescent="0.25">
      <c r="AA501">
        <v>497</v>
      </c>
      <c r="AB501">
        <v>28.754000000000001</v>
      </c>
    </row>
    <row r="502" spans="27:28" x14ac:dyDescent="0.25">
      <c r="AA502">
        <v>498</v>
      </c>
      <c r="AB502">
        <v>0</v>
      </c>
    </row>
    <row r="503" spans="27:28" x14ac:dyDescent="0.25">
      <c r="AA503">
        <v>499</v>
      </c>
      <c r="AB503">
        <v>0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workbookViewId="0">
      <selection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3.570312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  <col min="18" max="18" width="15.85546875" style="3" customWidth="1"/>
    <col min="19" max="19" width="31" style="3" customWidth="1"/>
    <col min="20" max="20" width="25" customWidth="1"/>
    <col min="21" max="21" width="26.7109375" customWidth="1"/>
    <col min="22" max="22" width="17.140625" customWidth="1"/>
  </cols>
  <sheetData>
    <row r="1" spans="1:28" x14ac:dyDescent="0.25">
      <c r="A1" t="s">
        <v>88</v>
      </c>
      <c r="B1" s="2">
        <v>42537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8.86295360197702E-17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  <c r="R1" s="3" t="s">
        <v>253</v>
      </c>
      <c r="S1" s="3">
        <f>R3/S3</f>
        <v>1.515151515151515E-2</v>
      </c>
      <c r="U1">
        <f>1453-976.74</f>
        <v>476.26</v>
      </c>
    </row>
    <row r="2" spans="1:28" x14ac:dyDescent="0.25">
      <c r="D2" t="s">
        <v>212</v>
      </c>
      <c r="E2" t="s">
        <v>256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2.658886080593106E-2</v>
      </c>
      <c r="M2" s="4">
        <v>1.71255477258472E-14</v>
      </c>
      <c r="Q2" t="s">
        <v>206</v>
      </c>
      <c r="R2" s="3" t="s">
        <v>251</v>
      </c>
      <c r="S2" s="3" t="s">
        <v>252</v>
      </c>
      <c r="U2">
        <f>500-U1</f>
        <v>23.740000000000009</v>
      </c>
      <c r="W2" t="s">
        <v>319</v>
      </c>
    </row>
    <row r="3" spans="1:28" ht="34.5" customHeight="1" x14ac:dyDescent="0.25">
      <c r="A3" t="s">
        <v>89</v>
      </c>
      <c r="B3" s="87" t="s">
        <v>257</v>
      </c>
      <c r="C3" s="87"/>
      <c r="D3" s="87"/>
      <c r="E3">
        <f>1.5*26/30</f>
        <v>1.3</v>
      </c>
      <c r="G3">
        <f>15*SQRT(650/675)</f>
        <v>14.719601443879744</v>
      </c>
      <c r="Q3" t="s">
        <v>207</v>
      </c>
      <c r="R3" s="3">
        <f>$C$24*$G$18</f>
        <v>3.3333333333333331E-3</v>
      </c>
      <c r="S3" s="3">
        <v>0.22</v>
      </c>
      <c r="T3" s="1"/>
      <c r="W3">
        <v>0.1</v>
      </c>
      <c r="Y3">
        <v>-0.35</v>
      </c>
    </row>
    <row r="4" spans="1:28" x14ac:dyDescent="0.25">
      <c r="B4" t="s">
        <v>95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220</v>
      </c>
      <c r="R4" s="3" t="s">
        <v>250</v>
      </c>
      <c r="S4" s="3" t="s">
        <v>246</v>
      </c>
      <c r="T4" s="3" t="s">
        <v>247</v>
      </c>
      <c r="U4" s="3" t="s">
        <v>248</v>
      </c>
      <c r="V4" s="3" t="s">
        <v>249</v>
      </c>
      <c r="W4" s="3" t="s">
        <v>318</v>
      </c>
      <c r="Y4" s="3">
        <v>0.27599000000000001</v>
      </c>
      <c r="AA4">
        <v>0</v>
      </c>
      <c r="AB4">
        <v>1.002</v>
      </c>
    </row>
    <row r="5" spans="1:28" x14ac:dyDescent="0.25">
      <c r="B5" t="s">
        <v>90</v>
      </c>
      <c r="C5" s="75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-3.6840000715688901</v>
      </c>
      <c r="Q5" s="13">
        <f t="shared" ref="Q5:Q68" si="0">P5*$G$18</f>
        <v>-0.375</v>
      </c>
      <c r="R5" s="13">
        <f>$S$3*O5</f>
        <v>0</v>
      </c>
      <c r="S5">
        <f t="shared" ref="S5:S68" si="1">ABS(Q5-$K$38)</f>
        <v>0.35</v>
      </c>
      <c r="T5" s="8">
        <f>$K$34/(1+EXP(($S5-$L$34)/$M$34))+$K$35/(1+EXP(($S5-$L$35)/$M$35))+$K$36/(1+EXP(($S5-$L$36)/$M$36))+$K$37/(1+EXP(($S5-$L$37)/$M$37))</f>
        <v>1.5305329673921217E-2</v>
      </c>
      <c r="U5" s="8">
        <f t="shared" ref="U5:U68" si="2">$K$39/(1+EXP(($S5-$L$39)/$M$39))+$K$40/(1+EXP(($S5-$L$40)/$M$40))+$K$41/(1+EXP(($S5-$L$41)/$M$41))+$K$42/(1+EXP(($S5-$L$42)/$M$42))</f>
        <v>1.7918983831162101E-10</v>
      </c>
      <c r="V5">
        <f t="shared" ref="V5:V68" si="3">IF(Q5-$K$38&gt;0,U5,T5)</f>
        <v>1.5305329673921217E-2</v>
      </c>
      <c r="W5" s="71">
        <f>(Q5+W$3)*10000</f>
        <v>-2750</v>
      </c>
      <c r="Y5">
        <v>-9.4E-2</v>
      </c>
      <c r="AA5">
        <v>1</v>
      </c>
      <c r="AB5">
        <v>1.002</v>
      </c>
    </row>
    <row r="6" spans="1:28" x14ac:dyDescent="0.25">
      <c r="A6" t="s">
        <v>0</v>
      </c>
      <c r="C6" s="75"/>
      <c r="E6">
        <f>25*0.05</f>
        <v>1.25</v>
      </c>
      <c r="G6" s="5" t="s">
        <v>153</v>
      </c>
      <c r="H6" s="4">
        <v>4E+18</v>
      </c>
      <c r="I6" s="3" t="s">
        <v>155</v>
      </c>
      <c r="J6" s="17" t="s">
        <v>97</v>
      </c>
      <c r="K6" s="3">
        <f>C7+5</f>
        <v>605</v>
      </c>
      <c r="M6"/>
      <c r="O6" s="3">
        <f>O5+1</f>
        <v>1</v>
      </c>
      <c r="P6" s="13">
        <f t="shared" ref="P6:P69" si="4">$C$24*O6+$C$21</f>
        <v>-3.6512534042660554</v>
      </c>
      <c r="Q6" s="13">
        <f t="shared" si="0"/>
        <v>-0.37166666666666665</v>
      </c>
      <c r="R6" s="13">
        <f t="shared" ref="R6:R69" si="5">$S$3*O6</f>
        <v>0.22</v>
      </c>
      <c r="S6">
        <f t="shared" si="1"/>
        <v>0.34666666666666662</v>
      </c>
      <c r="T6" s="8">
        <f t="shared" ref="T6:T69" si="6">$K$34/(1+EXP(($S6-$L$34)/$M$34))+$K$35/(1+EXP(($S6-$L$35)/$M$35))+$K$36/(1+EXP(($S6-$L$36)/$M$36))+$K$37/(1+EXP(($S6-$L$37)/$M$37))</f>
        <v>1.6588322042050328E-2</v>
      </c>
      <c r="U6" s="8">
        <f t="shared" si="2"/>
        <v>2.315639435419262E-10</v>
      </c>
      <c r="V6">
        <f t="shared" si="3"/>
        <v>1.6588322042050328E-2</v>
      </c>
      <c r="W6" s="71">
        <f t="shared" ref="W6:W69" si="7">(Q6+W$3)*10000</f>
        <v>-2716.6666666666661</v>
      </c>
      <c r="Y6">
        <f>Y4-Y3</f>
        <v>0.62599000000000005</v>
      </c>
      <c r="AA6">
        <v>2</v>
      </c>
      <c r="AB6">
        <v>1.002</v>
      </c>
    </row>
    <row r="7" spans="1:28" x14ac:dyDescent="0.25">
      <c r="B7" t="s">
        <v>1</v>
      </c>
      <c r="C7" s="75">
        <v>600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4"/>
        <v>-3.6185067369632211</v>
      </c>
      <c r="Q7" s="13">
        <f t="shared" si="0"/>
        <v>-0.36833333333333335</v>
      </c>
      <c r="R7" s="13">
        <f t="shared" si="5"/>
        <v>0.44</v>
      </c>
      <c r="S7">
        <f t="shared" si="1"/>
        <v>0.34333333333333332</v>
      </c>
      <c r="T7" s="8">
        <f t="shared" si="6"/>
        <v>1.7989558122912534E-2</v>
      </c>
      <c r="U7" s="8">
        <f t="shared" si="2"/>
        <v>2.9924609817342155E-10</v>
      </c>
      <c r="V7">
        <f t="shared" si="3"/>
        <v>1.7989558122912534E-2</v>
      </c>
      <c r="W7" s="71">
        <f t="shared" si="7"/>
        <v>-2683.333333333333</v>
      </c>
      <c r="Y7">
        <f>Y5-Y3</f>
        <v>0.25600000000000001</v>
      </c>
      <c r="AA7">
        <v>3</v>
      </c>
      <c r="AB7">
        <v>1.002</v>
      </c>
    </row>
    <row r="8" spans="1:28" x14ac:dyDescent="0.25">
      <c r="B8" t="s">
        <v>2</v>
      </c>
      <c r="C8" s="75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8">O7+1</f>
        <v>3</v>
      </c>
      <c r="P8" s="13">
        <f t="shared" si="4"/>
        <v>-3.5857600696603864</v>
      </c>
      <c r="Q8" s="13">
        <f t="shared" si="0"/>
        <v>-0.36499999999999999</v>
      </c>
      <c r="R8" s="13">
        <f t="shared" si="5"/>
        <v>0.66</v>
      </c>
      <c r="S8">
        <f t="shared" si="1"/>
        <v>0.33999999999999997</v>
      </c>
      <c r="T8" s="8">
        <f t="shared" si="6"/>
        <v>1.9520894259672222E-2</v>
      </c>
      <c r="U8" s="8">
        <f t="shared" si="2"/>
        <v>3.8671058153028165E-10</v>
      </c>
      <c r="V8">
        <f t="shared" si="3"/>
        <v>1.9520894259672222E-2</v>
      </c>
      <c r="W8" s="71">
        <f t="shared" si="7"/>
        <v>-2650</v>
      </c>
      <c r="Y8">
        <f>3*Y7/Y6</f>
        <v>1.2268566590520615</v>
      </c>
      <c r="AA8">
        <v>4</v>
      </c>
      <c r="AB8">
        <v>1.002</v>
      </c>
    </row>
    <row r="9" spans="1:28" x14ac:dyDescent="0.25">
      <c r="B9" t="s">
        <v>3</v>
      </c>
      <c r="C9" s="75">
        <v>150</v>
      </c>
      <c r="E9" s="14">
        <f>E10*1000000000/I1</f>
        <v>1.3205775822989467</v>
      </c>
      <c r="F9" s="5" t="s">
        <v>209</v>
      </c>
      <c r="G9" s="6">
        <f>SQRT(G8/H6)</f>
        <v>20.868355978610293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8"/>
        <v>4</v>
      </c>
      <c r="P9" s="13">
        <f t="shared" si="4"/>
        <v>-3.5530134023575517</v>
      </c>
      <c r="Q9" s="13">
        <f t="shared" si="0"/>
        <v>-0.36166666666666664</v>
      </c>
      <c r="R9" s="13">
        <f t="shared" si="5"/>
        <v>0.88</v>
      </c>
      <c r="S9">
        <f t="shared" si="1"/>
        <v>0.33666666666666661</v>
      </c>
      <c r="T9" s="8">
        <f t="shared" si="6"/>
        <v>2.1195485977348168E-2</v>
      </c>
      <c r="U9" s="8">
        <f t="shared" si="2"/>
        <v>4.997394277579767E-10</v>
      </c>
      <c r="V9">
        <f t="shared" si="3"/>
        <v>2.1195485977348168E-2</v>
      </c>
      <c r="W9" s="71">
        <f t="shared" si="7"/>
        <v>-2616.6666666666661</v>
      </c>
      <c r="Y9">
        <f>1.9-Y8</f>
        <v>0.67314334094793837</v>
      </c>
      <c r="AA9">
        <v>5</v>
      </c>
      <c r="AB9">
        <v>1.002</v>
      </c>
    </row>
    <row r="10" spans="1:28" x14ac:dyDescent="0.25">
      <c r="B10" t="s">
        <v>4</v>
      </c>
      <c r="C10" s="75">
        <v>250</v>
      </c>
      <c r="E10" s="14">
        <f>0.149/E16</f>
        <v>0.39589919937709855</v>
      </c>
      <c r="F10" s="5" t="s">
        <v>156</v>
      </c>
      <c r="G10" s="6">
        <f xml:space="preserve"> 56414.602*SQRT(H6)</f>
        <v>112829204000000</v>
      </c>
      <c r="H10" s="3" t="s">
        <v>189</v>
      </c>
      <c r="I10"/>
      <c r="J10" s="17" t="s">
        <v>101</v>
      </c>
      <c r="K10" s="3">
        <v>100</v>
      </c>
      <c r="M10"/>
      <c r="O10" s="3">
        <f t="shared" si="8"/>
        <v>5</v>
      </c>
      <c r="P10" s="13">
        <f t="shared" si="4"/>
        <v>-3.520266735054717</v>
      </c>
      <c r="Q10" s="13">
        <f t="shared" si="0"/>
        <v>-0.35833333333333328</v>
      </c>
      <c r="R10" s="13">
        <f t="shared" si="5"/>
        <v>1.1000000000000001</v>
      </c>
      <c r="S10">
        <f t="shared" si="1"/>
        <v>0.33333333333333326</v>
      </c>
      <c r="T10" s="8">
        <f t="shared" si="6"/>
        <v>2.3027981900228686E-2</v>
      </c>
      <c r="U10" s="8">
        <f t="shared" si="2"/>
        <v>6.4580466004170227E-10</v>
      </c>
      <c r="V10">
        <f t="shared" si="3"/>
        <v>2.3027981900228686E-2</v>
      </c>
      <c r="W10" s="71">
        <f t="shared" si="7"/>
        <v>-2583.333333333333</v>
      </c>
      <c r="AA10">
        <v>6</v>
      </c>
      <c r="AB10">
        <v>1.002</v>
      </c>
    </row>
    <row r="11" spans="1:28" x14ac:dyDescent="0.25">
      <c r="B11" t="s">
        <v>5</v>
      </c>
      <c r="C11" s="75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8"/>
        <v>6</v>
      </c>
      <c r="P11" s="13">
        <f t="shared" si="4"/>
        <v>-3.4875200677518827</v>
      </c>
      <c r="Q11" s="13">
        <f t="shared" si="0"/>
        <v>-0.35499999999999998</v>
      </c>
      <c r="R11" s="13">
        <f t="shared" si="5"/>
        <v>1.32</v>
      </c>
      <c r="S11">
        <f t="shared" si="1"/>
        <v>0.32999999999999996</v>
      </c>
      <c r="T11" s="8">
        <f t="shared" si="6"/>
        <v>2.503477678469904E-2</v>
      </c>
      <c r="U11" s="8">
        <f t="shared" si="2"/>
        <v>8.3456224530405994E-10</v>
      </c>
      <c r="V11">
        <f t="shared" si="3"/>
        <v>2.503477678469904E-2</v>
      </c>
      <c r="W11" s="71">
        <f t="shared" si="7"/>
        <v>-2550</v>
      </c>
      <c r="AA11">
        <v>7</v>
      </c>
      <c r="AB11">
        <v>1.002</v>
      </c>
    </row>
    <row r="12" spans="1:28" x14ac:dyDescent="0.25">
      <c r="B12" t="s">
        <v>6</v>
      </c>
      <c r="C12" s="75">
        <v>5</v>
      </c>
      <c r="F12" s="5" t="s">
        <v>160</v>
      </c>
      <c r="G12" s="7">
        <f>SQRT(H6/G8)</f>
        <v>4.7919443248187969E-2</v>
      </c>
      <c r="H12" s="3" t="s">
        <v>87</v>
      </c>
      <c r="I12"/>
      <c r="J12" s="17" t="s">
        <v>218</v>
      </c>
      <c r="K12" s="3">
        <v>4</v>
      </c>
      <c r="M12"/>
      <c r="O12" s="3">
        <f t="shared" si="8"/>
        <v>7</v>
      </c>
      <c r="P12" s="13">
        <f t="shared" si="4"/>
        <v>-3.454773400449048</v>
      </c>
      <c r="Q12" s="13">
        <f t="shared" si="0"/>
        <v>-0.35166666666666668</v>
      </c>
      <c r="R12" s="13">
        <f t="shared" si="5"/>
        <v>1.54</v>
      </c>
      <c r="S12">
        <f t="shared" si="1"/>
        <v>0.32666666666666666</v>
      </c>
      <c r="T12" s="8">
        <f t="shared" si="6"/>
        <v>2.7234351195829235E-2</v>
      </c>
      <c r="U12" s="8">
        <f t="shared" si="2"/>
        <v>1.0784904233528386E-9</v>
      </c>
      <c r="V12">
        <f t="shared" si="3"/>
        <v>2.7234351195829235E-2</v>
      </c>
      <c r="W12" s="71">
        <f t="shared" si="7"/>
        <v>-2516.666666666667</v>
      </c>
      <c r="AA12">
        <v>8</v>
      </c>
      <c r="AB12">
        <v>1.002</v>
      </c>
    </row>
    <row r="13" spans="1:28" x14ac:dyDescent="0.25">
      <c r="B13" t="s">
        <v>7</v>
      </c>
      <c r="C13" s="75">
        <v>2</v>
      </c>
      <c r="F13" s="5" t="s">
        <v>161</v>
      </c>
      <c r="G13" s="6">
        <f>0.0001*G7*SQRT(G8/H6)</f>
        <v>1.6694684782888236E-3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8"/>
        <v>8</v>
      </c>
      <c r="P13" s="13">
        <f t="shared" si="4"/>
        <v>-3.4220267331462133</v>
      </c>
      <c r="Q13" s="13">
        <f t="shared" si="0"/>
        <v>-0.34833333333333333</v>
      </c>
      <c r="R13" s="13">
        <f t="shared" si="5"/>
        <v>1.76</v>
      </c>
      <c r="S13">
        <f t="shared" si="1"/>
        <v>0.32333333333333331</v>
      </c>
      <c r="T13" s="8">
        <f t="shared" si="6"/>
        <v>2.9647738237692407E-2</v>
      </c>
      <c r="U13" s="8">
        <f t="shared" si="2"/>
        <v>1.3937146086418199E-9</v>
      </c>
      <c r="V13">
        <f t="shared" si="3"/>
        <v>2.9647738237692407E-2</v>
      </c>
      <c r="W13" s="71">
        <f t="shared" si="7"/>
        <v>-2483.333333333333</v>
      </c>
      <c r="AA13">
        <v>9</v>
      </c>
      <c r="AB13">
        <v>1.002</v>
      </c>
    </row>
    <row r="14" spans="1:28" x14ac:dyDescent="0.25">
      <c r="B14" t="s">
        <v>8</v>
      </c>
      <c r="C14" s="21">
        <f>G24</f>
        <v>2.6831924746576368</v>
      </c>
      <c r="D14" t="s">
        <v>139</v>
      </c>
      <c r="E14" s="14">
        <f>0.5*G14</f>
        <v>8.3473423914441174</v>
      </c>
      <c r="F14" s="5" t="s">
        <v>181</v>
      </c>
      <c r="G14" s="6">
        <f>10000*G13</f>
        <v>16.694684782888235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8"/>
        <v>9</v>
      </c>
      <c r="P14" s="13">
        <f t="shared" si="4"/>
        <v>-3.389280065843379</v>
      </c>
      <c r="Q14" s="13">
        <f t="shared" si="0"/>
        <v>-0.34500000000000003</v>
      </c>
      <c r="R14" s="13">
        <f t="shared" si="5"/>
        <v>1.98</v>
      </c>
      <c r="S14">
        <f t="shared" si="1"/>
        <v>0.32</v>
      </c>
      <c r="T14" s="8">
        <f t="shared" si="6"/>
        <v>3.2299175975529934E-2</v>
      </c>
      <c r="U14" s="8">
        <f t="shared" si="2"/>
        <v>1.8010733966018772E-9</v>
      </c>
      <c r="V14">
        <f t="shared" si="3"/>
        <v>3.2299175975529934E-2</v>
      </c>
      <c r="W14" s="71">
        <f t="shared" si="7"/>
        <v>-2450.0000000000005</v>
      </c>
      <c r="AA14">
        <v>10</v>
      </c>
      <c r="AB14">
        <v>1.002</v>
      </c>
    </row>
    <row r="15" spans="1:28" x14ac:dyDescent="0.25">
      <c r="B15" t="s">
        <v>9</v>
      </c>
      <c r="C15" s="75">
        <v>10</v>
      </c>
      <c r="D15" t="s">
        <v>138</v>
      </c>
      <c r="E15" s="14">
        <f>E14/16.7</f>
        <v>0.49984086176312081</v>
      </c>
      <c r="F15" s="5" t="s">
        <v>190</v>
      </c>
      <c r="G15" s="6">
        <f>2*PI()*1000000000000000/G10</f>
        <v>55.687579850156403</v>
      </c>
      <c r="H15" s="3" t="s">
        <v>169</v>
      </c>
      <c r="I15"/>
      <c r="J15" s="17" t="s">
        <v>105</v>
      </c>
      <c r="K15" s="3">
        <v>150</v>
      </c>
      <c r="M15"/>
      <c r="O15" s="3">
        <f t="shared" si="8"/>
        <v>10</v>
      </c>
      <c r="P15" s="13">
        <f t="shared" si="4"/>
        <v>-3.3565333985405443</v>
      </c>
      <c r="Q15" s="13">
        <f t="shared" si="0"/>
        <v>-0.34166666666666667</v>
      </c>
      <c r="R15" s="13">
        <f t="shared" si="5"/>
        <v>2.2000000000000002</v>
      </c>
      <c r="S15">
        <f t="shared" si="1"/>
        <v>0.31666666666666665</v>
      </c>
      <c r="T15" s="8">
        <f t="shared" si="6"/>
        <v>3.5217029564135992E-2</v>
      </c>
      <c r="U15" s="8">
        <f t="shared" si="2"/>
        <v>2.3274961452480547E-9</v>
      </c>
      <c r="V15">
        <f t="shared" si="3"/>
        <v>3.5217029564135992E-2</v>
      </c>
      <c r="W15" s="71">
        <f t="shared" si="7"/>
        <v>-2416.6666666666665</v>
      </c>
      <c r="AA15">
        <v>11</v>
      </c>
      <c r="AB15">
        <v>1.002</v>
      </c>
    </row>
    <row r="16" spans="1:28" x14ac:dyDescent="0.25">
      <c r="B16" t="s">
        <v>10</v>
      </c>
      <c r="C16" s="75">
        <f>15</f>
        <v>15</v>
      </c>
      <c r="D16" t="s">
        <v>255</v>
      </c>
      <c r="E16" s="14">
        <f>0.0001*G16</f>
        <v>0.37635842718155077</v>
      </c>
      <c r="F16" s="5" t="s">
        <v>163</v>
      </c>
      <c r="G16" s="6">
        <f>2*PI()/G13</f>
        <v>3763.5842718155077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8"/>
        <v>11</v>
      </c>
      <c r="P16" s="13">
        <f t="shared" si="4"/>
        <v>-3.3237867312377096</v>
      </c>
      <c r="Q16" s="13">
        <f t="shared" si="0"/>
        <v>-0.33833333333333332</v>
      </c>
      <c r="R16" s="13">
        <f t="shared" si="5"/>
        <v>2.42</v>
      </c>
      <c r="S16">
        <f t="shared" si="1"/>
        <v>0.3133333333333333</v>
      </c>
      <c r="T16" s="8">
        <f t="shared" si="6"/>
        <v>3.8435101742373211E-2</v>
      </c>
      <c r="U16" s="8">
        <f t="shared" si="2"/>
        <v>3.0077832001355521E-9</v>
      </c>
      <c r="V16">
        <f t="shared" si="3"/>
        <v>3.8435101742373211E-2</v>
      </c>
      <c r="W16" s="71">
        <f t="shared" si="7"/>
        <v>-2383.333333333333</v>
      </c>
      <c r="AA16">
        <v>12</v>
      </c>
      <c r="AB16">
        <v>1.002</v>
      </c>
    </row>
    <row r="17" spans="2:28" x14ac:dyDescent="0.25">
      <c r="B17" t="s">
        <v>11</v>
      </c>
      <c r="C17" s="22">
        <f>G20</f>
        <v>6.0593706776229688</v>
      </c>
      <c r="D17" t="s">
        <v>140</v>
      </c>
      <c r="E17">
        <f>1/G17</f>
        <v>6.2111801242236017E-2</v>
      </c>
      <c r="F17" s="5" t="s">
        <v>165</v>
      </c>
      <c r="G17" s="3">
        <v>16.100000000000001</v>
      </c>
      <c r="H17" s="3" t="s">
        <v>166</v>
      </c>
      <c r="I17" s="1">
        <f>100*I16*G16</f>
        <v>-93.096020547628399</v>
      </c>
      <c r="J17" s="17" t="s">
        <v>107</v>
      </c>
      <c r="K17" s="3">
        <v>18</v>
      </c>
      <c r="M17">
        <f>1.8*1.8</f>
        <v>3.24</v>
      </c>
      <c r="O17" s="3">
        <f t="shared" si="8"/>
        <v>12</v>
      </c>
      <c r="P17" s="13">
        <f t="shared" si="4"/>
        <v>-3.2910400639348749</v>
      </c>
      <c r="Q17" s="13">
        <f t="shared" si="0"/>
        <v>-0.33499999999999996</v>
      </c>
      <c r="R17" s="13">
        <f t="shared" si="5"/>
        <v>2.64</v>
      </c>
      <c r="S17">
        <f t="shared" si="1"/>
        <v>0.30999999999999994</v>
      </c>
      <c r="T17" s="8">
        <f t="shared" si="6"/>
        <v>4.1994496496446924E-2</v>
      </c>
      <c r="U17" s="8">
        <f t="shared" si="2"/>
        <v>3.8869064483569144E-9</v>
      </c>
      <c r="V17">
        <f t="shared" si="3"/>
        <v>4.1994496496446924E-2</v>
      </c>
      <c r="W17" s="71">
        <f t="shared" si="7"/>
        <v>-2349.9999999999995</v>
      </c>
      <c r="AA17">
        <v>13</v>
      </c>
      <c r="AB17">
        <v>1.002</v>
      </c>
    </row>
    <row r="18" spans="2:28" x14ac:dyDescent="0.25">
      <c r="B18" t="s">
        <v>110</v>
      </c>
      <c r="C18" s="75">
        <v>8</v>
      </c>
      <c r="D18" t="s">
        <v>141</v>
      </c>
      <c r="E18" s="14">
        <f>10000*G18</f>
        <v>1017.9152896712628</v>
      </c>
      <c r="F18" s="5" t="s">
        <v>195</v>
      </c>
      <c r="G18" s="3">
        <f>0.0001*PI()*G17*G17/G7</f>
        <v>0.10179152896712629</v>
      </c>
      <c r="H18" s="3" t="s">
        <v>162</v>
      </c>
      <c r="I18">
        <f>0.5*100/G18</f>
        <v>491.20000954251867</v>
      </c>
      <c r="J18" s="17" t="s">
        <v>108</v>
      </c>
      <c r="K18" s="3">
        <v>4</v>
      </c>
      <c r="M18"/>
      <c r="O18" s="3">
        <f t="shared" si="8"/>
        <v>13</v>
      </c>
      <c r="P18" s="13">
        <f t="shared" si="4"/>
        <v>-3.2582933966320407</v>
      </c>
      <c r="Q18" s="13">
        <f t="shared" si="0"/>
        <v>-0.33166666666666667</v>
      </c>
      <c r="R18" s="13">
        <f t="shared" si="5"/>
        <v>2.86</v>
      </c>
      <c r="S18">
        <f t="shared" si="1"/>
        <v>0.30666666666666664</v>
      </c>
      <c r="T18" s="8">
        <f t="shared" si="6"/>
        <v>4.5946260100589414E-2</v>
      </c>
      <c r="U18" s="8">
        <f t="shared" si="2"/>
        <v>5.0229822847557039E-9</v>
      </c>
      <c r="V18">
        <f t="shared" si="3"/>
        <v>4.5946260100589414E-2</v>
      </c>
      <c r="W18" s="71">
        <f t="shared" si="7"/>
        <v>-2316.6666666666665</v>
      </c>
      <c r="AA18">
        <v>14</v>
      </c>
      <c r="AB18">
        <v>1.002</v>
      </c>
    </row>
    <row r="19" spans="2:28" x14ac:dyDescent="0.25">
      <c r="B19" t="s">
        <v>12</v>
      </c>
      <c r="C19" s="23">
        <f>G34/2</f>
        <v>0.75000217919683421</v>
      </c>
      <c r="D19" t="s">
        <v>142</v>
      </c>
      <c r="F19" s="5" t="s">
        <v>196</v>
      </c>
      <c r="G19" s="6">
        <f>G18*G16</f>
        <v>383.10099742472914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8"/>
        <v>14</v>
      </c>
      <c r="P19" s="13">
        <f t="shared" si="4"/>
        <v>-3.2255467293292059</v>
      </c>
      <c r="Q19" s="13">
        <f t="shared" si="0"/>
        <v>-0.32833333333333331</v>
      </c>
      <c r="R19" s="13">
        <f t="shared" si="5"/>
        <v>3.08</v>
      </c>
      <c r="S19">
        <f t="shared" si="1"/>
        <v>0.30333333333333329</v>
      </c>
      <c r="T19" s="8">
        <f t="shared" si="6"/>
        <v>5.0355096440011189E-2</v>
      </c>
      <c r="U19" s="8">
        <f t="shared" si="2"/>
        <v>6.4911135247950125E-9</v>
      </c>
      <c r="V19">
        <f t="shared" si="3"/>
        <v>5.0355096440011189E-2</v>
      </c>
      <c r="W19" s="71">
        <f t="shared" si="7"/>
        <v>-2283.333333333333</v>
      </c>
      <c r="AA19">
        <v>15</v>
      </c>
      <c r="AB19">
        <v>1.002</v>
      </c>
    </row>
    <row r="20" spans="2:28" x14ac:dyDescent="0.25">
      <c r="B20" t="s">
        <v>254</v>
      </c>
      <c r="C20" s="75">
        <v>2</v>
      </c>
      <c r="D20" t="s">
        <v>143</v>
      </c>
      <c r="E20">
        <v>7.1294579999999996</v>
      </c>
      <c r="F20" s="5" t="s">
        <v>11</v>
      </c>
      <c r="G20" s="7">
        <f>0.0001*G17*G16</f>
        <v>6.0593706776229688</v>
      </c>
      <c r="H20" s="3" t="s">
        <v>167</v>
      </c>
      <c r="I20"/>
      <c r="J20"/>
      <c r="K20" s="3"/>
      <c r="M20"/>
      <c r="O20" s="3">
        <f t="shared" si="8"/>
        <v>15</v>
      </c>
      <c r="P20" s="13">
        <f t="shared" si="4"/>
        <v>-3.1928000620263717</v>
      </c>
      <c r="Q20" s="13">
        <f t="shared" si="0"/>
        <v>-0.32500000000000001</v>
      </c>
      <c r="R20" s="13">
        <f t="shared" si="5"/>
        <v>3.3</v>
      </c>
      <c r="S20">
        <f t="shared" si="1"/>
        <v>0.3</v>
      </c>
      <c r="T20" s="8">
        <f t="shared" si="6"/>
        <v>5.5304535162371403E-2</v>
      </c>
      <c r="U20" s="8">
        <f t="shared" si="2"/>
        <v>8.3883542421002266E-9</v>
      </c>
      <c r="V20">
        <f t="shared" si="3"/>
        <v>5.5304535162371403E-2</v>
      </c>
      <c r="W20" s="71">
        <f t="shared" si="7"/>
        <v>-2250</v>
      </c>
      <c r="AA20">
        <v>16</v>
      </c>
      <c r="AB20">
        <v>1.002</v>
      </c>
    </row>
    <row r="21" spans="2:28" x14ac:dyDescent="0.25">
      <c r="B21" t="s">
        <v>13</v>
      </c>
      <c r="C21" s="22">
        <f>-0.375/G$18</f>
        <v>-3.6840000715688901</v>
      </c>
      <c r="D21" t="s">
        <v>144</v>
      </c>
      <c r="E21" s="20">
        <f>10000*E20/G16</f>
        <v>18.943266538205709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8"/>
        <v>16</v>
      </c>
      <c r="P21" s="13">
        <f t="shared" si="4"/>
        <v>-3.160053394723537</v>
      </c>
      <c r="Q21" s="13">
        <f t="shared" si="0"/>
        <v>-0.32166666666666666</v>
      </c>
      <c r="R21" s="13">
        <f t="shared" si="5"/>
        <v>3.52</v>
      </c>
      <c r="S21">
        <f t="shared" si="1"/>
        <v>0.29666666666666663</v>
      </c>
      <c r="T21" s="8">
        <f t="shared" si="6"/>
        <v>6.0904007960779952E-2</v>
      </c>
      <c r="U21" s="8">
        <f t="shared" si="2"/>
        <v>1.084012574201205E-8</v>
      </c>
      <c r="V21">
        <f t="shared" si="3"/>
        <v>6.0904007960779952E-2</v>
      </c>
      <c r="W21" s="71">
        <f t="shared" si="7"/>
        <v>-2216.6666666666665</v>
      </c>
      <c r="AA21">
        <v>17</v>
      </c>
      <c r="AB21">
        <v>1.002</v>
      </c>
    </row>
    <row r="22" spans="2:28" x14ac:dyDescent="0.25">
      <c r="B22" t="s">
        <v>14</v>
      </c>
      <c r="C22" s="75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8"/>
        <v>17</v>
      </c>
      <c r="P22" s="13">
        <f t="shared" si="4"/>
        <v>-3.1273067274207023</v>
      </c>
      <c r="Q22" s="13">
        <f t="shared" si="0"/>
        <v>-0.3183333333333333</v>
      </c>
      <c r="R22" s="13">
        <f t="shared" si="5"/>
        <v>3.74</v>
      </c>
      <c r="S22">
        <f t="shared" si="1"/>
        <v>0.29333333333333328</v>
      </c>
      <c r="T22" s="8">
        <f t="shared" si="6"/>
        <v>6.7298327439297687E-2</v>
      </c>
      <c r="U22" s="8">
        <f t="shared" si="2"/>
        <v>1.4008507812862475E-8</v>
      </c>
      <c r="V22">
        <f t="shared" si="3"/>
        <v>6.7298327439297687E-2</v>
      </c>
      <c r="W22" s="71">
        <f t="shared" si="7"/>
        <v>-2183.333333333333</v>
      </c>
      <c r="AA22">
        <v>18</v>
      </c>
      <c r="AB22">
        <v>1.002</v>
      </c>
    </row>
    <row r="23" spans="2:28" x14ac:dyDescent="0.25">
      <c r="B23" t="s">
        <v>15</v>
      </c>
      <c r="C23" s="22">
        <f>0.125/G$18</f>
        <v>1.2280000238562967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8"/>
        <v>18</v>
      </c>
      <c r="P23" s="13">
        <f t="shared" si="4"/>
        <v>-3.0945600601178676</v>
      </c>
      <c r="Q23" s="13">
        <f t="shared" si="0"/>
        <v>-0.315</v>
      </c>
      <c r="R23" s="13">
        <f t="shared" si="5"/>
        <v>3.96</v>
      </c>
      <c r="S23">
        <f t="shared" si="1"/>
        <v>0.28999999999999998</v>
      </c>
      <c r="T23" s="8">
        <f t="shared" si="6"/>
        <v>7.4679996687001218E-2</v>
      </c>
      <c r="U23" s="8">
        <f t="shared" si="2"/>
        <v>1.8102953365767135E-8</v>
      </c>
      <c r="V23">
        <f t="shared" si="3"/>
        <v>7.4679996687001218E-2</v>
      </c>
      <c r="W23" s="71">
        <f t="shared" si="7"/>
        <v>-2150</v>
      </c>
      <c r="AA23">
        <v>19</v>
      </c>
      <c r="AB23">
        <v>1.002</v>
      </c>
    </row>
    <row r="24" spans="2:28" x14ac:dyDescent="0.25">
      <c r="B24" t="s">
        <v>16</v>
      </c>
      <c r="C24" s="75">
        <f>(C23-C21)/150</f>
        <v>3.2746667302834577E-2</v>
      </c>
      <c r="D24" t="s">
        <v>146</v>
      </c>
      <c r="F24" s="5" t="s">
        <v>8</v>
      </c>
      <c r="G24" s="11">
        <f>0.000000000000001*G22*G10</f>
        <v>2.6831924746576368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8"/>
        <v>19</v>
      </c>
      <c r="P24" s="13">
        <f t="shared" si="4"/>
        <v>-3.0618133928150333</v>
      </c>
      <c r="Q24" s="13">
        <f t="shared" si="0"/>
        <v>-0.3116666666666667</v>
      </c>
      <c r="R24" s="13">
        <f t="shared" si="5"/>
        <v>4.18</v>
      </c>
      <c r="S24">
        <f t="shared" si="1"/>
        <v>0.28666666666666668</v>
      </c>
      <c r="T24" s="8">
        <f t="shared" si="6"/>
        <v>8.3304477353580597E-2</v>
      </c>
      <c r="U24" s="8">
        <f t="shared" si="2"/>
        <v>2.3394134776670017E-8</v>
      </c>
      <c r="V24">
        <f t="shared" si="3"/>
        <v>8.3304477353580597E-2</v>
      </c>
      <c r="W24" s="71">
        <f t="shared" si="7"/>
        <v>-2116.666666666667</v>
      </c>
      <c r="AA24">
        <v>20</v>
      </c>
      <c r="AB24">
        <v>1.002</v>
      </c>
    </row>
    <row r="25" spans="2:28" x14ac:dyDescent="0.25">
      <c r="B25" t="s">
        <v>17</v>
      </c>
      <c r="C25" s="75">
        <v>300</v>
      </c>
      <c r="E25">
        <f>G25*375/600</f>
        <v>17.301995296661023</v>
      </c>
      <c r="F25" s="5" t="s">
        <v>175</v>
      </c>
      <c r="G25" s="11">
        <f>C14+C15+C16</f>
        <v>27.683192474657638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8"/>
        <v>20</v>
      </c>
      <c r="P25" s="13">
        <f t="shared" si="4"/>
        <v>-3.0290667255121986</v>
      </c>
      <c r="Q25" s="13">
        <f t="shared" si="0"/>
        <v>-0.30833333333333335</v>
      </c>
      <c r="R25" s="13">
        <f t="shared" si="5"/>
        <v>4.4000000000000004</v>
      </c>
      <c r="S25">
        <f t="shared" si="1"/>
        <v>0.28333333333333333</v>
      </c>
      <c r="T25" s="8">
        <f t="shared" si="6"/>
        <v>9.3507786710374241E-2</v>
      </c>
      <c r="U25" s="8">
        <f t="shared" si="2"/>
        <v>3.0231837271609949E-8</v>
      </c>
      <c r="V25">
        <f t="shared" si="3"/>
        <v>9.3507786710374241E-2</v>
      </c>
      <c r="W25" s="71">
        <f t="shared" si="7"/>
        <v>-2083.3333333333335</v>
      </c>
      <c r="AA25">
        <v>21</v>
      </c>
      <c r="AB25">
        <v>1.002</v>
      </c>
    </row>
    <row r="26" spans="2:28" x14ac:dyDescent="0.25">
      <c r="B26" t="s">
        <v>18</v>
      </c>
      <c r="C26" s="75">
        <v>6</v>
      </c>
      <c r="E26" s="12"/>
      <c r="F26" s="5" t="s">
        <v>178</v>
      </c>
      <c r="G26" s="11">
        <f>G20*C18</f>
        <v>48.47496542098375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8"/>
        <v>21</v>
      </c>
      <c r="P26" s="13">
        <f t="shared" si="4"/>
        <v>-2.9963200582093639</v>
      </c>
      <c r="Q26" s="13">
        <f t="shared" si="0"/>
        <v>-0.30499999999999999</v>
      </c>
      <c r="R26" s="13">
        <f t="shared" si="5"/>
        <v>4.62</v>
      </c>
      <c r="S26">
        <f t="shared" si="1"/>
        <v>0.27999999999999997</v>
      </c>
      <c r="T26" s="8">
        <f t="shared" si="6"/>
        <v>0.10572423486108323</v>
      </c>
      <c r="U26" s="8">
        <f t="shared" si="2"/>
        <v>3.9068082233458138E-8</v>
      </c>
      <c r="V26">
        <f t="shared" si="3"/>
        <v>0.10572423486108323</v>
      </c>
      <c r="W26" s="71">
        <f t="shared" si="7"/>
        <v>-2050</v>
      </c>
      <c r="AA26">
        <v>22</v>
      </c>
      <c r="AB26">
        <v>1.002</v>
      </c>
    </row>
    <row r="27" spans="2:28" x14ac:dyDescent="0.25">
      <c r="B27" t="s">
        <v>19</v>
      </c>
      <c r="C27" s="75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73.555394207510602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8"/>
        <v>22</v>
      </c>
      <c r="P27" s="13">
        <f t="shared" si="4"/>
        <v>-2.9635733909065296</v>
      </c>
      <c r="Q27" s="13">
        <f t="shared" si="0"/>
        <v>-0.30166666666666669</v>
      </c>
      <c r="R27" s="13">
        <f t="shared" si="5"/>
        <v>4.84</v>
      </c>
      <c r="S27">
        <f t="shared" si="1"/>
        <v>0.27666666666666667</v>
      </c>
      <c r="T27" s="8">
        <f t="shared" si="6"/>
        <v>0.1204993130804273</v>
      </c>
      <c r="U27" s="8">
        <f t="shared" si="2"/>
        <v>5.0487009041431459E-8</v>
      </c>
      <c r="V27">
        <f t="shared" si="3"/>
        <v>0.1204993130804273</v>
      </c>
      <c r="W27" s="71">
        <f t="shared" si="7"/>
        <v>-2016.666666666667</v>
      </c>
      <c r="AA27">
        <v>23</v>
      </c>
      <c r="AB27">
        <v>1.002</v>
      </c>
    </row>
    <row r="28" spans="2:28" x14ac:dyDescent="0.25">
      <c r="B28" t="s">
        <v>20</v>
      </c>
      <c r="C28" s="75">
        <v>20</v>
      </c>
      <c r="D28">
        <f>2.142311</f>
        <v>2.1423109999999999</v>
      </c>
      <c r="F28" s="5" t="s">
        <v>179</v>
      </c>
      <c r="G28" s="6">
        <f>G26*10000/G16</f>
        <v>128.80000000000004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8"/>
        <v>23</v>
      </c>
      <c r="P28" s="13">
        <f t="shared" si="4"/>
        <v>-2.9308267236036949</v>
      </c>
      <c r="Q28" s="13">
        <f t="shared" si="0"/>
        <v>-0.29833333333333334</v>
      </c>
      <c r="R28" s="13">
        <f t="shared" si="5"/>
        <v>5.0599999999999996</v>
      </c>
      <c r="S28">
        <f t="shared" si="1"/>
        <v>0.27333333333333332</v>
      </c>
      <c r="T28" s="8">
        <f t="shared" si="6"/>
        <v>0.13848837651815396</v>
      </c>
      <c r="U28" s="8">
        <f t="shared" si="2"/>
        <v>6.5243490838304618E-8</v>
      </c>
      <c r="V28">
        <f t="shared" si="3"/>
        <v>0.13848837651815396</v>
      </c>
      <c r="W28" s="71">
        <f t="shared" si="7"/>
        <v>-1983.3333333333333</v>
      </c>
      <c r="AA28">
        <v>24</v>
      </c>
      <c r="AB28">
        <v>1.002</v>
      </c>
    </row>
    <row r="29" spans="2:28" x14ac:dyDescent="0.25">
      <c r="B29" t="s">
        <v>21</v>
      </c>
      <c r="C29" s="75">
        <v>100</v>
      </c>
      <c r="D29">
        <f>D27/D28</f>
        <v>1.0559008472626059</v>
      </c>
      <c r="E29">
        <f>C14/G29</f>
        <v>58.15497928096142</v>
      </c>
      <c r="F29" s="5" t="s">
        <v>177</v>
      </c>
      <c r="G29" s="3">
        <f>G25/C7</f>
        <v>4.6138654124429399E-2</v>
      </c>
      <c r="H29" s="3" t="s">
        <v>167</v>
      </c>
      <c r="I29"/>
      <c r="J29"/>
      <c r="K29" s="3"/>
      <c r="M29"/>
      <c r="O29" s="3">
        <f t="shared" si="8"/>
        <v>24</v>
      </c>
      <c r="P29" s="13">
        <f t="shared" si="4"/>
        <v>-2.8980800563008602</v>
      </c>
      <c r="Q29" s="13">
        <f t="shared" si="0"/>
        <v>-0.29499999999999998</v>
      </c>
      <c r="R29" s="13">
        <f t="shared" si="5"/>
        <v>5.28</v>
      </c>
      <c r="S29">
        <f t="shared" si="1"/>
        <v>0.26999999999999996</v>
      </c>
      <c r="T29" s="8">
        <f t="shared" si="6"/>
        <v>0.16042621689712758</v>
      </c>
      <c r="U29" s="8">
        <f t="shared" si="2"/>
        <v>8.4313036988896335E-8</v>
      </c>
      <c r="V29">
        <f t="shared" si="3"/>
        <v>0.16042621689712758</v>
      </c>
      <c r="W29" s="71">
        <f t="shared" si="7"/>
        <v>-1949.9999999999998</v>
      </c>
      <c r="AA29">
        <v>25</v>
      </c>
      <c r="AB29">
        <v>1.002</v>
      </c>
    </row>
    <row r="30" spans="2:28" x14ac:dyDescent="0.25">
      <c r="B30" t="s">
        <v>22</v>
      </c>
      <c r="C30" s="22">
        <f>G12</f>
        <v>4.7919443248187969E-2</v>
      </c>
      <c r="D30" t="s">
        <v>147</v>
      </c>
      <c r="F30" s="5" t="s">
        <v>180</v>
      </c>
      <c r="G30" s="6">
        <f>10000*G29/G16</f>
        <v>0.12259232367918434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8"/>
        <v>25</v>
      </c>
      <c r="P30" s="13">
        <f t="shared" si="4"/>
        <v>-2.8653333889980255</v>
      </c>
      <c r="Q30" s="13">
        <f t="shared" si="0"/>
        <v>-0.29166666666666663</v>
      </c>
      <c r="R30" s="13">
        <f t="shared" si="5"/>
        <v>5.5</v>
      </c>
      <c r="S30">
        <f t="shared" si="1"/>
        <v>0.26666666666666661</v>
      </c>
      <c r="T30" s="8">
        <f t="shared" si="6"/>
        <v>0.18704820126894162</v>
      </c>
      <c r="U30" s="8">
        <f t="shared" si="2"/>
        <v>1.089562811134546E-7</v>
      </c>
      <c r="V30">
        <f t="shared" si="3"/>
        <v>0.18704820126894162</v>
      </c>
      <c r="W30" s="71">
        <f t="shared" si="7"/>
        <v>-1916.6666666666663</v>
      </c>
      <c r="AA30">
        <v>26</v>
      </c>
      <c r="AB30">
        <v>1.002</v>
      </c>
    </row>
    <row r="31" spans="2:28" x14ac:dyDescent="0.25">
      <c r="B31" t="s">
        <v>23</v>
      </c>
      <c r="C31" s="75">
        <v>2</v>
      </c>
      <c r="D31">
        <f>D29^2</f>
        <v>1.1149265992498891</v>
      </c>
      <c r="E31" s="8">
        <f>C17/G31</f>
        <v>50</v>
      </c>
      <c r="F31" s="5" t="s">
        <v>182</v>
      </c>
      <c r="G31" s="3">
        <f>G26/C8</f>
        <v>0.12118741355245938</v>
      </c>
      <c r="H31" s="3" t="s">
        <v>167</v>
      </c>
      <c r="I31"/>
      <c r="J31"/>
      <c r="K31" s="3"/>
      <c r="M31"/>
      <c r="O31" s="3">
        <f t="shared" si="8"/>
        <v>26</v>
      </c>
      <c r="P31" s="13">
        <f t="shared" si="4"/>
        <v>-2.8325867216951912</v>
      </c>
      <c r="Q31" s="13">
        <f t="shared" si="0"/>
        <v>-0.28833333333333333</v>
      </c>
      <c r="R31" s="13">
        <f t="shared" si="5"/>
        <v>5.72</v>
      </c>
      <c r="S31">
        <f t="shared" si="1"/>
        <v>0.26333333333333331</v>
      </c>
      <c r="T31" s="8">
        <f t="shared" si="6"/>
        <v>0.21894607969832186</v>
      </c>
      <c r="U31" s="8">
        <f t="shared" si="2"/>
        <v>1.4080231777174845E-7</v>
      </c>
      <c r="V31">
        <f t="shared" si="3"/>
        <v>0.21894607969832186</v>
      </c>
      <c r="W31" s="71">
        <f t="shared" si="7"/>
        <v>-1883.3333333333333</v>
      </c>
      <c r="AA31">
        <v>27</v>
      </c>
      <c r="AB31">
        <v>1.002</v>
      </c>
    </row>
    <row r="32" spans="2:28" x14ac:dyDescent="0.25">
      <c r="B32" t="s">
        <v>24</v>
      </c>
      <c r="C32" s="75">
        <v>0.5</v>
      </c>
      <c r="D32">
        <f>D31*0.6</f>
        <v>0.66895595954993348</v>
      </c>
      <c r="F32" s="5" t="s">
        <v>183</v>
      </c>
      <c r="G32" s="6">
        <f>G31*10000/G16</f>
        <v>0.32200000000000012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8"/>
        <v>27</v>
      </c>
      <c r="P32" s="13">
        <f t="shared" si="4"/>
        <v>-2.7998400543923565</v>
      </c>
      <c r="Q32" s="13">
        <f t="shared" si="0"/>
        <v>-0.28499999999999998</v>
      </c>
      <c r="R32" s="13">
        <f t="shared" si="5"/>
        <v>5.94</v>
      </c>
      <c r="S32">
        <f t="shared" si="1"/>
        <v>0.25999999999999995</v>
      </c>
      <c r="T32" s="8">
        <f t="shared" si="6"/>
        <v>0.25635978297889961</v>
      </c>
      <c r="U32" s="8">
        <f t="shared" si="2"/>
        <v>1.8195639687279559E-7</v>
      </c>
      <c r="V32">
        <f t="shared" si="3"/>
        <v>0.25635978297889961</v>
      </c>
      <c r="W32" s="71">
        <f t="shared" si="7"/>
        <v>-1849.9999999999998</v>
      </c>
      <c r="AA32">
        <v>28</v>
      </c>
      <c r="AB32">
        <v>1.002</v>
      </c>
    </row>
    <row r="33" spans="2:28" x14ac:dyDescent="0.25">
      <c r="B33" t="s">
        <v>25</v>
      </c>
      <c r="C33" s="75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8"/>
        <v>28</v>
      </c>
      <c r="P33" s="13">
        <f t="shared" si="4"/>
        <v>-2.7670933870895218</v>
      </c>
      <c r="Q33" s="13">
        <f t="shared" si="0"/>
        <v>-0.28166666666666668</v>
      </c>
      <c r="R33" s="13">
        <f t="shared" si="5"/>
        <v>6.16</v>
      </c>
      <c r="S33">
        <f t="shared" si="1"/>
        <v>0.25666666666666665</v>
      </c>
      <c r="T33" s="8">
        <f t="shared" si="6"/>
        <v>0.2989466709460844</v>
      </c>
      <c r="U33" s="8">
        <f t="shared" si="2"/>
        <v>2.3513909505188513E-7</v>
      </c>
      <c r="V33">
        <f t="shared" si="3"/>
        <v>0.2989466709460844</v>
      </c>
      <c r="W33" s="71">
        <f t="shared" si="7"/>
        <v>-1816.6666666666667</v>
      </c>
      <c r="AA33">
        <v>29</v>
      </c>
      <c r="AB33">
        <v>1.002</v>
      </c>
    </row>
    <row r="34" spans="2:28" x14ac:dyDescent="0.25">
      <c r="B34" t="s">
        <v>26</v>
      </c>
      <c r="C34" s="75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8"/>
        <v>29</v>
      </c>
      <c r="P34" s="13">
        <f t="shared" si="4"/>
        <v>-2.7343467197866875</v>
      </c>
      <c r="Q34" s="13">
        <f t="shared" si="0"/>
        <v>-0.27833333333333338</v>
      </c>
      <c r="R34" s="13">
        <f t="shared" si="5"/>
        <v>6.38</v>
      </c>
      <c r="S34">
        <f t="shared" si="1"/>
        <v>0.25333333333333335</v>
      </c>
      <c r="T34" s="8">
        <f t="shared" si="6"/>
        <v>0.34562079900273246</v>
      </c>
      <c r="U34" s="8">
        <f t="shared" si="2"/>
        <v>3.0386616401986879E-7</v>
      </c>
      <c r="V34">
        <f t="shared" si="3"/>
        <v>0.34562079900273246</v>
      </c>
      <c r="W34" s="71">
        <f t="shared" si="7"/>
        <v>-1783.3333333333337</v>
      </c>
      <c r="AA34">
        <v>30</v>
      </c>
      <c r="AB34">
        <v>1.002</v>
      </c>
    </row>
    <row r="35" spans="2:28" x14ac:dyDescent="0.25">
      <c r="B35" t="s">
        <v>27</v>
      </c>
      <c r="C35" s="75">
        <v>3</v>
      </c>
      <c r="D35" t="s">
        <v>129</v>
      </c>
      <c r="F35" s="5" t="s">
        <v>187</v>
      </c>
      <c r="G35" s="13">
        <f>G22*G17*G17*0.000000000000000001*G33/(225.38*225.38)</f>
        <v>0.58361190764528992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8"/>
        <v>30</v>
      </c>
      <c r="P35" s="13">
        <f t="shared" si="4"/>
        <v>-2.7016000524838528</v>
      </c>
      <c r="Q35" s="13">
        <f t="shared" si="0"/>
        <v>-0.27500000000000002</v>
      </c>
      <c r="R35" s="13">
        <f t="shared" si="5"/>
        <v>6.6</v>
      </c>
      <c r="S35">
        <f t="shared" si="1"/>
        <v>0.25</v>
      </c>
      <c r="T35" s="8">
        <f t="shared" si="6"/>
        <v>0.39457739523103913</v>
      </c>
      <c r="U35" s="8">
        <f t="shared" si="2"/>
        <v>3.9268094477834522E-7</v>
      </c>
      <c r="V35">
        <f t="shared" si="3"/>
        <v>0.39457739523103913</v>
      </c>
      <c r="W35" s="71">
        <f t="shared" si="7"/>
        <v>-1750.0000000000002</v>
      </c>
      <c r="AA35">
        <v>31</v>
      </c>
      <c r="AB35">
        <v>1.002</v>
      </c>
    </row>
    <row r="36" spans="2:28" x14ac:dyDescent="0.25">
      <c r="B36" t="s">
        <v>28</v>
      </c>
      <c r="C36" s="75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8"/>
        <v>31</v>
      </c>
      <c r="P36" s="13">
        <f t="shared" si="4"/>
        <v>-2.6688533851810181</v>
      </c>
      <c r="Q36" s="13">
        <f t="shared" si="0"/>
        <v>-0.27166666666666667</v>
      </c>
      <c r="R36" s="13">
        <f t="shared" si="5"/>
        <v>6.82</v>
      </c>
      <c r="S36">
        <f t="shared" si="1"/>
        <v>0.24666666666666667</v>
      </c>
      <c r="T36" s="8">
        <f t="shared" si="6"/>
        <v>0.44356384248842168</v>
      </c>
      <c r="U36" s="8">
        <f t="shared" si="2"/>
        <v>5.0745471132227893E-7</v>
      </c>
      <c r="V36">
        <f t="shared" si="3"/>
        <v>0.44356384248842168</v>
      </c>
      <c r="W36" s="71">
        <f t="shared" si="7"/>
        <v>-1716.6666666666665</v>
      </c>
      <c r="AA36">
        <v>32</v>
      </c>
      <c r="AB36">
        <v>1.002</v>
      </c>
    </row>
    <row r="37" spans="2:28" x14ac:dyDescent="0.25">
      <c r="B37" t="s">
        <v>29</v>
      </c>
      <c r="C37" s="75">
        <v>10</v>
      </c>
      <c r="F37" s="5" t="s">
        <v>192</v>
      </c>
      <c r="G37" s="6">
        <f>0.000000000000001*G36*G10</f>
        <v>11.2829204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8"/>
        <v>32</v>
      </c>
      <c r="P37" s="13">
        <f t="shared" si="4"/>
        <v>-2.6361067178781834</v>
      </c>
      <c r="Q37" s="13">
        <f t="shared" si="0"/>
        <v>-0.26833333333333331</v>
      </c>
      <c r="R37" s="13">
        <f t="shared" si="5"/>
        <v>7.04</v>
      </c>
      <c r="S37">
        <f t="shared" si="1"/>
        <v>0.24333333333333332</v>
      </c>
      <c r="T37" s="8">
        <f t="shared" si="6"/>
        <v>0.49033083795197629</v>
      </c>
      <c r="U37" s="8">
        <f t="shared" si="2"/>
        <v>6.5577479765467292E-7</v>
      </c>
      <c r="V37">
        <f t="shared" si="3"/>
        <v>0.49033083795197629</v>
      </c>
      <c r="W37" s="71">
        <f t="shared" si="7"/>
        <v>-1683.333333333333</v>
      </c>
      <c r="AA37">
        <v>33</v>
      </c>
      <c r="AB37">
        <v>1.002</v>
      </c>
    </row>
    <row r="38" spans="2:28" x14ac:dyDescent="0.25">
      <c r="B38" t="s">
        <v>30</v>
      </c>
      <c r="C38" s="75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-2.5000000000000001E-2</v>
      </c>
      <c r="L38">
        <v>0</v>
      </c>
      <c r="M38" s="73">
        <v>0</v>
      </c>
      <c r="N38" t="s">
        <v>237</v>
      </c>
      <c r="O38" s="3">
        <f t="shared" si="8"/>
        <v>33</v>
      </c>
      <c r="P38" s="13">
        <f t="shared" si="4"/>
        <v>-2.6033600505753491</v>
      </c>
      <c r="Q38" s="13">
        <f t="shared" si="0"/>
        <v>-0.26500000000000001</v>
      </c>
      <c r="R38" s="13">
        <f t="shared" si="5"/>
        <v>7.26</v>
      </c>
      <c r="S38">
        <f t="shared" si="1"/>
        <v>0.24000000000000002</v>
      </c>
      <c r="T38" s="8">
        <f t="shared" si="6"/>
        <v>0.53308333394118324</v>
      </c>
      <c r="U38" s="8">
        <f t="shared" si="2"/>
        <v>8.4744616433620653E-7</v>
      </c>
      <c r="V38">
        <f t="shared" si="3"/>
        <v>0.53308333394118324</v>
      </c>
      <c r="W38" s="71">
        <f t="shared" si="7"/>
        <v>-1650</v>
      </c>
      <c r="AA38">
        <v>34</v>
      </c>
      <c r="AB38">
        <v>1.002</v>
      </c>
    </row>
    <row r="39" spans="2:28" x14ac:dyDescent="0.25">
      <c r="B39" t="s">
        <v>31</v>
      </c>
      <c r="C39" s="75">
        <v>0.125</v>
      </c>
      <c r="F39" s="5" t="s">
        <v>194</v>
      </c>
      <c r="G39" s="6">
        <f>0.0001*G38*G16</f>
        <v>3.7635842718155077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8"/>
        <v>34</v>
      </c>
      <c r="P39" s="13">
        <f t="shared" si="4"/>
        <v>-2.5706133832725144</v>
      </c>
      <c r="Q39" s="13">
        <f t="shared" si="0"/>
        <v>-0.26166666666666666</v>
      </c>
      <c r="R39" s="13">
        <f t="shared" si="5"/>
        <v>7.48</v>
      </c>
      <c r="S39">
        <f t="shared" si="1"/>
        <v>0.23666666666666666</v>
      </c>
      <c r="T39" s="8">
        <f t="shared" si="6"/>
        <v>0.57075088256080275</v>
      </c>
      <c r="U39" s="8">
        <f t="shared" si="2"/>
        <v>1.0951395587753581E-6</v>
      </c>
      <c r="V39">
        <f t="shared" si="3"/>
        <v>0.57075088256080275</v>
      </c>
      <c r="W39" s="71">
        <f t="shared" si="7"/>
        <v>-1616.6666666666665</v>
      </c>
      <c r="AA39">
        <v>35</v>
      </c>
      <c r="AB39">
        <v>1.002</v>
      </c>
    </row>
    <row r="40" spans="2:28" x14ac:dyDescent="0.25">
      <c r="B40" t="s">
        <v>32</v>
      </c>
      <c r="C40" s="75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8"/>
        <v>35</v>
      </c>
      <c r="P40" s="13">
        <f t="shared" si="4"/>
        <v>-2.5378667159696802</v>
      </c>
      <c r="Q40" s="13">
        <f t="shared" si="0"/>
        <v>-0.25833333333333336</v>
      </c>
      <c r="R40" s="13">
        <f t="shared" si="5"/>
        <v>7.7</v>
      </c>
      <c r="S40">
        <f t="shared" si="1"/>
        <v>0.23333333333333336</v>
      </c>
      <c r="T40" s="8">
        <f t="shared" si="6"/>
        <v>0.60301111079392955</v>
      </c>
      <c r="U40" s="8">
        <f t="shared" si="2"/>
        <v>1.4152291123820006E-6</v>
      </c>
      <c r="V40">
        <f t="shared" si="3"/>
        <v>0.60301111079392955</v>
      </c>
      <c r="W40" s="71">
        <f t="shared" si="7"/>
        <v>-1583.3333333333335</v>
      </c>
      <c r="AA40">
        <v>36</v>
      </c>
      <c r="AB40">
        <v>1.002</v>
      </c>
    </row>
    <row r="41" spans="2:28" x14ac:dyDescent="0.25">
      <c r="B41" t="s">
        <v>33</v>
      </c>
      <c r="C41" s="75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8"/>
        <v>36</v>
      </c>
      <c r="P41" s="13">
        <f t="shared" si="4"/>
        <v>-2.5051200486668455</v>
      </c>
      <c r="Q41" s="13">
        <f t="shared" si="0"/>
        <v>-0.255</v>
      </c>
      <c r="R41" s="13">
        <f t="shared" si="5"/>
        <v>7.92</v>
      </c>
      <c r="S41">
        <f t="shared" si="1"/>
        <v>0.23</v>
      </c>
      <c r="T41" s="8">
        <f t="shared" si="6"/>
        <v>0.63012770432629905</v>
      </c>
      <c r="U41" s="8">
        <f t="shared" si="2"/>
        <v>1.8288747375335081E-6</v>
      </c>
      <c r="V41">
        <f t="shared" si="3"/>
        <v>0.63012770432629905</v>
      </c>
      <c r="W41" s="71">
        <f t="shared" si="7"/>
        <v>-1550</v>
      </c>
      <c r="AA41">
        <v>37</v>
      </c>
      <c r="AB41">
        <v>1.002</v>
      </c>
    </row>
    <row r="42" spans="2:28" x14ac:dyDescent="0.25">
      <c r="B42" t="s">
        <v>34</v>
      </c>
      <c r="C42" s="75">
        <v>1000</v>
      </c>
      <c r="F42" s="5" t="s">
        <v>201</v>
      </c>
      <c r="G42" s="6">
        <f>2*G41*G41*(0.5*PI()+C15-C89)/G19</f>
        <v>-6.6358476579840806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8"/>
        <v>37</v>
      </c>
      <c r="P42" s="13">
        <f t="shared" si="4"/>
        <v>-2.4723733813640107</v>
      </c>
      <c r="Q42" s="13">
        <f t="shared" si="0"/>
        <v>-0.25166666666666665</v>
      </c>
      <c r="R42" s="13">
        <f t="shared" si="5"/>
        <v>8.14</v>
      </c>
      <c r="S42">
        <f t="shared" si="1"/>
        <v>0.22666666666666666</v>
      </c>
      <c r="T42" s="8">
        <f t="shared" si="6"/>
        <v>0.65271819713940316</v>
      </c>
      <c r="U42" s="8">
        <f t="shared" si="2"/>
        <v>2.3634208647950556E-6</v>
      </c>
      <c r="V42">
        <f t="shared" si="3"/>
        <v>0.65271819713940316</v>
      </c>
      <c r="W42" s="71">
        <f t="shared" si="7"/>
        <v>-1516.6666666666665</v>
      </c>
      <c r="AA42">
        <v>38</v>
      </c>
      <c r="AB42">
        <v>1.002</v>
      </c>
    </row>
    <row r="43" spans="2:28" x14ac:dyDescent="0.25">
      <c r="B43" t="s">
        <v>35</v>
      </c>
      <c r="C43" s="75">
        <v>1</v>
      </c>
      <c r="F43" s="5" t="s">
        <v>203</v>
      </c>
      <c r="G43" s="6">
        <f>0.5*G41*G41*G13</f>
        <v>0.1258755479916287</v>
      </c>
      <c r="H43" s="3" t="s">
        <v>162</v>
      </c>
      <c r="I43"/>
      <c r="J43"/>
      <c r="K43" s="3"/>
      <c r="L43">
        <v>0.06</v>
      </c>
      <c r="M43"/>
      <c r="O43" s="3">
        <f t="shared" si="8"/>
        <v>38</v>
      </c>
      <c r="P43" s="13">
        <f t="shared" si="4"/>
        <v>-2.439626714061176</v>
      </c>
      <c r="Q43" s="13">
        <f t="shared" si="0"/>
        <v>-0.24833333333333332</v>
      </c>
      <c r="R43" s="13">
        <f t="shared" si="5"/>
        <v>8.36</v>
      </c>
      <c r="S43">
        <f t="shared" si="1"/>
        <v>0.22333333333333333</v>
      </c>
      <c r="T43" s="8">
        <f t="shared" si="6"/>
        <v>0.67154424878116425</v>
      </c>
      <c r="U43" s="8">
        <f t="shared" si="2"/>
        <v>3.0542039639552431E-6</v>
      </c>
      <c r="V43">
        <f t="shared" si="3"/>
        <v>0.67154424878116425</v>
      </c>
      <c r="W43" s="71">
        <f t="shared" si="7"/>
        <v>-1483.3333333333333</v>
      </c>
      <c r="AA43">
        <v>39</v>
      </c>
      <c r="AB43">
        <v>1.002</v>
      </c>
    </row>
    <row r="44" spans="2:28" x14ac:dyDescent="0.25">
      <c r="B44" t="s">
        <v>36</v>
      </c>
      <c r="C44" s="75">
        <v>1</v>
      </c>
      <c r="F44" s="5" t="s">
        <v>203</v>
      </c>
      <c r="G44" s="6">
        <f>G43/G18</f>
        <v>1.2366014074931557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8"/>
        <v>39</v>
      </c>
      <c r="P44" s="13">
        <f t="shared" si="4"/>
        <v>-2.4068800467583413</v>
      </c>
      <c r="Q44" s="13">
        <f t="shared" si="0"/>
        <v>-0.24499999999999997</v>
      </c>
      <c r="R44" s="13">
        <f t="shared" si="5"/>
        <v>8.58</v>
      </c>
      <c r="S44">
        <f t="shared" si="1"/>
        <v>0.21999999999999997</v>
      </c>
      <c r="T44" s="8">
        <f t="shared" si="6"/>
        <v>0.68736598182104158</v>
      </c>
      <c r="U44" s="8">
        <f t="shared" si="2"/>
        <v>3.9468883005428251E-6</v>
      </c>
      <c r="V44">
        <f t="shared" si="3"/>
        <v>0.68736598182104158</v>
      </c>
      <c r="W44" s="71">
        <f t="shared" si="7"/>
        <v>-1449.9999999999995</v>
      </c>
      <c r="AA44">
        <v>40</v>
      </c>
      <c r="AB44">
        <v>1.002</v>
      </c>
    </row>
    <row r="45" spans="2:28" x14ac:dyDescent="0.25">
      <c r="B45" t="s">
        <v>213</v>
      </c>
      <c r="C45" s="75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8"/>
        <v>40</v>
      </c>
      <c r="P45" s="13">
        <f t="shared" si="4"/>
        <v>-2.3741333794555071</v>
      </c>
      <c r="Q45" s="13">
        <f t="shared" si="0"/>
        <v>-0.24166666666666667</v>
      </c>
      <c r="R45" s="13">
        <f t="shared" si="5"/>
        <v>8.8000000000000007</v>
      </c>
      <c r="S45">
        <f t="shared" si="1"/>
        <v>0.21666666666666667</v>
      </c>
      <c r="T45" s="8">
        <f t="shared" si="6"/>
        <v>0.70086179899476075</v>
      </c>
      <c r="U45" s="8">
        <f t="shared" si="2"/>
        <v>5.100484273856577E-6</v>
      </c>
      <c r="V45">
        <f t="shared" si="3"/>
        <v>0.70086179899476075</v>
      </c>
      <c r="W45" s="71">
        <f t="shared" si="7"/>
        <v>-1416.6666666666667</v>
      </c>
      <c r="AA45">
        <v>41</v>
      </c>
      <c r="AB45">
        <v>1.002</v>
      </c>
    </row>
    <row r="46" spans="2:28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1.2366014074931559</v>
      </c>
      <c r="H46" s="3"/>
      <c r="I46"/>
      <c r="J46"/>
      <c r="K46" s="3"/>
      <c r="M46"/>
      <c r="O46" s="3">
        <f t="shared" si="8"/>
        <v>41</v>
      </c>
      <c r="P46" s="13">
        <f t="shared" si="4"/>
        <v>-2.3413867121526724</v>
      </c>
      <c r="Q46" s="13">
        <f t="shared" si="0"/>
        <v>-0.23833333333333334</v>
      </c>
      <c r="R46" s="13">
        <f t="shared" si="5"/>
        <v>9.02</v>
      </c>
      <c r="S46">
        <f t="shared" si="1"/>
        <v>0.21333333333333335</v>
      </c>
      <c r="T46" s="8">
        <f t="shared" si="6"/>
        <v>0.712596858946694</v>
      </c>
      <c r="U46" s="8">
        <f t="shared" si="2"/>
        <v>6.5912487630005256E-6</v>
      </c>
      <c r="V46">
        <f t="shared" si="3"/>
        <v>0.712596858946694</v>
      </c>
      <c r="W46" s="71">
        <f t="shared" si="7"/>
        <v>-1383.3333333333333</v>
      </c>
      <c r="AA46">
        <v>42</v>
      </c>
      <c r="AB46">
        <v>1.002</v>
      </c>
    </row>
    <row r="47" spans="2:28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8"/>
        <v>42</v>
      </c>
      <c r="P47" s="13">
        <f t="shared" si="4"/>
        <v>-2.3086400448498381</v>
      </c>
      <c r="Q47" s="13">
        <f t="shared" si="0"/>
        <v>-0.23500000000000001</v>
      </c>
      <c r="R47" s="13">
        <f t="shared" si="5"/>
        <v>9.24</v>
      </c>
      <c r="S47">
        <f t="shared" si="1"/>
        <v>0.21000000000000002</v>
      </c>
      <c r="T47" s="8">
        <f t="shared" si="6"/>
        <v>0.72302093499827957</v>
      </c>
      <c r="U47" s="8">
        <f t="shared" si="2"/>
        <v>8.5177251425285279E-6</v>
      </c>
      <c r="V47">
        <f t="shared" si="3"/>
        <v>0.72302093499827957</v>
      </c>
      <c r="W47" s="71">
        <f t="shared" si="7"/>
        <v>-1350</v>
      </c>
      <c r="AA47">
        <v>43</v>
      </c>
      <c r="AB47">
        <v>1.002</v>
      </c>
    </row>
    <row r="48" spans="2:28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8"/>
        <v>43</v>
      </c>
      <c r="P48" s="13">
        <f t="shared" si="4"/>
        <v>-2.2758933775470034</v>
      </c>
      <c r="Q48" s="13">
        <f t="shared" si="0"/>
        <v>-0.23166666666666669</v>
      </c>
      <c r="R48" s="13">
        <f t="shared" si="5"/>
        <v>9.4600000000000009</v>
      </c>
      <c r="S48">
        <f t="shared" si="1"/>
        <v>0.20666666666666669</v>
      </c>
      <c r="T48" s="8">
        <f t="shared" si="6"/>
        <v>0.73248077197051631</v>
      </c>
      <c r="U48" s="8">
        <f t="shared" si="2"/>
        <v>1.1007255849483209E-5</v>
      </c>
      <c r="V48">
        <f t="shared" si="3"/>
        <v>0.73248077197051631</v>
      </c>
      <c r="W48" s="71">
        <f t="shared" si="7"/>
        <v>-1316.6666666666667</v>
      </c>
      <c r="AA48">
        <v>44</v>
      </c>
      <c r="AB48">
        <v>1.002</v>
      </c>
    </row>
    <row r="49" spans="1:28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8"/>
        <v>44</v>
      </c>
      <c r="P49" s="13">
        <f t="shared" si="4"/>
        <v>-2.2431467102441687</v>
      </c>
      <c r="Q49" s="13">
        <f t="shared" si="0"/>
        <v>-0.22833333333333333</v>
      </c>
      <c r="R49" s="13">
        <f t="shared" si="5"/>
        <v>9.68</v>
      </c>
      <c r="S49">
        <f t="shared" si="1"/>
        <v>0.20333333333333334</v>
      </c>
      <c r="T49" s="8">
        <f t="shared" si="6"/>
        <v>0.74123757718070671</v>
      </c>
      <c r="U49" s="8">
        <f t="shared" si="2"/>
        <v>1.4224397529158669E-5</v>
      </c>
      <c r="V49">
        <f t="shared" si="3"/>
        <v>0.74123757718070671</v>
      </c>
      <c r="W49" s="71">
        <f t="shared" si="7"/>
        <v>-1283.3333333333333</v>
      </c>
      <c r="AA49">
        <v>45</v>
      </c>
      <c r="AB49">
        <v>1.002</v>
      </c>
    </row>
    <row r="50" spans="1:28" x14ac:dyDescent="0.25">
      <c r="B50" t="s">
        <v>37</v>
      </c>
      <c r="C50" s="75">
        <v>0</v>
      </c>
      <c r="F50" s="5"/>
      <c r="G50" s="3"/>
      <c r="H50" s="3"/>
      <c r="I50"/>
      <c r="J50"/>
      <c r="K50" s="3"/>
      <c r="M50"/>
      <c r="O50" s="3">
        <f t="shared" si="8"/>
        <v>45</v>
      </c>
      <c r="P50" s="13">
        <f t="shared" si="4"/>
        <v>-2.210400042941334</v>
      </c>
      <c r="Q50" s="13">
        <f t="shared" si="0"/>
        <v>-0.22499999999999998</v>
      </c>
      <c r="R50" s="13">
        <f t="shared" si="5"/>
        <v>9.9</v>
      </c>
      <c r="S50">
        <f t="shared" si="1"/>
        <v>0.19999999999999998</v>
      </c>
      <c r="T50" s="8">
        <f t="shared" si="6"/>
        <v>0.74948462824224882</v>
      </c>
      <c r="U50" s="8">
        <f t="shared" si="2"/>
        <v>1.8381794225912101E-5</v>
      </c>
      <c r="V50">
        <f t="shared" si="3"/>
        <v>0.74948462824224882</v>
      </c>
      <c r="W50" s="71">
        <f t="shared" si="7"/>
        <v>-1249.9999999999998</v>
      </c>
      <c r="AA50">
        <v>46</v>
      </c>
      <c r="AB50">
        <v>1.002</v>
      </c>
    </row>
    <row r="51" spans="1:28" x14ac:dyDescent="0.25">
      <c r="B51" t="s">
        <v>38</v>
      </c>
      <c r="C51" s="75">
        <v>1000000000</v>
      </c>
      <c r="F51" s="5"/>
      <c r="G51" s="3"/>
      <c r="H51" s="3"/>
      <c r="I51"/>
      <c r="J51"/>
      <c r="K51" s="3"/>
      <c r="M51"/>
      <c r="O51" s="3">
        <f t="shared" si="8"/>
        <v>46</v>
      </c>
      <c r="P51" s="13">
        <f t="shared" si="4"/>
        <v>-2.1776533756384993</v>
      </c>
      <c r="Q51" s="13">
        <f t="shared" si="0"/>
        <v>-0.22166666666666665</v>
      </c>
      <c r="R51" s="13">
        <f t="shared" si="5"/>
        <v>10.119999999999999</v>
      </c>
      <c r="S51">
        <f t="shared" si="1"/>
        <v>0.19666666666666666</v>
      </c>
      <c r="T51" s="8">
        <f t="shared" si="6"/>
        <v>0.7573627660995581</v>
      </c>
      <c r="U51" s="8">
        <f t="shared" si="2"/>
        <v>2.3754226020171115E-5</v>
      </c>
      <c r="V51">
        <f t="shared" si="3"/>
        <v>0.7573627660995581</v>
      </c>
      <c r="W51" s="71">
        <f t="shared" si="7"/>
        <v>-1216.6666666666665</v>
      </c>
      <c r="AA51">
        <v>47</v>
      </c>
      <c r="AB51">
        <v>1.002</v>
      </c>
    </row>
    <row r="52" spans="1:28" x14ac:dyDescent="0.25">
      <c r="B52" t="s">
        <v>39</v>
      </c>
      <c r="C52" s="75">
        <v>0</v>
      </c>
      <c r="F52" s="5"/>
      <c r="G52" s="3"/>
      <c r="H52" s="3"/>
      <c r="I52"/>
      <c r="J52"/>
      <c r="K52" s="3"/>
      <c r="M52"/>
      <c r="O52" s="3">
        <f t="shared" si="8"/>
        <v>47</v>
      </c>
      <c r="P52" s="13">
        <f t="shared" si="4"/>
        <v>-2.144906708335665</v>
      </c>
      <c r="Q52" s="13">
        <f t="shared" si="0"/>
        <v>-0.21833333333333335</v>
      </c>
      <c r="R52" s="13">
        <f t="shared" si="5"/>
        <v>10.34</v>
      </c>
      <c r="S52">
        <f t="shared" si="1"/>
        <v>0.19333333333333336</v>
      </c>
      <c r="T52" s="8">
        <f t="shared" si="6"/>
        <v>0.76497309377768552</v>
      </c>
      <c r="U52" s="8">
        <f t="shared" si="2"/>
        <v>3.06967594981513E-5</v>
      </c>
      <c r="V52">
        <f t="shared" si="3"/>
        <v>0.76497309377768552</v>
      </c>
      <c r="W52" s="71">
        <f t="shared" si="7"/>
        <v>-1183.3333333333335</v>
      </c>
      <c r="AA52">
        <v>48</v>
      </c>
      <c r="AB52">
        <v>1.002</v>
      </c>
    </row>
    <row r="53" spans="1:28" x14ac:dyDescent="0.25">
      <c r="B53" t="s">
        <v>40</v>
      </c>
      <c r="C53" s="75">
        <v>0.75</v>
      </c>
      <c r="F53" s="5"/>
      <c r="G53" s="7"/>
      <c r="H53" s="3"/>
      <c r="I53"/>
      <c r="J53"/>
      <c r="K53" s="3"/>
      <c r="M53"/>
      <c r="O53" s="3">
        <f t="shared" si="8"/>
        <v>48</v>
      </c>
      <c r="P53" s="13">
        <f t="shared" si="4"/>
        <v>-2.1121600410328303</v>
      </c>
      <c r="Q53" s="13">
        <f t="shared" si="0"/>
        <v>-0.215</v>
      </c>
      <c r="R53" s="13">
        <f t="shared" si="5"/>
        <v>10.56</v>
      </c>
      <c r="S53">
        <f t="shared" si="1"/>
        <v>0.19</v>
      </c>
      <c r="T53" s="8">
        <f t="shared" si="6"/>
        <v>0.77238695766961363</v>
      </c>
      <c r="U53" s="8">
        <f t="shared" si="2"/>
        <v>3.9668196041189881E-5</v>
      </c>
      <c r="V53">
        <f t="shared" si="3"/>
        <v>0.77238695766961363</v>
      </c>
      <c r="W53" s="71">
        <f t="shared" si="7"/>
        <v>-1150</v>
      </c>
      <c r="AA53">
        <v>49</v>
      </c>
      <c r="AB53">
        <v>1.002</v>
      </c>
    </row>
    <row r="54" spans="1:28" x14ac:dyDescent="0.25">
      <c r="B54" t="s">
        <v>41</v>
      </c>
      <c r="C54" s="75">
        <v>0</v>
      </c>
      <c r="F54" s="5"/>
      <c r="G54" s="7"/>
      <c r="H54" s="3"/>
      <c r="I54"/>
      <c r="J54"/>
      <c r="K54" s="3"/>
      <c r="M54"/>
      <c r="O54" s="3">
        <f t="shared" si="8"/>
        <v>49</v>
      </c>
      <c r="P54" s="13">
        <f t="shared" si="4"/>
        <v>-2.079413373729996</v>
      </c>
      <c r="Q54" s="13">
        <f t="shared" si="0"/>
        <v>-0.2116666666666667</v>
      </c>
      <c r="R54" s="13">
        <f t="shared" si="5"/>
        <v>10.78</v>
      </c>
      <c r="S54">
        <f t="shared" si="1"/>
        <v>0.1866666666666667</v>
      </c>
      <c r="T54" s="8">
        <f t="shared" si="6"/>
        <v>0.7796535923835648</v>
      </c>
      <c r="U54" s="8">
        <f t="shared" si="2"/>
        <v>5.1261361540634727E-5</v>
      </c>
      <c r="V54">
        <f t="shared" si="3"/>
        <v>0.7796535923835648</v>
      </c>
      <c r="W54" s="71">
        <f t="shared" si="7"/>
        <v>-1116.666666666667</v>
      </c>
      <c r="AA54">
        <v>50</v>
      </c>
      <c r="AB54">
        <v>1.002</v>
      </c>
    </row>
    <row r="55" spans="1:28" x14ac:dyDescent="0.25">
      <c r="B55" t="s">
        <v>42</v>
      </c>
      <c r="C55" s="75">
        <v>2.25</v>
      </c>
      <c r="F55" s="5"/>
      <c r="G55" s="7"/>
      <c r="H55" s="3"/>
      <c r="I55"/>
      <c r="J55"/>
      <c r="K55" s="3"/>
      <c r="M55"/>
      <c r="O55" s="3">
        <f t="shared" si="8"/>
        <v>50</v>
      </c>
      <c r="P55" s="13">
        <f t="shared" si="4"/>
        <v>-2.0466667064271613</v>
      </c>
      <c r="Q55" s="13">
        <f t="shared" si="0"/>
        <v>-0.20833333333333334</v>
      </c>
      <c r="R55" s="13">
        <f t="shared" si="5"/>
        <v>11</v>
      </c>
      <c r="S55">
        <f t="shared" si="1"/>
        <v>0.18333333333333335</v>
      </c>
      <c r="T55" s="8">
        <f t="shared" si="6"/>
        <v>0.78680588346927904</v>
      </c>
      <c r="U55" s="8">
        <f t="shared" si="2"/>
        <v>6.6242229062913284E-5</v>
      </c>
      <c r="V55">
        <f t="shared" si="3"/>
        <v>0.78680588346927904</v>
      </c>
      <c r="W55" s="71">
        <f t="shared" si="7"/>
        <v>-1083.3333333333333</v>
      </c>
      <c r="AA55">
        <v>51</v>
      </c>
      <c r="AB55">
        <v>1.002</v>
      </c>
    </row>
    <row r="56" spans="1:28" x14ac:dyDescent="0.25">
      <c r="A56" t="s">
        <v>43</v>
      </c>
      <c r="C56" s="75"/>
      <c r="F56" s="5"/>
      <c r="G56" s="3"/>
      <c r="H56" s="3"/>
      <c r="I56"/>
      <c r="J56"/>
      <c r="K56" s="3"/>
      <c r="M56"/>
      <c r="O56" s="3">
        <f t="shared" si="8"/>
        <v>51</v>
      </c>
      <c r="P56" s="13">
        <f t="shared" si="4"/>
        <v>-2.0139200391243266</v>
      </c>
      <c r="Q56" s="13">
        <f t="shared" si="0"/>
        <v>-0.20499999999999999</v>
      </c>
      <c r="R56" s="13">
        <f t="shared" si="5"/>
        <v>11.22</v>
      </c>
      <c r="S56">
        <f t="shared" si="1"/>
        <v>0.18</v>
      </c>
      <c r="T56" s="8">
        <f t="shared" si="6"/>
        <v>0.79386467163752483</v>
      </c>
      <c r="U56" s="8">
        <f t="shared" si="2"/>
        <v>8.5600442651804067E-5</v>
      </c>
      <c r="V56">
        <f t="shared" si="3"/>
        <v>0.79386467163752483</v>
      </c>
      <c r="W56" s="71">
        <f t="shared" si="7"/>
        <v>-1049.9999999999998</v>
      </c>
      <c r="AA56">
        <v>52</v>
      </c>
      <c r="AB56">
        <v>1.002</v>
      </c>
    </row>
    <row r="57" spans="1:28" x14ac:dyDescent="0.25">
      <c r="C57" s="75"/>
      <c r="F57" s="5"/>
      <c r="G57" s="3"/>
      <c r="H57" s="3"/>
      <c r="I57"/>
      <c r="J57"/>
      <c r="K57" s="3"/>
      <c r="M57"/>
      <c r="O57" s="3">
        <f t="shared" si="8"/>
        <v>52</v>
      </c>
      <c r="P57" s="13">
        <f t="shared" si="4"/>
        <v>-1.9811733718214921</v>
      </c>
      <c r="Q57" s="13">
        <f t="shared" si="0"/>
        <v>-0.20166666666666666</v>
      </c>
      <c r="R57" s="13">
        <f t="shared" si="5"/>
        <v>11.44</v>
      </c>
      <c r="S57">
        <f t="shared" si="1"/>
        <v>0.17666666666666667</v>
      </c>
      <c r="T57" s="8">
        <f t="shared" si="6"/>
        <v>0.80084195392396629</v>
      </c>
      <c r="U57" s="8">
        <f t="shared" si="2"/>
        <v>1.1061455203652224E-4</v>
      </c>
      <c r="V57">
        <f t="shared" si="3"/>
        <v>0.80084195392396629</v>
      </c>
      <c r="W57" s="71">
        <f t="shared" si="7"/>
        <v>-1016.6666666666665</v>
      </c>
      <c r="AA57">
        <v>53</v>
      </c>
      <c r="AB57">
        <v>1.002</v>
      </c>
    </row>
    <row r="58" spans="1:28" x14ac:dyDescent="0.25">
      <c r="A58" t="s">
        <v>44</v>
      </c>
      <c r="C58" s="75"/>
      <c r="F58" s="5"/>
      <c r="G58" s="3"/>
      <c r="H58" s="3"/>
      <c r="I58"/>
      <c r="J58"/>
      <c r="K58" s="3"/>
      <c r="M58"/>
      <c r="O58" s="3">
        <f t="shared" si="8"/>
        <v>53</v>
      </c>
      <c r="P58" s="13">
        <f t="shared" si="4"/>
        <v>-1.9484267045186574</v>
      </c>
      <c r="Q58" s="13">
        <f t="shared" si="0"/>
        <v>-0.19833333333333333</v>
      </c>
      <c r="R58" s="13">
        <f t="shared" si="5"/>
        <v>11.66</v>
      </c>
      <c r="S58">
        <f t="shared" si="1"/>
        <v>0.17333333333333334</v>
      </c>
      <c r="T58" s="8">
        <f t="shared" si="6"/>
        <v>0.8077432634353412</v>
      </c>
      <c r="U58" s="8">
        <f t="shared" si="2"/>
        <v>1.4293622029338583E-4</v>
      </c>
      <c r="V58">
        <f t="shared" si="3"/>
        <v>0.8077432634353412</v>
      </c>
      <c r="W58" s="71">
        <f t="shared" si="7"/>
        <v>-983.33333333333326</v>
      </c>
      <c r="AA58">
        <v>54</v>
      </c>
      <c r="AB58">
        <v>1.002</v>
      </c>
    </row>
    <row r="59" spans="1:28" x14ac:dyDescent="0.25">
      <c r="B59" t="s">
        <v>45</v>
      </c>
      <c r="C59" s="75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8"/>
        <v>54</v>
      </c>
      <c r="P59" s="13">
        <f t="shared" si="4"/>
        <v>-1.9156800372158229</v>
      </c>
      <c r="Q59" s="13">
        <f t="shared" si="0"/>
        <v>-0.19500000000000001</v>
      </c>
      <c r="R59" s="13">
        <f t="shared" si="5"/>
        <v>11.88</v>
      </c>
      <c r="S59">
        <f t="shared" si="1"/>
        <v>0.17</v>
      </c>
      <c r="T59" s="8">
        <f t="shared" si="6"/>
        <v>0.81456944316482582</v>
      </c>
      <c r="U59" s="8">
        <f t="shared" si="2"/>
        <v>1.8469888702779761E-4</v>
      </c>
      <c r="V59">
        <f t="shared" si="3"/>
        <v>0.81456944316482582</v>
      </c>
      <c r="W59" s="71">
        <f t="shared" si="7"/>
        <v>-950</v>
      </c>
      <c r="AA59">
        <v>55</v>
      </c>
      <c r="AB59">
        <v>1.002</v>
      </c>
    </row>
    <row r="60" spans="1:28" x14ac:dyDescent="0.25">
      <c r="B60" t="s">
        <v>210</v>
      </c>
      <c r="C60" s="75" t="s">
        <v>47</v>
      </c>
      <c r="F60" s="5"/>
      <c r="G60" s="3"/>
      <c r="H60" s="3"/>
      <c r="I60"/>
      <c r="J60"/>
      <c r="K60" s="3"/>
      <c r="M60"/>
      <c r="O60" s="3">
        <f t="shared" si="8"/>
        <v>55</v>
      </c>
      <c r="P60" s="13">
        <f t="shared" si="4"/>
        <v>-1.8829333699129884</v>
      </c>
      <c r="Q60" s="13">
        <f t="shared" si="0"/>
        <v>-0.19166666666666668</v>
      </c>
      <c r="R60" s="13">
        <f t="shared" si="5"/>
        <v>12.1</v>
      </c>
      <c r="S60">
        <f t="shared" si="1"/>
        <v>0.16666666666666669</v>
      </c>
      <c r="T60" s="8">
        <f t="shared" si="6"/>
        <v>0.82131797503039983</v>
      </c>
      <c r="U60" s="8">
        <f t="shared" si="2"/>
        <v>2.3865793007286833E-4</v>
      </c>
      <c r="V60">
        <f t="shared" si="3"/>
        <v>0.82131797503039983</v>
      </c>
      <c r="W60" s="71">
        <f t="shared" si="7"/>
        <v>-916.66666666666674</v>
      </c>
      <c r="AA60">
        <v>56</v>
      </c>
      <c r="AB60">
        <v>1.002</v>
      </c>
    </row>
    <row r="61" spans="1:28" x14ac:dyDescent="0.25">
      <c r="B61" t="s">
        <v>48</v>
      </c>
      <c r="C61" s="75" t="s">
        <v>46</v>
      </c>
      <c r="F61" s="5"/>
      <c r="G61" s="3"/>
      <c r="H61" s="3"/>
      <c r="I61"/>
      <c r="J61"/>
      <c r="K61" s="3"/>
      <c r="M61"/>
      <c r="O61" s="3">
        <f t="shared" si="8"/>
        <v>56</v>
      </c>
      <c r="P61" s="13">
        <f t="shared" si="4"/>
        <v>-1.8501867026101537</v>
      </c>
      <c r="Q61" s="13">
        <f t="shared" si="0"/>
        <v>-0.18833333333333332</v>
      </c>
      <c r="R61" s="13">
        <f t="shared" si="5"/>
        <v>12.32</v>
      </c>
      <c r="S61">
        <f t="shared" si="1"/>
        <v>0.16333333333333333</v>
      </c>
      <c r="T61" s="8">
        <f t="shared" si="6"/>
        <v>0.82798398279307606</v>
      </c>
      <c r="U61" s="8">
        <f t="shared" si="2"/>
        <v>3.0837135718789763E-4</v>
      </c>
      <c r="V61">
        <f t="shared" si="3"/>
        <v>0.82798398279307606</v>
      </c>
      <c r="W61" s="71">
        <f t="shared" si="7"/>
        <v>-883.33333333333314</v>
      </c>
      <c r="AA61">
        <v>57</v>
      </c>
      <c r="AB61">
        <v>1.002</v>
      </c>
    </row>
    <row r="62" spans="1:28" x14ac:dyDescent="0.25">
      <c r="B62" t="s">
        <v>214</v>
      </c>
      <c r="C62" s="75">
        <v>4</v>
      </c>
      <c r="F62" s="5"/>
      <c r="G62" s="3"/>
      <c r="H62" s="3"/>
      <c r="I62"/>
      <c r="J62"/>
      <c r="K62" s="3"/>
      <c r="M62"/>
      <c r="O62" s="3">
        <f t="shared" si="8"/>
        <v>57</v>
      </c>
      <c r="P62" s="13">
        <f t="shared" si="4"/>
        <v>-1.8174400353073192</v>
      </c>
      <c r="Q62" s="13">
        <f t="shared" si="0"/>
        <v>-0.185</v>
      </c>
      <c r="R62" s="13">
        <f t="shared" si="5"/>
        <v>12.540000000000001</v>
      </c>
      <c r="S62">
        <f t="shared" si="1"/>
        <v>0.16</v>
      </c>
      <c r="T62" s="8">
        <f t="shared" si="6"/>
        <v>0.83456099527054906</v>
      </c>
      <c r="U62" s="8">
        <f t="shared" si="2"/>
        <v>3.9843258226931045E-4</v>
      </c>
      <c r="V62">
        <f t="shared" si="3"/>
        <v>0.83456099527054906</v>
      </c>
      <c r="W62" s="71">
        <f t="shared" si="7"/>
        <v>-849.99999999999989</v>
      </c>
      <c r="AA62">
        <v>58</v>
      </c>
      <c r="AB62">
        <v>1.002</v>
      </c>
    </row>
    <row r="63" spans="1:28" x14ac:dyDescent="0.25">
      <c r="B63" t="s">
        <v>49</v>
      </c>
      <c r="C63" s="75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8"/>
        <v>58</v>
      </c>
      <c r="P63" s="13">
        <f t="shared" si="4"/>
        <v>-1.7846933680044845</v>
      </c>
      <c r="Q63" s="13">
        <f t="shared" si="0"/>
        <v>-0.18166666666666667</v>
      </c>
      <c r="R63" s="13">
        <f t="shared" si="5"/>
        <v>12.76</v>
      </c>
      <c r="S63">
        <f t="shared" si="1"/>
        <v>0.15666666666666668</v>
      </c>
      <c r="T63" s="8">
        <f t="shared" si="6"/>
        <v>0.84104153229739576</v>
      </c>
      <c r="U63" s="8">
        <f t="shared" si="2"/>
        <v>5.1477002346049451E-4</v>
      </c>
      <c r="V63">
        <f t="shared" si="3"/>
        <v>0.84104153229739576</v>
      </c>
      <c r="W63" s="71">
        <f t="shared" si="7"/>
        <v>-816.66666666666663</v>
      </c>
      <c r="AA63">
        <v>59</v>
      </c>
      <c r="AB63">
        <v>1.002</v>
      </c>
    </row>
    <row r="64" spans="1:28" x14ac:dyDescent="0.25">
      <c r="B64" t="s">
        <v>50</v>
      </c>
      <c r="C64" s="75" t="s">
        <v>46</v>
      </c>
      <c r="F64" s="5"/>
      <c r="G64" s="3"/>
      <c r="H64" s="3"/>
      <c r="I64"/>
      <c r="J64"/>
      <c r="K64" s="3"/>
      <c r="M64"/>
      <c r="O64" s="3">
        <f t="shared" si="8"/>
        <v>59</v>
      </c>
      <c r="P64" s="13">
        <f t="shared" si="4"/>
        <v>-1.75194670070165</v>
      </c>
      <c r="Q64" s="13">
        <f t="shared" si="0"/>
        <v>-0.17833333333333334</v>
      </c>
      <c r="R64" s="13">
        <f t="shared" si="5"/>
        <v>12.98</v>
      </c>
      <c r="S64">
        <f t="shared" si="1"/>
        <v>0.15333333333333335</v>
      </c>
      <c r="T64" s="8">
        <f t="shared" si="6"/>
        <v>0.84741755833194887</v>
      </c>
      <c r="U64" s="8">
        <f t="shared" si="2"/>
        <v>6.6503224483852649E-4</v>
      </c>
      <c r="V64">
        <f t="shared" si="3"/>
        <v>0.84741755833194887</v>
      </c>
      <c r="W64" s="71">
        <f t="shared" si="7"/>
        <v>-783.33333333333337</v>
      </c>
      <c r="AA64">
        <v>60</v>
      </c>
      <c r="AB64">
        <v>1.002</v>
      </c>
    </row>
    <row r="65" spans="1:28" x14ac:dyDescent="0.25">
      <c r="B65" t="s">
        <v>51</v>
      </c>
      <c r="C65" s="75" t="s">
        <v>46</v>
      </c>
      <c r="F65" s="5"/>
      <c r="G65" s="3"/>
      <c r="H65" s="3"/>
      <c r="I65"/>
      <c r="J65"/>
      <c r="K65" s="3"/>
      <c r="M65"/>
      <c r="O65" s="3">
        <f t="shared" si="8"/>
        <v>60</v>
      </c>
      <c r="P65" s="13">
        <f t="shared" si="4"/>
        <v>-1.7192000333988156</v>
      </c>
      <c r="Q65" s="13">
        <f t="shared" si="0"/>
        <v>-0.17500000000000002</v>
      </c>
      <c r="R65" s="13">
        <f t="shared" si="5"/>
        <v>13.2</v>
      </c>
      <c r="S65">
        <f t="shared" si="1"/>
        <v>0.15000000000000002</v>
      </c>
      <c r="T65" s="8">
        <f t="shared" si="6"/>
        <v>0.85368083590304722</v>
      </c>
      <c r="U65" s="8">
        <f t="shared" si="2"/>
        <v>8.5908229845959563E-4</v>
      </c>
      <c r="V65">
        <f t="shared" si="3"/>
        <v>0.85368083590304722</v>
      </c>
      <c r="W65" s="71">
        <f t="shared" si="7"/>
        <v>-750.00000000000011</v>
      </c>
      <c r="AA65">
        <v>61</v>
      </c>
      <c r="AB65">
        <v>1.002</v>
      </c>
    </row>
    <row r="66" spans="1:28" x14ac:dyDescent="0.25">
      <c r="B66" t="s">
        <v>52</v>
      </c>
      <c r="C66" s="75" t="s">
        <v>47</v>
      </c>
      <c r="F66" s="5"/>
      <c r="G66" s="3"/>
      <c r="H66" s="3"/>
      <c r="I66"/>
      <c r="J66"/>
      <c r="K66" s="3"/>
      <c r="M66"/>
      <c r="O66" s="3">
        <f t="shared" si="8"/>
        <v>61</v>
      </c>
      <c r="P66" s="13">
        <f t="shared" si="4"/>
        <v>-1.6864533660959808</v>
      </c>
      <c r="Q66" s="13">
        <f t="shared" si="0"/>
        <v>-0.17166666666666666</v>
      </c>
      <c r="R66" s="13">
        <f t="shared" si="5"/>
        <v>13.42</v>
      </c>
      <c r="S66">
        <f t="shared" si="1"/>
        <v>0.14666666666666667</v>
      </c>
      <c r="T66" s="8">
        <f t="shared" si="6"/>
        <v>0.85982320197940132</v>
      </c>
      <c r="U66" s="8">
        <f t="shared" si="2"/>
        <v>1.1096309474006659E-3</v>
      </c>
      <c r="V66">
        <f t="shared" si="3"/>
        <v>0.85982320197940132</v>
      </c>
      <c r="W66" s="71">
        <f t="shared" si="7"/>
        <v>-716.66666666666652</v>
      </c>
      <c r="AA66">
        <v>62</v>
      </c>
      <c r="AB66">
        <v>1.002</v>
      </c>
    </row>
    <row r="67" spans="1:28" x14ac:dyDescent="0.25">
      <c r="B67" t="s">
        <v>53</v>
      </c>
      <c r="C67" s="75" t="s">
        <v>47</v>
      </c>
      <c r="F67" s="5"/>
      <c r="G67" s="3"/>
      <c r="H67" s="3"/>
      <c r="I67"/>
      <c r="J67"/>
      <c r="K67" s="3"/>
      <c r="M67"/>
      <c r="O67" s="3">
        <f t="shared" si="8"/>
        <v>62</v>
      </c>
      <c r="P67" s="13">
        <f t="shared" si="4"/>
        <v>-1.6537066987931461</v>
      </c>
      <c r="Q67" s="13">
        <f t="shared" si="0"/>
        <v>-0.16833333333333333</v>
      </c>
      <c r="R67" s="13">
        <f t="shared" si="5"/>
        <v>13.64</v>
      </c>
      <c r="S67">
        <f t="shared" si="1"/>
        <v>0.14333333333333334</v>
      </c>
      <c r="T67" s="8">
        <f t="shared" si="6"/>
        <v>0.86583678387084095</v>
      </c>
      <c r="U67" s="8">
        <f t="shared" si="2"/>
        <v>1.4330456512218208E-3</v>
      </c>
      <c r="V67">
        <f t="shared" si="3"/>
        <v>0.86583678387084095</v>
      </c>
      <c r="W67" s="71">
        <f t="shared" si="7"/>
        <v>-683.33333333333326</v>
      </c>
      <c r="AA67">
        <v>63</v>
      </c>
      <c r="AB67">
        <v>1.002</v>
      </c>
    </row>
    <row r="68" spans="1:28" x14ac:dyDescent="0.25">
      <c r="B68" t="s">
        <v>54</v>
      </c>
      <c r="C68" s="75" t="s">
        <v>47</v>
      </c>
      <c r="F68" s="5"/>
      <c r="G68" s="3"/>
      <c r="H68" s="3"/>
      <c r="I68"/>
      <c r="J68"/>
      <c r="K68" s="3"/>
      <c r="M68"/>
      <c r="O68" s="3">
        <f t="shared" si="8"/>
        <v>63</v>
      </c>
      <c r="P68" s="13">
        <f t="shared" si="4"/>
        <v>-1.6209600314903119</v>
      </c>
      <c r="Q68" s="13">
        <f t="shared" si="0"/>
        <v>-0.16500000000000001</v>
      </c>
      <c r="R68" s="13">
        <f t="shared" si="5"/>
        <v>13.86</v>
      </c>
      <c r="S68">
        <f t="shared" si="1"/>
        <v>0.14000000000000001</v>
      </c>
      <c r="T68" s="8">
        <f t="shared" si="6"/>
        <v>0.87171416671145008</v>
      </c>
      <c r="U68" s="8">
        <f t="shared" si="2"/>
        <v>1.8503805407251216E-3</v>
      </c>
      <c r="V68">
        <f t="shared" si="3"/>
        <v>0.87171416671145008</v>
      </c>
      <c r="W68" s="71">
        <f t="shared" si="7"/>
        <v>-650</v>
      </c>
      <c r="AA68">
        <v>64</v>
      </c>
      <c r="AB68">
        <v>1.002</v>
      </c>
    </row>
    <row r="69" spans="1:28" x14ac:dyDescent="0.25">
      <c r="B69" t="s">
        <v>55</v>
      </c>
      <c r="C69" s="75" t="s">
        <v>46</v>
      </c>
      <c r="F69" s="5"/>
      <c r="G69" s="3"/>
      <c r="H69" s="3"/>
      <c r="I69"/>
      <c r="J69"/>
      <c r="K69" s="3"/>
      <c r="M69"/>
      <c r="O69" s="3">
        <f t="shared" si="8"/>
        <v>64</v>
      </c>
      <c r="P69" s="13">
        <f t="shared" si="4"/>
        <v>-1.5882133641874772</v>
      </c>
      <c r="Q69" s="13">
        <f t="shared" ref="Q69:Q132" si="9">P69*$G$18</f>
        <v>-0.16166666666666668</v>
      </c>
      <c r="R69" s="13">
        <f t="shared" si="5"/>
        <v>14.08</v>
      </c>
      <c r="S69">
        <f t="shared" ref="S69:S132" si="10">ABS(Q69-$K$38)</f>
        <v>0.13666666666666669</v>
      </c>
      <c r="T69" s="8">
        <f t="shared" si="6"/>
        <v>0.87744852139212126</v>
      </c>
      <c r="U69" s="8">
        <f t="shared" ref="U69:U132" si="11">$K$39/(1+EXP(($S69-$L$39)/$M$39))+$K$40/(1+EXP(($S69-$L$40)/$M$40))+$K$41/(1+EXP(($S69-$L$41)/$M$41))+$K$42/(1+EXP(($S69-$L$42)/$M$42))</f>
        <v>2.3886818220834809E-3</v>
      </c>
      <c r="V69">
        <f t="shared" ref="V69:V132" si="12">IF(Q69-$K$38&gt;0,U69,T69)</f>
        <v>0.87744852139212126</v>
      </c>
      <c r="W69" s="71">
        <f t="shared" si="7"/>
        <v>-616.66666666666674</v>
      </c>
      <c r="AA69">
        <v>65</v>
      </c>
      <c r="AB69">
        <v>1.002</v>
      </c>
    </row>
    <row r="70" spans="1:28" x14ac:dyDescent="0.25">
      <c r="B70" t="s">
        <v>56</v>
      </c>
      <c r="C70" s="75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8"/>
        <v>65</v>
      </c>
      <c r="P70" s="13">
        <f t="shared" ref="P70:P133" si="13">$C$24*O70+$C$21</f>
        <v>-1.5554666968846425</v>
      </c>
      <c r="Q70" s="13">
        <f t="shared" si="9"/>
        <v>-0.15833333333333333</v>
      </c>
      <c r="R70" s="13">
        <f t="shared" ref="R70:R133" si="14">$S$3*O70</f>
        <v>14.3</v>
      </c>
      <c r="S70">
        <f t="shared" si="10"/>
        <v>0.13333333333333333</v>
      </c>
      <c r="T70" s="8">
        <f t="shared" ref="T70:T133" si="15">$K$34/(1+EXP(($S70-$L$34)/$M$34))+$K$35/(1+EXP(($S70-$L$35)/$M$35))+$K$36/(1+EXP(($S70-$L$36)/$M$36))+$K$37/(1+EXP(($S70-$L$37)/$M$37))</f>
        <v>0.88303369960846523</v>
      </c>
      <c r="U70" s="8">
        <f t="shared" si="11"/>
        <v>3.0826323997059043E-3</v>
      </c>
      <c r="V70">
        <f t="shared" si="12"/>
        <v>0.88303369960846523</v>
      </c>
      <c r="W70" s="71">
        <f t="shared" ref="W70:W133" si="16">(Q70+W$3)*10000</f>
        <v>-583.33333333333326</v>
      </c>
      <c r="AA70">
        <v>66</v>
      </c>
      <c r="AB70">
        <v>1.002</v>
      </c>
    </row>
    <row r="71" spans="1:28" x14ac:dyDescent="0.25">
      <c r="B71" t="s">
        <v>57</v>
      </c>
      <c r="C71" s="75" t="s">
        <v>46</v>
      </c>
      <c r="F71" s="5"/>
      <c r="G71" s="3"/>
      <c r="H71" s="3"/>
      <c r="I71"/>
      <c r="J71"/>
      <c r="K71" s="3"/>
      <c r="M71"/>
      <c r="O71" s="3">
        <f t="shared" si="8"/>
        <v>66</v>
      </c>
      <c r="P71" s="13">
        <f t="shared" si="13"/>
        <v>-1.5227200295818082</v>
      </c>
      <c r="Q71" s="13">
        <f t="shared" si="9"/>
        <v>-0.15500000000000003</v>
      </c>
      <c r="R71" s="13">
        <f t="shared" si="14"/>
        <v>14.52</v>
      </c>
      <c r="S71">
        <f t="shared" si="10"/>
        <v>0.13000000000000003</v>
      </c>
      <c r="T71" s="8">
        <f t="shared" si="15"/>
        <v>0.88846430117943942</v>
      </c>
      <c r="U71" s="8">
        <f t="shared" si="11"/>
        <v>3.9766074630823199E-3</v>
      </c>
      <c r="V71">
        <f t="shared" si="12"/>
        <v>0.88846430117943942</v>
      </c>
      <c r="W71" s="71">
        <f t="shared" si="16"/>
        <v>-550.00000000000023</v>
      </c>
      <c r="AA71">
        <v>67</v>
      </c>
      <c r="AB71">
        <v>1.002</v>
      </c>
    </row>
    <row r="72" spans="1:28" x14ac:dyDescent="0.25">
      <c r="B72" t="s">
        <v>58</v>
      </c>
      <c r="C72" s="75" t="s">
        <v>46</v>
      </c>
      <c r="F72" s="5"/>
      <c r="G72" s="3"/>
      <c r="H72" s="3"/>
      <c r="I72"/>
      <c r="J72"/>
      <c r="K72" s="3"/>
      <c r="M72"/>
      <c r="O72" s="3">
        <f t="shared" ref="O72:O135" si="17">O71+1</f>
        <v>67</v>
      </c>
      <c r="P72" s="13">
        <f t="shared" si="13"/>
        <v>-1.4899733622789735</v>
      </c>
      <c r="Q72" s="13">
        <f t="shared" si="9"/>
        <v>-0.15166666666666667</v>
      </c>
      <c r="R72" s="13">
        <f t="shared" si="14"/>
        <v>14.74</v>
      </c>
      <c r="S72">
        <f t="shared" si="10"/>
        <v>0.12666666666666668</v>
      </c>
      <c r="T72" s="8">
        <f t="shared" si="15"/>
        <v>0.89373571776176397</v>
      </c>
      <c r="U72" s="8">
        <f t="shared" si="11"/>
        <v>5.127216478221292E-3</v>
      </c>
      <c r="V72">
        <f t="shared" si="12"/>
        <v>0.89373571776176397</v>
      </c>
      <c r="W72" s="71">
        <f t="shared" si="16"/>
        <v>-516.66666666666663</v>
      </c>
      <c r="AA72">
        <v>68</v>
      </c>
      <c r="AB72">
        <v>1.002</v>
      </c>
    </row>
    <row r="73" spans="1:28" x14ac:dyDescent="0.25">
      <c r="B73" t="s">
        <v>59</v>
      </c>
      <c r="C73" s="75" t="s">
        <v>46</v>
      </c>
      <c r="F73" s="5"/>
      <c r="G73" s="3"/>
      <c r="H73" s="3"/>
      <c r="I73"/>
      <c r="J73"/>
      <c r="K73" s="3"/>
      <c r="M73"/>
      <c r="O73" s="3">
        <f t="shared" si="17"/>
        <v>68</v>
      </c>
      <c r="P73" s="13">
        <f t="shared" si="13"/>
        <v>-1.4572266949761388</v>
      </c>
      <c r="Q73" s="13">
        <f t="shared" si="9"/>
        <v>-0.14833333333333334</v>
      </c>
      <c r="R73" s="13">
        <f t="shared" si="14"/>
        <v>14.96</v>
      </c>
      <c r="S73">
        <f t="shared" si="10"/>
        <v>0.12333333333333335</v>
      </c>
      <c r="T73" s="8">
        <f t="shared" si="15"/>
        <v>0.8988441563828109</v>
      </c>
      <c r="U73" s="8">
        <f t="shared" si="11"/>
        <v>6.6064014451352729E-3</v>
      </c>
      <c r="V73">
        <f t="shared" si="12"/>
        <v>0.8988441563828109</v>
      </c>
      <c r="W73" s="71">
        <f t="shared" si="16"/>
        <v>-483.33333333333337</v>
      </c>
      <c r="AA73">
        <v>69</v>
      </c>
      <c r="AB73">
        <v>1.002</v>
      </c>
    </row>
    <row r="74" spans="1:28" x14ac:dyDescent="0.25">
      <c r="A74" t="s">
        <v>43</v>
      </c>
      <c r="C74" s="75"/>
      <c r="F74" s="5"/>
      <c r="G74" s="3">
        <f>1/1.1^2</f>
        <v>0.82644628099173545</v>
      </c>
      <c r="H74" s="3"/>
      <c r="I74"/>
      <c r="J74"/>
      <c r="K74" s="3"/>
      <c r="M74"/>
      <c r="O74" s="3">
        <f t="shared" si="17"/>
        <v>69</v>
      </c>
      <c r="P74" s="13">
        <f t="shared" si="13"/>
        <v>-1.4244800276733041</v>
      </c>
      <c r="Q74" s="13">
        <f t="shared" si="9"/>
        <v>-0.14499999999999999</v>
      </c>
      <c r="R74" s="13">
        <f t="shared" si="14"/>
        <v>15.18</v>
      </c>
      <c r="S74">
        <f t="shared" si="10"/>
        <v>0.12</v>
      </c>
      <c r="T74" s="8">
        <f t="shared" si="15"/>
        <v>0.90378664573107659</v>
      </c>
      <c r="U74" s="8">
        <f t="shared" si="11"/>
        <v>8.5051381391064544E-3</v>
      </c>
      <c r="V74">
        <f t="shared" si="12"/>
        <v>0.90378664573107659</v>
      </c>
      <c r="W74" s="71">
        <f t="shared" si="16"/>
        <v>-449.99999999999983</v>
      </c>
      <c r="AA74">
        <v>70</v>
      </c>
      <c r="AB74">
        <v>1.002</v>
      </c>
    </row>
    <row r="75" spans="1:28" x14ac:dyDescent="0.25">
      <c r="C75" s="75"/>
      <c r="F75" s="5"/>
      <c r="G75" s="3">
        <f>1/0.9^2</f>
        <v>1.2345679012345678</v>
      </c>
      <c r="H75" s="3"/>
      <c r="I75"/>
      <c r="J75"/>
      <c r="K75" s="3"/>
      <c r="M75"/>
      <c r="O75" s="3">
        <f t="shared" si="17"/>
        <v>70</v>
      </c>
      <c r="P75" s="13">
        <f t="shared" si="13"/>
        <v>-1.3917333603704698</v>
      </c>
      <c r="Q75" s="13">
        <f t="shared" si="9"/>
        <v>-0.14166666666666669</v>
      </c>
      <c r="R75" s="13">
        <f t="shared" si="14"/>
        <v>15.4</v>
      </c>
      <c r="S75">
        <f t="shared" si="10"/>
        <v>0.1166666666666667</v>
      </c>
      <c r="T75" s="8">
        <f t="shared" si="15"/>
        <v>0.90856102780131787</v>
      </c>
      <c r="U75" s="8">
        <f t="shared" si="11"/>
        <v>1.0937733406928624E-2</v>
      </c>
      <c r="V75">
        <f t="shared" si="12"/>
        <v>0.90856102780131787</v>
      </c>
      <c r="W75" s="71">
        <f t="shared" si="16"/>
        <v>-416.66666666666686</v>
      </c>
      <c r="AA75">
        <v>71</v>
      </c>
      <c r="AB75">
        <v>1.002</v>
      </c>
    </row>
    <row r="76" spans="1:28" x14ac:dyDescent="0.25">
      <c r="A76" t="s">
        <v>60</v>
      </c>
      <c r="C76" s="75"/>
      <c r="F76" s="5"/>
      <c r="G76" s="3">
        <f>G75-G74</f>
        <v>0.40812162024283238</v>
      </c>
      <c r="H76" s="3"/>
      <c r="I76"/>
      <c r="J76"/>
      <c r="K76" s="3"/>
      <c r="M76"/>
      <c r="O76" s="3">
        <f t="shared" si="17"/>
        <v>71</v>
      </c>
      <c r="P76" s="13">
        <f t="shared" si="13"/>
        <v>-1.3589866930676351</v>
      </c>
      <c r="Q76" s="13">
        <f t="shared" si="9"/>
        <v>-0.13833333333333334</v>
      </c>
      <c r="R76" s="13">
        <f t="shared" si="14"/>
        <v>15.62</v>
      </c>
      <c r="S76">
        <f t="shared" si="10"/>
        <v>0.11333333333333334</v>
      </c>
      <c r="T76" s="8">
        <f t="shared" si="15"/>
        <v>0.91316593723720119</v>
      </c>
      <c r="U76" s="8">
        <f t="shared" si="11"/>
        <v>1.4046608746504147E-2</v>
      </c>
      <c r="V76">
        <f t="shared" si="12"/>
        <v>0.91316593723720119</v>
      </c>
      <c r="W76" s="71">
        <f t="shared" si="16"/>
        <v>-383.33333333333331</v>
      </c>
      <c r="AA76">
        <v>72</v>
      </c>
      <c r="AB76">
        <v>1.002</v>
      </c>
    </row>
    <row r="77" spans="1:28" x14ac:dyDescent="0.25">
      <c r="B77" t="s">
        <v>136</v>
      </c>
      <c r="C77" s="75">
        <v>0.8</v>
      </c>
      <c r="F77" s="5"/>
      <c r="G77" s="3"/>
      <c r="H77" s="3"/>
      <c r="I77"/>
      <c r="J77"/>
      <c r="K77" s="3"/>
      <c r="M77"/>
      <c r="O77" s="3">
        <f t="shared" si="17"/>
        <v>72</v>
      </c>
      <c r="P77" s="13">
        <f t="shared" si="13"/>
        <v>-1.3262400257648004</v>
      </c>
      <c r="Q77" s="13">
        <f t="shared" si="9"/>
        <v>-0.13499999999999998</v>
      </c>
      <c r="R77" s="13">
        <f t="shared" si="14"/>
        <v>15.84</v>
      </c>
      <c r="S77">
        <f t="shared" si="10"/>
        <v>0.10999999999999999</v>
      </c>
      <c r="T77" s="8">
        <f t="shared" si="15"/>
        <v>0.91760077051132671</v>
      </c>
      <c r="U77" s="8">
        <f t="shared" si="11"/>
        <v>1.8007284916110304E-2</v>
      </c>
      <c r="V77">
        <f t="shared" si="12"/>
        <v>0.91760077051132671</v>
      </c>
      <c r="W77" s="71">
        <f t="shared" si="16"/>
        <v>-349.99999999999977</v>
      </c>
      <c r="AA77">
        <v>73</v>
      </c>
      <c r="AB77">
        <v>1.002</v>
      </c>
    </row>
    <row r="78" spans="1:28" x14ac:dyDescent="0.25">
      <c r="A78" t="s">
        <v>43</v>
      </c>
      <c r="C78" s="75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17"/>
        <v>73</v>
      </c>
      <c r="P78" s="13">
        <f t="shared" si="13"/>
        <v>-1.2934933584619661</v>
      </c>
      <c r="Q78" s="13">
        <f t="shared" si="9"/>
        <v>-0.13166666666666668</v>
      </c>
      <c r="R78" s="13">
        <f t="shared" si="14"/>
        <v>16.059999999999999</v>
      </c>
      <c r="S78">
        <f t="shared" si="10"/>
        <v>0.10666666666666669</v>
      </c>
      <c r="T78" s="8">
        <f t="shared" si="15"/>
        <v>0.92186564690685235</v>
      </c>
      <c r="U78" s="8">
        <f t="shared" si="11"/>
        <v>2.3033015173521888E-2</v>
      </c>
      <c r="V78">
        <f t="shared" si="12"/>
        <v>0.92186564690685235</v>
      </c>
      <c r="W78" s="71">
        <f t="shared" si="16"/>
        <v>-316.66666666666674</v>
      </c>
      <c r="AA78">
        <v>74</v>
      </c>
      <c r="AB78">
        <v>1.002</v>
      </c>
    </row>
    <row r="79" spans="1:28" x14ac:dyDescent="0.25">
      <c r="C79" s="75"/>
      <c r="F79" s="5"/>
      <c r="G79" s="3"/>
      <c r="H79" s="3"/>
      <c r="I79"/>
      <c r="J79"/>
      <c r="K79" s="3"/>
      <c r="M79"/>
      <c r="O79" s="3">
        <f t="shared" si="17"/>
        <v>74</v>
      </c>
      <c r="P79" s="13">
        <f t="shared" si="13"/>
        <v>-1.2607466911591314</v>
      </c>
      <c r="Q79" s="13">
        <f t="shared" si="9"/>
        <v>-0.12833333333333335</v>
      </c>
      <c r="R79" s="13">
        <f t="shared" si="14"/>
        <v>16.28</v>
      </c>
      <c r="S79">
        <f t="shared" si="10"/>
        <v>0.10333333333333336</v>
      </c>
      <c r="T79" s="8">
        <f t="shared" si="15"/>
        <v>0.92596136310174915</v>
      </c>
      <c r="U79" s="8">
        <f t="shared" si="11"/>
        <v>2.9378178583521215E-2</v>
      </c>
      <c r="V79">
        <f t="shared" si="12"/>
        <v>0.92596136310174915</v>
      </c>
      <c r="W79" s="71">
        <f t="shared" si="16"/>
        <v>-283.33333333333348</v>
      </c>
      <c r="AA79">
        <v>75</v>
      </c>
      <c r="AB79">
        <v>1.002</v>
      </c>
    </row>
    <row r="80" spans="1:28" x14ac:dyDescent="0.25">
      <c r="A80" t="s">
        <v>61</v>
      </c>
      <c r="C80" s="75"/>
      <c r="F80" s="5"/>
      <c r="G80" s="3"/>
      <c r="H80" s="3"/>
      <c r="I80"/>
      <c r="J80"/>
      <c r="K80" s="3"/>
      <c r="M80"/>
      <c r="O80" s="3">
        <f t="shared" si="17"/>
        <v>75</v>
      </c>
      <c r="P80" s="13">
        <f t="shared" si="13"/>
        <v>-1.2280000238562967</v>
      </c>
      <c r="Q80" s="13">
        <f t="shared" si="9"/>
        <v>-0.125</v>
      </c>
      <c r="R80" s="13">
        <f t="shared" si="14"/>
        <v>16.5</v>
      </c>
      <c r="S80">
        <f t="shared" si="10"/>
        <v>0.1</v>
      </c>
      <c r="T80" s="8">
        <f t="shared" si="15"/>
        <v>0.92988934299762882</v>
      </c>
      <c r="U80" s="8">
        <f t="shared" si="11"/>
        <v>3.733933768502376E-2</v>
      </c>
      <c r="V80">
        <f t="shared" si="12"/>
        <v>0.92988934299762882</v>
      </c>
      <c r="W80" s="71">
        <f t="shared" si="16"/>
        <v>-249.99999999999994</v>
      </c>
      <c r="AA80">
        <v>76</v>
      </c>
      <c r="AB80">
        <v>1.002</v>
      </c>
    </row>
    <row r="81" spans="2:28" x14ac:dyDescent="0.25">
      <c r="C81" s="75"/>
      <c r="F81" s="5"/>
      <c r="G81" s="3"/>
      <c r="H81" s="3"/>
      <c r="I81"/>
      <c r="J81"/>
      <c r="K81" s="3"/>
      <c r="M81"/>
      <c r="O81" s="3">
        <f t="shared" si="17"/>
        <v>76</v>
      </c>
      <c r="P81" s="13">
        <f t="shared" si="13"/>
        <v>-1.1952533565534624</v>
      </c>
      <c r="Q81" s="13">
        <f t="shared" si="9"/>
        <v>-0.1216666666666667</v>
      </c>
      <c r="R81" s="13">
        <f t="shared" si="14"/>
        <v>16.72</v>
      </c>
      <c r="S81">
        <f t="shared" si="10"/>
        <v>9.6666666666666706E-2</v>
      </c>
      <c r="T81" s="8">
        <f t="shared" si="15"/>
        <v>0.93365158427610084</v>
      </c>
      <c r="U81" s="8">
        <f t="shared" si="11"/>
        <v>4.7253634493099349E-2</v>
      </c>
      <c r="V81">
        <f t="shared" si="12"/>
        <v>0.93365158427610084</v>
      </c>
      <c r="W81" s="71">
        <f t="shared" si="16"/>
        <v>-216.66666666666694</v>
      </c>
      <c r="AA81">
        <v>77</v>
      </c>
      <c r="AB81">
        <v>1.002</v>
      </c>
    </row>
    <row r="82" spans="2:28" x14ac:dyDescent="0.25">
      <c r="B82" t="s">
        <v>62</v>
      </c>
      <c r="C82" s="75" t="s">
        <v>47</v>
      </c>
      <c r="F82" s="5"/>
      <c r="G82" s="3"/>
      <c r="H82" s="3"/>
      <c r="I82"/>
      <c r="J82"/>
      <c r="K82" s="3"/>
      <c r="M82"/>
      <c r="O82" s="3">
        <f t="shared" si="17"/>
        <v>77</v>
      </c>
      <c r="P82" s="13">
        <f t="shared" si="13"/>
        <v>-1.1625066892506277</v>
      </c>
      <c r="Q82" s="13">
        <f t="shared" si="9"/>
        <v>-0.11833333333333335</v>
      </c>
      <c r="R82" s="13">
        <f t="shared" si="14"/>
        <v>16.940000000000001</v>
      </c>
      <c r="S82">
        <f t="shared" si="10"/>
        <v>9.3333333333333351E-2</v>
      </c>
      <c r="T82" s="8">
        <f t="shared" si="15"/>
        <v>0.93725060300579477</v>
      </c>
      <c r="U82" s="8">
        <f t="shared" si="11"/>
        <v>5.9499149273335904E-2</v>
      </c>
      <c r="V82">
        <f t="shared" si="12"/>
        <v>0.93725060300579477</v>
      </c>
      <c r="W82" s="71">
        <f t="shared" si="16"/>
        <v>-183.3333333333334</v>
      </c>
      <c r="AA82">
        <v>78</v>
      </c>
      <c r="AB82">
        <v>1.002</v>
      </c>
    </row>
    <row r="83" spans="2:28" x14ac:dyDescent="0.25">
      <c r="B83" t="s">
        <v>63</v>
      </c>
      <c r="C83" s="75" t="s">
        <v>46</v>
      </c>
      <c r="F83" s="5"/>
      <c r="G83" s="3"/>
      <c r="H83" s="3"/>
      <c r="I83"/>
      <c r="J83"/>
      <c r="K83" s="3"/>
      <c r="M83"/>
      <c r="O83" s="3">
        <f t="shared" si="17"/>
        <v>78</v>
      </c>
      <c r="P83" s="13">
        <f t="shared" si="13"/>
        <v>-1.129760021947793</v>
      </c>
      <c r="Q83" s="13">
        <f t="shared" si="9"/>
        <v>-0.115</v>
      </c>
      <c r="R83" s="13">
        <f t="shared" si="14"/>
        <v>17.16</v>
      </c>
      <c r="S83">
        <f t="shared" si="10"/>
        <v>0.09</v>
      </c>
      <c r="T83" s="8">
        <f t="shared" si="15"/>
        <v>0.94068937746336467</v>
      </c>
      <c r="U83" s="8">
        <f t="shared" si="11"/>
        <v>7.4522663241630677E-2</v>
      </c>
      <c r="V83">
        <f t="shared" si="12"/>
        <v>0.94068937746336467</v>
      </c>
      <c r="W83" s="71">
        <f t="shared" si="16"/>
        <v>-150</v>
      </c>
      <c r="AA83">
        <v>79</v>
      </c>
      <c r="AB83">
        <v>1.002</v>
      </c>
    </row>
    <row r="84" spans="2:28" x14ac:dyDescent="0.25">
      <c r="B84" t="s">
        <v>64</v>
      </c>
      <c r="C84" s="75" t="s">
        <v>46</v>
      </c>
      <c r="F84" s="5"/>
      <c r="G84" s="3"/>
      <c r="H84" s="3"/>
      <c r="I84"/>
      <c r="J84"/>
      <c r="K84" s="3"/>
      <c r="M84"/>
      <c r="O84" s="3">
        <f t="shared" si="17"/>
        <v>79</v>
      </c>
      <c r="P84" s="13">
        <f t="shared" si="13"/>
        <v>-1.0970133546449583</v>
      </c>
      <c r="Q84" s="13">
        <f t="shared" si="9"/>
        <v>-0.11166666666666665</v>
      </c>
      <c r="R84" s="13">
        <f t="shared" si="14"/>
        <v>17.38</v>
      </c>
      <c r="S84">
        <f t="shared" si="10"/>
        <v>8.6666666666666642E-2</v>
      </c>
      <c r="T84" s="8">
        <f t="shared" si="15"/>
        <v>0.94397129217386988</v>
      </c>
      <c r="U84" s="8">
        <f t="shared" si="11"/>
        <v>9.2997421265244989E-2</v>
      </c>
      <c r="V84">
        <f t="shared" si="12"/>
        <v>0.94397129217386988</v>
      </c>
      <c r="W84" s="71">
        <f t="shared" si="16"/>
        <v>-116.66666666666644</v>
      </c>
      <c r="AA84">
        <v>80</v>
      </c>
      <c r="AB84">
        <v>1.002</v>
      </c>
    </row>
    <row r="85" spans="2:28" x14ac:dyDescent="0.25">
      <c r="B85" t="s">
        <v>65</v>
      </c>
      <c r="C85" s="75" t="s">
        <v>46</v>
      </c>
      <c r="F85" s="5"/>
      <c r="G85" s="3"/>
      <c r="H85" s="3"/>
      <c r="I85"/>
      <c r="J85"/>
      <c r="K85" s="3"/>
      <c r="M85"/>
      <c r="O85" s="3">
        <f t="shared" si="17"/>
        <v>80</v>
      </c>
      <c r="P85" s="13">
        <f t="shared" si="13"/>
        <v>-1.064266687342124</v>
      </c>
      <c r="Q85" s="13">
        <f t="shared" si="9"/>
        <v>-0.10833333333333335</v>
      </c>
      <c r="R85" s="13">
        <f t="shared" si="14"/>
        <v>17.600000000000001</v>
      </c>
      <c r="S85">
        <f t="shared" si="10"/>
        <v>8.3333333333333343E-2</v>
      </c>
      <c r="T85" s="8">
        <f t="shared" si="15"/>
        <v>0.94710008302220994</v>
      </c>
      <c r="U85" s="8">
        <f t="shared" si="11"/>
        <v>0.11645674354992214</v>
      </c>
      <c r="V85">
        <f t="shared" si="12"/>
        <v>0.94710008302220994</v>
      </c>
      <c r="W85" s="71">
        <f t="shared" si="16"/>
        <v>-83.333333333333456</v>
      </c>
      <c r="AA85">
        <v>81</v>
      </c>
      <c r="AB85">
        <v>1.002</v>
      </c>
    </row>
    <row r="86" spans="2:28" x14ac:dyDescent="0.25">
      <c r="B86" t="s">
        <v>211</v>
      </c>
      <c r="C86" s="75">
        <v>2</v>
      </c>
      <c r="F86" s="5"/>
      <c r="G86" s="3"/>
      <c r="H86" s="3"/>
      <c r="I86"/>
      <c r="J86"/>
      <c r="K86" s="3"/>
      <c r="M86"/>
      <c r="O86" s="3">
        <f t="shared" si="17"/>
        <v>81</v>
      </c>
      <c r="P86" s="13">
        <f t="shared" si="13"/>
        <v>-1.0315200200392893</v>
      </c>
      <c r="Q86" s="13">
        <f t="shared" si="9"/>
        <v>-0.10500000000000001</v>
      </c>
      <c r="R86" s="13">
        <f t="shared" si="14"/>
        <v>17.82</v>
      </c>
      <c r="S86">
        <f t="shared" si="10"/>
        <v>8.0000000000000016E-2</v>
      </c>
      <c r="T86" s="8">
        <f t="shared" si="15"/>
        <v>0.95007978414013894</v>
      </c>
      <c r="U86" s="8">
        <f t="shared" si="11"/>
        <v>0.14908057028752722</v>
      </c>
      <c r="V86">
        <f t="shared" si="12"/>
        <v>0.95007978414013894</v>
      </c>
      <c r="W86" s="71">
        <f t="shared" si="16"/>
        <v>-50.000000000000043</v>
      </c>
      <c r="AA86">
        <v>82</v>
      </c>
      <c r="AB86">
        <v>1.002</v>
      </c>
    </row>
    <row r="87" spans="2:28" x14ac:dyDescent="0.25">
      <c r="B87" t="s">
        <v>66</v>
      </c>
      <c r="C87" s="75" t="s">
        <v>46</v>
      </c>
      <c r="F87" s="5"/>
      <c r="G87" s="3"/>
      <c r="H87" s="3"/>
      <c r="I87"/>
      <c r="J87"/>
      <c r="K87" s="3"/>
      <c r="M87"/>
      <c r="O87" s="3">
        <f t="shared" si="17"/>
        <v>82</v>
      </c>
      <c r="P87" s="13">
        <f t="shared" si="13"/>
        <v>-0.99877335273645462</v>
      </c>
      <c r="Q87" s="13">
        <f t="shared" si="9"/>
        <v>-0.10166666666666667</v>
      </c>
      <c r="R87" s="13">
        <f t="shared" si="14"/>
        <v>18.04</v>
      </c>
      <c r="S87">
        <f t="shared" si="10"/>
        <v>7.6666666666666661E-2</v>
      </c>
      <c r="T87" s="8">
        <f t="shared" si="15"/>
        <v>0.95291467713489908</v>
      </c>
      <c r="U87" s="8">
        <f t="shared" si="11"/>
        <v>0.19825674472735866</v>
      </c>
      <c r="V87">
        <f t="shared" si="12"/>
        <v>0.95291467713489908</v>
      </c>
      <c r="W87" s="71">
        <f t="shared" si="16"/>
        <v>-16.666666666666636</v>
      </c>
      <c r="AA87">
        <v>83</v>
      </c>
      <c r="AB87">
        <v>1.002</v>
      </c>
    </row>
    <row r="88" spans="2:28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17"/>
        <v>83</v>
      </c>
      <c r="P88" s="13">
        <f t="shared" si="13"/>
        <v>-0.96602668543362036</v>
      </c>
      <c r="Q88" s="13">
        <f t="shared" si="9"/>
        <v>-9.8333333333333356E-2</v>
      </c>
      <c r="R88" s="13">
        <f t="shared" si="14"/>
        <v>18.260000000000002</v>
      </c>
      <c r="S88">
        <f t="shared" si="10"/>
        <v>7.3333333333333361E-2</v>
      </c>
      <c r="T88" s="8">
        <f t="shared" si="15"/>
        <v>0.9556092430974239</v>
      </c>
      <c r="U88" s="8">
        <f t="shared" si="11"/>
        <v>0.26016114681223079</v>
      </c>
      <c r="V88">
        <f t="shared" si="12"/>
        <v>0.9556092430974239</v>
      </c>
      <c r="W88" s="71">
        <f t="shared" si="16"/>
        <v>16.666666666666497</v>
      </c>
      <c r="AA88">
        <v>84</v>
      </c>
      <c r="AB88">
        <v>1.002</v>
      </c>
    </row>
    <row r="89" spans="2:28" x14ac:dyDescent="0.25">
      <c r="B89" t="s">
        <v>68</v>
      </c>
      <c r="C89" s="75">
        <v>20</v>
      </c>
      <c r="F89" s="5"/>
      <c r="G89" s="3"/>
      <c r="H89" s="3"/>
      <c r="I89"/>
      <c r="J89"/>
      <c r="K89" s="3"/>
      <c r="M89"/>
      <c r="O89" s="3">
        <f t="shared" si="17"/>
        <v>84</v>
      </c>
      <c r="P89" s="13">
        <f t="shared" si="13"/>
        <v>-0.93328001813078565</v>
      </c>
      <c r="Q89" s="13">
        <f t="shared" si="9"/>
        <v>-9.5000000000000015E-2</v>
      </c>
      <c r="R89" s="13">
        <f t="shared" si="14"/>
        <v>18.48</v>
      </c>
      <c r="S89">
        <f t="shared" si="10"/>
        <v>7.0000000000000007E-2</v>
      </c>
      <c r="T89" s="8">
        <f t="shared" si="15"/>
        <v>0.95816811771164256</v>
      </c>
      <c r="U89" s="8">
        <f t="shared" si="11"/>
        <v>0.3137883811998744</v>
      </c>
      <c r="V89">
        <f t="shared" si="12"/>
        <v>0.95816811771164256</v>
      </c>
      <c r="W89" s="71">
        <f t="shared" si="16"/>
        <v>49.999999999999908</v>
      </c>
      <c r="AA89">
        <v>85</v>
      </c>
      <c r="AB89">
        <v>1.002</v>
      </c>
    </row>
    <row r="90" spans="2:28" x14ac:dyDescent="0.25">
      <c r="B90" t="s">
        <v>69</v>
      </c>
      <c r="C90" s="75">
        <v>-1E-4</v>
      </c>
      <c r="F90" s="5"/>
      <c r="G90" s="3"/>
      <c r="H90" s="3"/>
      <c r="I90"/>
      <c r="J90"/>
      <c r="K90" s="3"/>
      <c r="M90"/>
      <c r="O90" s="3">
        <f t="shared" si="17"/>
        <v>85</v>
      </c>
      <c r="P90" s="13">
        <f t="shared" si="13"/>
        <v>-0.90053335082795094</v>
      </c>
      <c r="Q90" s="13">
        <f t="shared" si="9"/>
        <v>-9.1666666666666674E-2</v>
      </c>
      <c r="R90" s="13">
        <f t="shared" si="14"/>
        <v>18.7</v>
      </c>
      <c r="S90">
        <f t="shared" si="10"/>
        <v>6.666666666666668E-2</v>
      </c>
      <c r="T90" s="8">
        <f t="shared" si="15"/>
        <v>0.96059604968242651</v>
      </c>
      <c r="U90" s="8">
        <f t="shared" si="11"/>
        <v>0.35482882612230676</v>
      </c>
      <c r="V90">
        <f t="shared" si="12"/>
        <v>0.96059604968242651</v>
      </c>
      <c r="W90" s="71">
        <f t="shared" si="16"/>
        <v>83.333333333333314</v>
      </c>
      <c r="AA90">
        <v>86</v>
      </c>
      <c r="AB90">
        <v>1.002</v>
      </c>
    </row>
    <row r="91" spans="2:28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17"/>
        <v>86</v>
      </c>
      <c r="P91" s="13">
        <f t="shared" si="13"/>
        <v>-0.86778668352511668</v>
      </c>
      <c r="Q91" s="13">
        <f t="shared" si="9"/>
        <v>-8.8333333333333361E-2</v>
      </c>
      <c r="R91" s="13">
        <f t="shared" si="14"/>
        <v>18.920000000000002</v>
      </c>
      <c r="S91">
        <f t="shared" si="10"/>
        <v>6.3333333333333353E-2</v>
      </c>
      <c r="T91" s="8">
        <f t="shared" si="15"/>
        <v>0.9628978626085436</v>
      </c>
      <c r="U91" s="8">
        <f t="shared" si="11"/>
        <v>0.38980330045856354</v>
      </c>
      <c r="V91">
        <f t="shared" si="12"/>
        <v>0.9628978626085436</v>
      </c>
      <c r="W91" s="71">
        <f t="shared" si="16"/>
        <v>116.66666666666644</v>
      </c>
      <c r="AA91">
        <v>87</v>
      </c>
      <c r="AB91">
        <v>1.002</v>
      </c>
    </row>
    <row r="92" spans="2:28" x14ac:dyDescent="0.25">
      <c r="B92" t="s">
        <v>71</v>
      </c>
      <c r="C92" s="75">
        <v>0.15</v>
      </c>
      <c r="F92" s="5"/>
      <c r="G92" s="3"/>
      <c r="H92" s="3"/>
      <c r="I92"/>
      <c r="J92"/>
      <c r="K92" s="3"/>
      <c r="M92"/>
      <c r="O92" s="3">
        <f t="shared" si="17"/>
        <v>87</v>
      </c>
      <c r="P92" s="13">
        <f t="shared" si="13"/>
        <v>-0.83504001622228197</v>
      </c>
      <c r="Q92" s="13">
        <f t="shared" si="9"/>
        <v>-8.500000000000002E-2</v>
      </c>
      <c r="R92" s="13">
        <f t="shared" si="14"/>
        <v>19.14</v>
      </c>
      <c r="S92">
        <f t="shared" si="10"/>
        <v>6.0000000000000019E-2</v>
      </c>
      <c r="T92" s="8">
        <f t="shared" si="15"/>
        <v>0.96507842034851166</v>
      </c>
      <c r="U92" s="8">
        <f t="shared" si="11"/>
        <v>0.42181724580303975</v>
      </c>
      <c r="V92">
        <f t="shared" si="12"/>
        <v>0.96507842034851166</v>
      </c>
      <c r="W92" s="71">
        <f t="shared" si="16"/>
        <v>149.99999999999986</v>
      </c>
      <c r="AA92">
        <v>88</v>
      </c>
      <c r="AB92">
        <v>1.002</v>
      </c>
    </row>
    <row r="93" spans="2:28" x14ac:dyDescent="0.25">
      <c r="B93" t="s">
        <v>72</v>
      </c>
      <c r="C93" s="75">
        <v>12.28</v>
      </c>
      <c r="F93" s="5"/>
      <c r="G93" s="3"/>
      <c r="H93" s="3"/>
      <c r="I93"/>
      <c r="J93"/>
      <c r="K93" s="3"/>
      <c r="M93"/>
      <c r="O93" s="3">
        <f t="shared" si="17"/>
        <v>88</v>
      </c>
      <c r="P93" s="13">
        <f t="shared" si="13"/>
        <v>-0.80229334891944726</v>
      </c>
      <c r="Q93" s="13">
        <f t="shared" si="9"/>
        <v>-8.1666666666666679E-2</v>
      </c>
      <c r="R93" s="13">
        <f t="shared" si="14"/>
        <v>19.36</v>
      </c>
      <c r="S93">
        <f t="shared" si="10"/>
        <v>5.6666666666666678E-2</v>
      </c>
      <c r="T93" s="8">
        <f t="shared" si="15"/>
        <v>0.96714259586110352</v>
      </c>
      <c r="U93" s="8">
        <f t="shared" si="11"/>
        <v>0.45131399385522147</v>
      </c>
      <c r="V93">
        <f t="shared" si="12"/>
        <v>0.96714259586110352</v>
      </c>
      <c r="W93" s="71">
        <f t="shared" si="16"/>
        <v>183.33333333333326</v>
      </c>
      <c r="AA93">
        <v>89</v>
      </c>
      <c r="AB93">
        <v>1.002</v>
      </c>
    </row>
    <row r="94" spans="2:28" x14ac:dyDescent="0.25">
      <c r="B94" t="s">
        <v>191</v>
      </c>
      <c r="C94" s="75">
        <v>1E-3</v>
      </c>
      <c r="F94" s="5"/>
      <c r="G94" s="3"/>
      <c r="H94" s="3"/>
      <c r="I94"/>
      <c r="J94"/>
      <c r="K94" s="3"/>
      <c r="M94"/>
      <c r="O94" s="3">
        <f t="shared" si="17"/>
        <v>89</v>
      </c>
      <c r="P94" s="13">
        <f t="shared" si="13"/>
        <v>-0.76954668161661255</v>
      </c>
      <c r="Q94" s="13">
        <f t="shared" si="9"/>
        <v>-7.8333333333333324E-2</v>
      </c>
      <c r="R94" s="13">
        <f t="shared" si="14"/>
        <v>19.580000000000002</v>
      </c>
      <c r="S94">
        <f t="shared" si="10"/>
        <v>5.3333333333333323E-2</v>
      </c>
      <c r="T94" s="8">
        <f t="shared" si="15"/>
        <v>0.96909524344779785</v>
      </c>
      <c r="U94" s="8">
        <f t="shared" si="11"/>
        <v>0.47802382863088266</v>
      </c>
      <c r="V94">
        <f t="shared" si="12"/>
        <v>0.96909524344779785</v>
      </c>
      <c r="W94" s="71">
        <f t="shared" si="16"/>
        <v>216.6666666666668</v>
      </c>
      <c r="AA94">
        <v>90</v>
      </c>
      <c r="AB94">
        <v>1.002</v>
      </c>
    </row>
    <row r="95" spans="2:28" x14ac:dyDescent="0.25">
      <c r="B95" t="s">
        <v>73</v>
      </c>
      <c r="C95" s="21">
        <f>C21</f>
        <v>-3.6840000715688901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17"/>
        <v>90</v>
      </c>
      <c r="P95" s="13">
        <f t="shared" si="13"/>
        <v>-0.73680001431377828</v>
      </c>
      <c r="Q95" s="13">
        <f t="shared" si="9"/>
        <v>-7.5000000000000025E-2</v>
      </c>
      <c r="R95" s="13">
        <f t="shared" si="14"/>
        <v>19.8</v>
      </c>
      <c r="S95">
        <f t="shared" si="10"/>
        <v>5.0000000000000024E-2</v>
      </c>
      <c r="T95" s="8">
        <f t="shared" si="15"/>
        <v>0.97094117428080384</v>
      </c>
      <c r="U95" s="8">
        <f t="shared" si="11"/>
        <v>0.50170686867978087</v>
      </c>
      <c r="V95">
        <f t="shared" si="12"/>
        <v>0.97094117428080384</v>
      </c>
      <c r="W95" s="71">
        <f t="shared" si="16"/>
        <v>249.9999999999998</v>
      </c>
      <c r="AA95">
        <v>91</v>
      </c>
      <c r="AB95">
        <v>1.002</v>
      </c>
    </row>
    <row r="96" spans="2:28" x14ac:dyDescent="0.25">
      <c r="B96" t="s">
        <v>215</v>
      </c>
      <c r="C96" s="75">
        <v>168000</v>
      </c>
      <c r="F96" s="5"/>
      <c r="G96" s="3"/>
      <c r="H96" s="3"/>
      <c r="I96"/>
      <c r="J96"/>
      <c r="K96" s="3"/>
      <c r="M96"/>
      <c r="O96" s="3">
        <f t="shared" si="17"/>
        <v>91</v>
      </c>
      <c r="P96" s="13">
        <f t="shared" si="13"/>
        <v>-0.70405334701094358</v>
      </c>
      <c r="Q96" s="13">
        <f t="shared" si="9"/>
        <v>-7.1666666666666684E-2</v>
      </c>
      <c r="R96" s="13">
        <f t="shared" si="14"/>
        <v>20.02</v>
      </c>
      <c r="S96">
        <f t="shared" si="10"/>
        <v>4.6666666666666683E-2</v>
      </c>
      <c r="T96" s="8">
        <f t="shared" si="15"/>
        <v>0.97268513506647036</v>
      </c>
      <c r="U96" s="8">
        <f t="shared" si="11"/>
        <v>0.52237510099029849</v>
      </c>
      <c r="V96">
        <f t="shared" si="12"/>
        <v>0.97268513506647036</v>
      </c>
      <c r="W96" s="71">
        <f t="shared" si="16"/>
        <v>283.3333333333332</v>
      </c>
      <c r="AA96">
        <v>92</v>
      </c>
      <c r="AB96">
        <v>1.002</v>
      </c>
    </row>
    <row r="97" spans="2:28" x14ac:dyDescent="0.25">
      <c r="B97" t="s">
        <v>216</v>
      </c>
      <c r="C97" s="75">
        <v>1</v>
      </c>
      <c r="F97" s="5"/>
      <c r="G97" s="3"/>
      <c r="H97" s="3"/>
      <c r="I97"/>
      <c r="J97"/>
      <c r="K97" s="3"/>
      <c r="M97"/>
      <c r="O97" s="3">
        <f t="shared" si="17"/>
        <v>92</v>
      </c>
      <c r="P97" s="13">
        <f t="shared" si="13"/>
        <v>-0.67130667970810887</v>
      </c>
      <c r="Q97" s="13">
        <f t="shared" si="9"/>
        <v>-6.8333333333333329E-2</v>
      </c>
      <c r="R97" s="13">
        <f t="shared" si="14"/>
        <v>20.239999999999998</v>
      </c>
      <c r="S97">
        <f t="shared" si="10"/>
        <v>4.3333333333333328E-2</v>
      </c>
      <c r="T97" s="8">
        <f t="shared" si="15"/>
        <v>0.97433178966882916</v>
      </c>
      <c r="U97" s="8">
        <f t="shared" si="11"/>
        <v>0.54038069741354067</v>
      </c>
      <c r="V97">
        <f t="shared" si="12"/>
        <v>0.97433178966882916</v>
      </c>
      <c r="W97" s="71">
        <f t="shared" si="16"/>
        <v>316.66666666666674</v>
      </c>
      <c r="AA97">
        <v>93</v>
      </c>
      <c r="AB97">
        <v>1.002</v>
      </c>
    </row>
    <row r="98" spans="2:28" x14ac:dyDescent="0.25">
      <c r="B98" t="s">
        <v>74</v>
      </c>
      <c r="C98" s="75">
        <v>20</v>
      </c>
      <c r="F98" s="5"/>
      <c r="G98" s="3"/>
      <c r="H98" s="3"/>
      <c r="I98"/>
      <c r="J98"/>
      <c r="K98" s="3"/>
      <c r="M98"/>
      <c r="O98" s="3">
        <f t="shared" si="17"/>
        <v>93</v>
      </c>
      <c r="P98" s="13">
        <f t="shared" si="13"/>
        <v>-0.6385600124052746</v>
      </c>
      <c r="Q98" s="13">
        <f t="shared" si="9"/>
        <v>-6.500000000000003E-2</v>
      </c>
      <c r="R98" s="13">
        <f t="shared" si="14"/>
        <v>20.46</v>
      </c>
      <c r="S98">
        <f t="shared" si="10"/>
        <v>4.0000000000000029E-2</v>
      </c>
      <c r="T98" s="8">
        <f t="shared" si="15"/>
        <v>0.97588570350065773</v>
      </c>
      <c r="U98" s="8">
        <f t="shared" si="11"/>
        <v>0.5565514891915494</v>
      </c>
      <c r="V98">
        <f t="shared" si="12"/>
        <v>0.97588570350065773</v>
      </c>
      <c r="W98" s="71">
        <f t="shared" si="16"/>
        <v>349.99999999999977</v>
      </c>
      <c r="AA98">
        <v>94</v>
      </c>
      <c r="AB98">
        <v>1.002</v>
      </c>
    </row>
    <row r="99" spans="2:28" x14ac:dyDescent="0.25">
      <c r="B99" t="s">
        <v>75</v>
      </c>
      <c r="C99" s="75">
        <v>50</v>
      </c>
      <c r="F99" s="5"/>
      <c r="G99" s="3"/>
      <c r="H99" s="3"/>
      <c r="I99"/>
      <c r="J99"/>
      <c r="K99" s="3"/>
      <c r="M99"/>
      <c r="O99" s="3">
        <f t="shared" si="17"/>
        <v>94</v>
      </c>
      <c r="P99" s="13">
        <f t="shared" si="13"/>
        <v>-0.60581334510243989</v>
      </c>
      <c r="Q99" s="13">
        <f t="shared" si="9"/>
        <v>-6.1666666666666682E-2</v>
      </c>
      <c r="R99" s="13">
        <f t="shared" si="14"/>
        <v>20.68</v>
      </c>
      <c r="S99">
        <f t="shared" si="10"/>
        <v>3.6666666666666681E-2</v>
      </c>
      <c r="T99" s="8">
        <f t="shared" si="15"/>
        <v>0.97735133047869793</v>
      </c>
      <c r="U99" s="8">
        <f t="shared" si="11"/>
        <v>0.57252846501170729</v>
      </c>
      <c r="V99">
        <f t="shared" si="12"/>
        <v>0.97735133047869793</v>
      </c>
      <c r="W99" s="71">
        <f t="shared" si="16"/>
        <v>383.33333333333326</v>
      </c>
      <c r="AA99">
        <v>95</v>
      </c>
      <c r="AB99">
        <v>1.002</v>
      </c>
    </row>
    <row r="100" spans="2:28" x14ac:dyDescent="0.25">
      <c r="B100" t="s">
        <v>76</v>
      </c>
      <c r="C100" s="75">
        <v>0</v>
      </c>
      <c r="F100" s="5"/>
      <c r="G100" s="3"/>
      <c r="H100" s="3"/>
      <c r="I100"/>
      <c r="J100"/>
      <c r="K100" s="3"/>
      <c r="M100"/>
      <c r="O100" s="3">
        <f t="shared" si="17"/>
        <v>95</v>
      </c>
      <c r="P100" s="13">
        <f t="shared" si="13"/>
        <v>-0.57306667779960518</v>
      </c>
      <c r="Q100" s="13">
        <f t="shared" si="9"/>
        <v>-5.8333333333333341E-2</v>
      </c>
      <c r="R100" s="13">
        <f t="shared" si="14"/>
        <v>20.9</v>
      </c>
      <c r="S100">
        <f t="shared" si="10"/>
        <v>3.333333333333334E-2</v>
      </c>
      <c r="T100" s="8">
        <f t="shared" si="15"/>
        <v>0.97873300233450788</v>
      </c>
      <c r="U100" s="8">
        <f t="shared" si="11"/>
        <v>0.59148326426092135</v>
      </c>
      <c r="V100">
        <f t="shared" si="12"/>
        <v>0.97873300233450788</v>
      </c>
      <c r="W100" s="71">
        <f t="shared" si="16"/>
        <v>416.66666666666663</v>
      </c>
      <c r="AA100">
        <v>96</v>
      </c>
      <c r="AB100">
        <v>1.002</v>
      </c>
    </row>
    <row r="101" spans="2:28" x14ac:dyDescent="0.25">
      <c r="B101" t="s">
        <v>77</v>
      </c>
      <c r="C101" s="75">
        <v>5.0000000000000001E-4</v>
      </c>
      <c r="F101" s="5"/>
      <c r="G101" s="3"/>
      <c r="H101" s="3"/>
      <c r="I101"/>
      <c r="J101"/>
      <c r="K101" s="3"/>
      <c r="M101"/>
      <c r="O101" s="3">
        <f t="shared" si="17"/>
        <v>96</v>
      </c>
      <c r="P101" s="13">
        <f t="shared" si="13"/>
        <v>-0.54032001049677048</v>
      </c>
      <c r="Q101" s="13">
        <f t="shared" si="9"/>
        <v>-5.4999999999999993E-2</v>
      </c>
      <c r="R101" s="13">
        <f t="shared" si="14"/>
        <v>21.12</v>
      </c>
      <c r="S101">
        <f t="shared" si="10"/>
        <v>2.9999999999999992E-2</v>
      </c>
      <c r="T101" s="8">
        <f t="shared" si="15"/>
        <v>0.98003492007190762</v>
      </c>
      <c r="U101" s="8">
        <f t="shared" si="11"/>
        <v>0.61919724975454016</v>
      </c>
      <c r="V101">
        <f t="shared" si="12"/>
        <v>0.98003492007190762</v>
      </c>
      <c r="W101" s="71">
        <f t="shared" si="16"/>
        <v>450.00000000000011</v>
      </c>
      <c r="AA101">
        <v>97</v>
      </c>
      <c r="AB101">
        <v>1.002</v>
      </c>
    </row>
    <row r="102" spans="2:28" x14ac:dyDescent="0.25">
      <c r="B102" t="s">
        <v>78</v>
      </c>
      <c r="C102" s="75">
        <v>0</v>
      </c>
      <c r="F102" s="5"/>
      <c r="G102" s="3"/>
      <c r="H102" s="3"/>
      <c r="I102"/>
      <c r="J102"/>
      <c r="K102" s="3"/>
      <c r="M102"/>
      <c r="O102" s="3">
        <f t="shared" si="17"/>
        <v>97</v>
      </c>
      <c r="P102" s="13">
        <f t="shared" si="13"/>
        <v>-0.50757334319393621</v>
      </c>
      <c r="Q102" s="13">
        <f t="shared" si="9"/>
        <v>-5.1666666666666687E-2</v>
      </c>
      <c r="R102" s="13">
        <f t="shared" si="14"/>
        <v>21.34</v>
      </c>
      <c r="S102">
        <f t="shared" si="10"/>
        <v>2.6666666666666686E-2</v>
      </c>
      <c r="T102" s="8">
        <f t="shared" si="15"/>
        <v>0.98126114736520442</v>
      </c>
      <c r="U102" s="8">
        <f t="shared" si="11"/>
        <v>0.66419120149098021</v>
      </c>
      <c r="V102">
        <f t="shared" si="12"/>
        <v>0.98126114736520442</v>
      </c>
      <c r="W102" s="71">
        <f t="shared" si="16"/>
        <v>483.3333333333332</v>
      </c>
      <c r="AA102">
        <v>98</v>
      </c>
      <c r="AB102">
        <v>1.002</v>
      </c>
    </row>
    <row r="103" spans="2:28" x14ac:dyDescent="0.25">
      <c r="B103" t="s">
        <v>79</v>
      </c>
      <c r="C103" s="75">
        <v>0</v>
      </c>
      <c r="F103" s="5"/>
      <c r="G103" s="3"/>
      <c r="H103" s="3"/>
      <c r="I103"/>
      <c r="J103"/>
      <c r="K103" s="3"/>
      <c r="M103"/>
      <c r="O103" s="3">
        <f t="shared" si="17"/>
        <v>98</v>
      </c>
      <c r="P103" s="13">
        <f t="shared" si="13"/>
        <v>-0.4748266758911015</v>
      </c>
      <c r="Q103" s="13">
        <f t="shared" si="9"/>
        <v>-4.8333333333333346E-2</v>
      </c>
      <c r="R103" s="13">
        <f t="shared" si="14"/>
        <v>21.56</v>
      </c>
      <c r="S103">
        <f t="shared" si="10"/>
        <v>2.3333333333333345E-2</v>
      </c>
      <c r="T103" s="8">
        <f t="shared" si="15"/>
        <v>0.98241560569857822</v>
      </c>
      <c r="U103" s="8">
        <f t="shared" si="11"/>
        <v>0.73254744048097986</v>
      </c>
      <c r="V103">
        <f t="shared" si="12"/>
        <v>0.98241560569857822</v>
      </c>
      <c r="W103" s="71">
        <f t="shared" si="16"/>
        <v>516.66666666666663</v>
      </c>
      <c r="AA103">
        <v>99</v>
      </c>
      <c r="AB103">
        <v>1.002</v>
      </c>
    </row>
    <row r="104" spans="2:28" x14ac:dyDescent="0.25">
      <c r="B104" t="s">
        <v>80</v>
      </c>
      <c r="C104" s="24">
        <f>C95</f>
        <v>-3.6840000715688901</v>
      </c>
      <c r="F104" s="5"/>
      <c r="G104" s="3"/>
      <c r="H104" s="3"/>
      <c r="I104"/>
      <c r="J104"/>
      <c r="K104" s="3"/>
      <c r="M104"/>
      <c r="O104" s="3">
        <f t="shared" si="17"/>
        <v>99</v>
      </c>
      <c r="P104" s="13">
        <f t="shared" si="13"/>
        <v>-0.44208000858826679</v>
      </c>
      <c r="Q104" s="13">
        <f t="shared" si="9"/>
        <v>-4.4999999999999998E-2</v>
      </c>
      <c r="R104" s="13">
        <f t="shared" si="14"/>
        <v>21.78</v>
      </c>
      <c r="S104">
        <f t="shared" si="10"/>
        <v>1.9999999999999997E-2</v>
      </c>
      <c r="T104" s="8">
        <f t="shared" si="15"/>
        <v>0.9835020710554595</v>
      </c>
      <c r="U104" s="8">
        <f t="shared" si="11"/>
        <v>0.81588602962738532</v>
      </c>
      <c r="V104">
        <f t="shared" si="12"/>
        <v>0.9835020710554595</v>
      </c>
      <c r="W104" s="71">
        <f t="shared" si="16"/>
        <v>550.00000000000011</v>
      </c>
      <c r="AA104">
        <v>100</v>
      </c>
      <c r="AB104">
        <v>1.002</v>
      </c>
    </row>
    <row r="105" spans="2:28" x14ac:dyDescent="0.25">
      <c r="B105" t="s">
        <v>81</v>
      </c>
      <c r="C105" s="75">
        <v>12.28</v>
      </c>
      <c r="F105" s="5"/>
      <c r="G105" s="3"/>
      <c r="H105" s="3"/>
      <c r="I105"/>
      <c r="J105"/>
      <c r="K105" s="3"/>
      <c r="M105"/>
      <c r="O105" s="3">
        <f t="shared" si="17"/>
        <v>100</v>
      </c>
      <c r="P105" s="13">
        <f t="shared" si="13"/>
        <v>-0.40933334128543253</v>
      </c>
      <c r="Q105" s="13">
        <f t="shared" si="9"/>
        <v>-4.1666666666666699E-2</v>
      </c>
      <c r="R105" s="13">
        <f t="shared" si="14"/>
        <v>22</v>
      </c>
      <c r="S105">
        <f t="shared" si="10"/>
        <v>1.6666666666666698E-2</v>
      </c>
      <c r="T105" s="8">
        <f t="shared" si="15"/>
        <v>0.98452417197683717</v>
      </c>
      <c r="U105" s="8">
        <f t="shared" si="11"/>
        <v>0.89097635409691511</v>
      </c>
      <c r="V105">
        <f t="shared" si="12"/>
        <v>0.98452417197683717</v>
      </c>
      <c r="W105" s="71">
        <f t="shared" si="16"/>
        <v>583.33333333333303</v>
      </c>
      <c r="AA105">
        <v>101</v>
      </c>
      <c r="AB105">
        <v>1.002</v>
      </c>
    </row>
    <row r="106" spans="2:28" x14ac:dyDescent="0.25">
      <c r="B106" t="s">
        <v>82</v>
      </c>
      <c r="C106" s="75">
        <v>150</v>
      </c>
      <c r="F106" s="5"/>
      <c r="G106" s="3"/>
      <c r="H106" s="3"/>
      <c r="I106"/>
      <c r="J106"/>
      <c r="K106" s="3"/>
      <c r="M106"/>
      <c r="O106" s="3">
        <f t="shared" si="17"/>
        <v>101</v>
      </c>
      <c r="P106" s="13">
        <f t="shared" si="13"/>
        <v>-0.37658667398259782</v>
      </c>
      <c r="Q106" s="13">
        <f t="shared" si="9"/>
        <v>-3.8333333333333351E-2</v>
      </c>
      <c r="R106" s="13">
        <f t="shared" si="14"/>
        <v>22.22</v>
      </c>
      <c r="S106">
        <f t="shared" si="10"/>
        <v>1.333333333333335E-2</v>
      </c>
      <c r="T106" s="8">
        <f t="shared" si="15"/>
        <v>0.98548538881867187</v>
      </c>
      <c r="U106" s="8">
        <f t="shared" si="11"/>
        <v>0.9419021301560746</v>
      </c>
      <c r="V106">
        <f t="shared" si="12"/>
        <v>0.98548538881867187</v>
      </c>
      <c r="W106" s="71">
        <f t="shared" si="16"/>
        <v>616.66666666666652</v>
      </c>
      <c r="AA106">
        <v>102</v>
      </c>
      <c r="AB106">
        <v>1.002</v>
      </c>
    </row>
    <row r="107" spans="2:28" x14ac:dyDescent="0.25">
      <c r="B107" t="s">
        <v>83</v>
      </c>
      <c r="C107" s="75">
        <v>150</v>
      </c>
      <c r="F107" s="5"/>
      <c r="G107" s="3"/>
      <c r="H107" s="3"/>
      <c r="I107"/>
      <c r="J107"/>
      <c r="K107" s="3"/>
      <c r="M107"/>
      <c r="O107" s="3">
        <f t="shared" si="17"/>
        <v>102</v>
      </c>
      <c r="P107" s="13">
        <f t="shared" si="13"/>
        <v>-0.34384000667976311</v>
      </c>
      <c r="Q107" s="13">
        <f t="shared" si="9"/>
        <v>-3.5000000000000003E-2</v>
      </c>
      <c r="R107" s="13">
        <f t="shared" si="14"/>
        <v>22.44</v>
      </c>
      <c r="S107">
        <f t="shared" si="10"/>
        <v>1.0000000000000002E-2</v>
      </c>
      <c r="T107" s="8">
        <f t="shared" si="15"/>
        <v>0.98638905405052091</v>
      </c>
      <c r="U107" s="8">
        <f t="shared" si="11"/>
        <v>0.9702859881370598</v>
      </c>
      <c r="V107">
        <f t="shared" si="12"/>
        <v>0.98638905405052091</v>
      </c>
      <c r="W107" s="71">
        <f t="shared" si="16"/>
        <v>650</v>
      </c>
      <c r="AA107">
        <v>103</v>
      </c>
      <c r="AB107">
        <v>1.002</v>
      </c>
    </row>
    <row r="108" spans="2:28" x14ac:dyDescent="0.25">
      <c r="B108" t="s">
        <v>84</v>
      </c>
      <c r="C108" s="75">
        <v>200</v>
      </c>
      <c r="F108" s="5"/>
      <c r="G108" s="3"/>
      <c r="H108" s="3"/>
      <c r="I108"/>
      <c r="J108"/>
      <c r="K108" s="3"/>
      <c r="M108"/>
      <c r="O108" s="3">
        <f t="shared" si="17"/>
        <v>103</v>
      </c>
      <c r="P108" s="13">
        <f t="shared" si="13"/>
        <v>-0.31109333937692885</v>
      </c>
      <c r="Q108" s="13">
        <f t="shared" si="9"/>
        <v>-3.1666666666666704E-2</v>
      </c>
      <c r="R108" s="13">
        <f t="shared" si="14"/>
        <v>22.66</v>
      </c>
      <c r="S108">
        <f t="shared" si="10"/>
        <v>6.6666666666667027E-3</v>
      </c>
      <c r="T108" s="8">
        <f t="shared" si="15"/>
        <v>0.98723835344974442</v>
      </c>
      <c r="U108" s="8">
        <f t="shared" si="11"/>
        <v>0.98458419631271843</v>
      </c>
      <c r="V108">
        <f t="shared" si="12"/>
        <v>0.98723835344974442</v>
      </c>
      <c r="W108" s="71">
        <f t="shared" si="16"/>
        <v>683.33333333333303</v>
      </c>
      <c r="AA108">
        <v>104</v>
      </c>
      <c r="AB108">
        <v>1.002</v>
      </c>
    </row>
    <row r="109" spans="2:28" x14ac:dyDescent="0.25">
      <c r="B109" t="s">
        <v>85</v>
      </c>
      <c r="C109" s="75">
        <v>2.5</v>
      </c>
      <c r="F109" s="5"/>
      <c r="G109" s="3"/>
      <c r="H109" s="3"/>
      <c r="I109"/>
      <c r="J109"/>
      <c r="K109" s="3"/>
      <c r="M109"/>
      <c r="O109" s="3">
        <f t="shared" si="17"/>
        <v>104</v>
      </c>
      <c r="P109" s="13">
        <f t="shared" si="13"/>
        <v>-0.27834667207409414</v>
      </c>
      <c r="Q109" s="13">
        <f t="shared" si="9"/>
        <v>-2.8333333333333356E-2</v>
      </c>
      <c r="R109" s="13">
        <f t="shared" si="14"/>
        <v>22.88</v>
      </c>
      <c r="S109">
        <f t="shared" si="10"/>
        <v>3.3333333333333548E-3</v>
      </c>
      <c r="T109" s="8">
        <f t="shared" si="15"/>
        <v>0.98803632805796693</v>
      </c>
      <c r="U109" s="8">
        <f t="shared" si="11"/>
        <v>0.99156786649713302</v>
      </c>
      <c r="V109">
        <f t="shared" si="12"/>
        <v>0.98803632805796693</v>
      </c>
      <c r="W109" s="71">
        <f t="shared" si="16"/>
        <v>716.66666666666652</v>
      </c>
      <c r="AA109">
        <v>105</v>
      </c>
      <c r="AB109">
        <v>1.002</v>
      </c>
    </row>
    <row r="110" spans="2:28" x14ac:dyDescent="0.25">
      <c r="B110" t="s">
        <v>86</v>
      </c>
      <c r="C110" s="75">
        <v>802.5</v>
      </c>
      <c r="F110" s="5"/>
      <c r="G110" s="3"/>
      <c r="H110" s="3"/>
      <c r="I110"/>
      <c r="J110"/>
      <c r="K110" s="3"/>
      <c r="M110"/>
      <c r="O110" s="3">
        <f t="shared" si="17"/>
        <v>105</v>
      </c>
      <c r="P110" s="13">
        <f t="shared" si="13"/>
        <v>-0.24560000477125943</v>
      </c>
      <c r="Q110" s="13">
        <f t="shared" si="9"/>
        <v>-2.5000000000000008E-2</v>
      </c>
      <c r="R110" s="13">
        <f t="shared" si="14"/>
        <v>23.1</v>
      </c>
      <c r="S110">
        <f t="shared" si="10"/>
        <v>6.9388939039072284E-18</v>
      </c>
      <c r="T110" s="8">
        <f t="shared" si="15"/>
        <v>0.98878587677857666</v>
      </c>
      <c r="U110" s="8">
        <f t="shared" si="11"/>
        <v>0.99503473214487215</v>
      </c>
      <c r="V110">
        <f t="shared" si="12"/>
        <v>0.98878587677857666</v>
      </c>
      <c r="W110" s="71">
        <f t="shared" si="16"/>
        <v>750</v>
      </c>
      <c r="AA110">
        <v>106</v>
      </c>
      <c r="AB110">
        <v>1.002</v>
      </c>
    </row>
    <row r="111" spans="2:28" x14ac:dyDescent="0.25">
      <c r="B111" t="s">
        <v>87</v>
      </c>
      <c r="C111" s="75">
        <v>100</v>
      </c>
      <c r="F111" s="5"/>
      <c r="G111" s="3"/>
      <c r="H111" s="3"/>
      <c r="I111"/>
      <c r="J111"/>
      <c r="K111" s="3"/>
      <c r="M111"/>
      <c r="O111" s="3">
        <f t="shared" si="17"/>
        <v>106</v>
      </c>
      <c r="P111" s="13">
        <f t="shared" si="13"/>
        <v>-0.21285333746842472</v>
      </c>
      <c r="Q111" s="13">
        <f t="shared" si="9"/>
        <v>-2.166666666666666E-2</v>
      </c>
      <c r="R111" s="13">
        <f t="shared" si="14"/>
        <v>23.32</v>
      </c>
      <c r="S111">
        <f t="shared" si="10"/>
        <v>3.3333333333333409E-3</v>
      </c>
      <c r="T111" s="8">
        <f t="shared" si="15"/>
        <v>0.98803632805796693</v>
      </c>
      <c r="U111" s="8">
        <f t="shared" si="11"/>
        <v>0.99156786649713302</v>
      </c>
      <c r="V111">
        <f t="shared" si="12"/>
        <v>0.99156786649713302</v>
      </c>
      <c r="W111" s="71">
        <f t="shared" si="16"/>
        <v>783.33333333333337</v>
      </c>
      <c r="AA111">
        <v>107</v>
      </c>
      <c r="AB111">
        <v>1.002</v>
      </c>
    </row>
    <row r="112" spans="2:28" x14ac:dyDescent="0.25">
      <c r="B112" t="s">
        <v>43</v>
      </c>
      <c r="C112" s="75"/>
      <c r="F112" s="5"/>
      <c r="G112" s="3"/>
      <c r="H112" s="3"/>
      <c r="I112"/>
      <c r="J112"/>
      <c r="K112" s="3"/>
      <c r="M112"/>
      <c r="O112" s="3">
        <f t="shared" si="17"/>
        <v>107</v>
      </c>
      <c r="P112" s="13">
        <f t="shared" si="13"/>
        <v>-0.18010667016559045</v>
      </c>
      <c r="Q112" s="13">
        <f t="shared" si="9"/>
        <v>-1.8333333333333361E-2</v>
      </c>
      <c r="R112" s="13">
        <f t="shared" si="14"/>
        <v>23.54</v>
      </c>
      <c r="S112">
        <f t="shared" si="10"/>
        <v>6.6666666666666402E-3</v>
      </c>
      <c r="T112" s="8">
        <f t="shared" si="15"/>
        <v>0.98723835344974453</v>
      </c>
      <c r="U112" s="8">
        <f t="shared" si="11"/>
        <v>0.98458419631271865</v>
      </c>
      <c r="V112">
        <f t="shared" si="12"/>
        <v>0.98458419631271865</v>
      </c>
      <c r="W112" s="71">
        <f t="shared" si="16"/>
        <v>816.6666666666664</v>
      </c>
      <c r="AA112">
        <v>108</v>
      </c>
      <c r="AB112">
        <v>1.002</v>
      </c>
    </row>
    <row r="113" spans="3:28" x14ac:dyDescent="0.25">
      <c r="C113" s="75"/>
      <c r="F113" s="5"/>
      <c r="G113" s="3"/>
      <c r="H113" s="3"/>
      <c r="I113"/>
      <c r="J113"/>
      <c r="K113" s="3"/>
      <c r="M113"/>
      <c r="O113" s="3">
        <f t="shared" si="17"/>
        <v>108</v>
      </c>
      <c r="P113" s="13">
        <f t="shared" si="13"/>
        <v>-0.14736000286275575</v>
      </c>
      <c r="Q113" s="13">
        <f t="shared" si="9"/>
        <v>-1.5000000000000015E-2</v>
      </c>
      <c r="R113" s="13">
        <f t="shared" si="14"/>
        <v>23.76</v>
      </c>
      <c r="S113">
        <f t="shared" si="10"/>
        <v>9.9999999999999863E-3</v>
      </c>
      <c r="T113" s="8">
        <f t="shared" si="15"/>
        <v>0.98638905405052091</v>
      </c>
      <c r="U113" s="8">
        <f t="shared" si="11"/>
        <v>0.9702859881370598</v>
      </c>
      <c r="V113">
        <f t="shared" si="12"/>
        <v>0.9702859881370598</v>
      </c>
      <c r="W113" s="71">
        <f t="shared" si="16"/>
        <v>849.99999999999989</v>
      </c>
      <c r="AA113">
        <v>109</v>
      </c>
      <c r="AB113">
        <v>1.002</v>
      </c>
    </row>
    <row r="114" spans="3:28" x14ac:dyDescent="0.25">
      <c r="C114" s="75"/>
      <c r="F114" s="5"/>
      <c r="G114" s="3"/>
      <c r="H114" s="3"/>
      <c r="I114"/>
      <c r="J114"/>
      <c r="K114" s="3"/>
      <c r="M114"/>
      <c r="O114" s="3">
        <f t="shared" si="17"/>
        <v>109</v>
      </c>
      <c r="P114" s="13">
        <f t="shared" si="13"/>
        <v>-0.11461333555992104</v>
      </c>
      <c r="Q114" s="13">
        <f t="shared" si="9"/>
        <v>-1.1666666666666667E-2</v>
      </c>
      <c r="R114" s="13">
        <f t="shared" si="14"/>
        <v>23.98</v>
      </c>
      <c r="S114">
        <f t="shared" si="10"/>
        <v>1.3333333333333334E-2</v>
      </c>
      <c r="T114" s="8">
        <f t="shared" si="15"/>
        <v>0.98548538881867187</v>
      </c>
      <c r="U114" s="8">
        <f t="shared" si="11"/>
        <v>0.94190213015607471</v>
      </c>
      <c r="V114">
        <f t="shared" si="12"/>
        <v>0.94190213015607471</v>
      </c>
      <c r="W114" s="71">
        <f t="shared" si="16"/>
        <v>883.33333333333337</v>
      </c>
      <c r="AA114">
        <v>110</v>
      </c>
      <c r="AB114">
        <v>1.002</v>
      </c>
    </row>
    <row r="115" spans="3:28" x14ac:dyDescent="0.25">
      <c r="C115" s="75"/>
      <c r="F115" s="5"/>
      <c r="G115" s="3"/>
      <c r="H115" s="3"/>
      <c r="I115"/>
      <c r="J115"/>
      <c r="K115" s="3"/>
      <c r="M115"/>
      <c r="O115" s="3">
        <f t="shared" si="17"/>
        <v>110</v>
      </c>
      <c r="P115" s="13">
        <f t="shared" si="13"/>
        <v>-8.1866668257086772E-2</v>
      </c>
      <c r="Q115" s="13">
        <f t="shared" si="9"/>
        <v>-8.3333333333333662E-3</v>
      </c>
      <c r="R115" s="13">
        <f t="shared" si="14"/>
        <v>24.2</v>
      </c>
      <c r="S115">
        <f t="shared" si="10"/>
        <v>1.6666666666666635E-2</v>
      </c>
      <c r="T115" s="8">
        <f t="shared" si="15"/>
        <v>0.98452417197683717</v>
      </c>
      <c r="U115" s="8">
        <f t="shared" si="11"/>
        <v>0.89097635409691633</v>
      </c>
      <c r="V115">
        <f t="shared" si="12"/>
        <v>0.89097635409691633</v>
      </c>
      <c r="W115" s="71">
        <f t="shared" si="16"/>
        <v>916.66666666666652</v>
      </c>
      <c r="AA115">
        <v>111</v>
      </c>
      <c r="AB115">
        <v>1.002</v>
      </c>
    </row>
    <row r="116" spans="3:28" x14ac:dyDescent="0.25">
      <c r="C116" s="75"/>
      <c r="F116" s="5"/>
      <c r="G116" s="3"/>
      <c r="H116" s="3"/>
      <c r="I116"/>
      <c r="J116"/>
      <c r="K116" s="3"/>
      <c r="M116"/>
      <c r="O116" s="3">
        <f t="shared" si="17"/>
        <v>111</v>
      </c>
      <c r="P116" s="13">
        <f t="shared" si="13"/>
        <v>-4.9120000954252063E-2</v>
      </c>
      <c r="Q116" s="13">
        <f t="shared" si="9"/>
        <v>-5.0000000000000201E-3</v>
      </c>
      <c r="R116" s="13">
        <f t="shared" si="14"/>
        <v>24.42</v>
      </c>
      <c r="S116">
        <f t="shared" si="10"/>
        <v>1.9999999999999983E-2</v>
      </c>
      <c r="T116" s="8">
        <f t="shared" si="15"/>
        <v>0.9835020710554595</v>
      </c>
      <c r="U116" s="8">
        <f t="shared" si="11"/>
        <v>0.81588602962738555</v>
      </c>
      <c r="V116">
        <f t="shared" si="12"/>
        <v>0.81588602962738555</v>
      </c>
      <c r="W116" s="71">
        <f t="shared" si="16"/>
        <v>949.99999999999989</v>
      </c>
      <c r="AA116">
        <v>112</v>
      </c>
      <c r="AB116">
        <v>1.002</v>
      </c>
    </row>
    <row r="117" spans="3:28" x14ac:dyDescent="0.25">
      <c r="C117" s="75"/>
      <c r="F117" s="5"/>
      <c r="G117" s="3"/>
      <c r="H117" s="3"/>
      <c r="I117"/>
      <c r="J117"/>
      <c r="K117" s="3"/>
      <c r="M117"/>
      <c r="O117" s="3">
        <f t="shared" si="17"/>
        <v>112</v>
      </c>
      <c r="P117" s="13">
        <f t="shared" si="13"/>
        <v>-1.6373333651417354E-2</v>
      </c>
      <c r="Q117" s="13">
        <f t="shared" si="9"/>
        <v>-1.6666666666666733E-3</v>
      </c>
      <c r="R117" s="13">
        <f t="shared" si="14"/>
        <v>24.64</v>
      </c>
      <c r="S117">
        <f t="shared" si="10"/>
        <v>2.3333333333333327E-2</v>
      </c>
      <c r="T117" s="8">
        <f t="shared" si="15"/>
        <v>0.98241560569857822</v>
      </c>
      <c r="U117" s="8">
        <f t="shared" si="11"/>
        <v>0.73254744048098019</v>
      </c>
      <c r="V117">
        <f t="shared" si="12"/>
        <v>0.73254744048098019</v>
      </c>
      <c r="W117" s="71">
        <f t="shared" si="16"/>
        <v>983.33333333333326</v>
      </c>
      <c r="AA117">
        <v>113</v>
      </c>
      <c r="AB117">
        <v>1.002</v>
      </c>
    </row>
    <row r="118" spans="3:28" x14ac:dyDescent="0.25">
      <c r="C118" s="75"/>
      <c r="F118" s="5"/>
      <c r="G118" s="3"/>
      <c r="H118" s="3"/>
      <c r="I118"/>
      <c r="J118"/>
      <c r="K118" s="3"/>
      <c r="M118"/>
      <c r="O118" s="3">
        <f t="shared" si="17"/>
        <v>113</v>
      </c>
      <c r="P118" s="13">
        <f t="shared" si="13"/>
        <v>1.637333365141691E-2</v>
      </c>
      <c r="Q118" s="13">
        <f t="shared" si="9"/>
        <v>1.666666666666628E-3</v>
      </c>
      <c r="R118" s="13">
        <f t="shared" si="14"/>
        <v>24.86</v>
      </c>
      <c r="S118">
        <f t="shared" si="10"/>
        <v>2.666666666666663E-2</v>
      </c>
      <c r="T118" s="8">
        <f t="shared" si="15"/>
        <v>0.98126114736520442</v>
      </c>
      <c r="U118" s="8">
        <f t="shared" si="11"/>
        <v>0.66419120149098121</v>
      </c>
      <c r="V118">
        <f t="shared" si="12"/>
        <v>0.66419120149098121</v>
      </c>
      <c r="W118" s="71">
        <f t="shared" si="16"/>
        <v>1016.6666666666663</v>
      </c>
      <c r="AA118">
        <v>114</v>
      </c>
      <c r="AB118">
        <v>1.002</v>
      </c>
    </row>
    <row r="119" spans="3:28" x14ac:dyDescent="0.25">
      <c r="C119" s="75"/>
      <c r="F119" s="5"/>
      <c r="G119" s="3"/>
      <c r="H119" s="3"/>
      <c r="I119"/>
      <c r="J119"/>
      <c r="K119" s="3"/>
      <c r="M119"/>
      <c r="O119" s="3">
        <f t="shared" si="17"/>
        <v>114</v>
      </c>
      <c r="P119" s="13">
        <f t="shared" si="13"/>
        <v>4.9120000954251619E-2</v>
      </c>
      <c r="Q119" s="13">
        <f t="shared" si="9"/>
        <v>4.999999999999975E-3</v>
      </c>
      <c r="R119" s="13">
        <f t="shared" si="14"/>
        <v>25.080000000000002</v>
      </c>
      <c r="S119">
        <f t="shared" si="10"/>
        <v>2.9999999999999978E-2</v>
      </c>
      <c r="T119" s="8">
        <f t="shared" si="15"/>
        <v>0.98003492007190762</v>
      </c>
      <c r="U119" s="8">
        <f t="shared" si="11"/>
        <v>0.61919724975454027</v>
      </c>
      <c r="V119">
        <f t="shared" si="12"/>
        <v>0.61919724975454027</v>
      </c>
      <c r="W119" s="71">
        <f t="shared" si="16"/>
        <v>1049.9999999999998</v>
      </c>
      <c r="AA119">
        <v>115</v>
      </c>
      <c r="AB119">
        <v>1.002</v>
      </c>
    </row>
    <row r="120" spans="3:28" x14ac:dyDescent="0.25">
      <c r="C120" s="75"/>
      <c r="F120" s="5"/>
      <c r="G120" s="3"/>
      <c r="H120" s="3"/>
      <c r="I120"/>
      <c r="J120"/>
      <c r="K120" s="3"/>
      <c r="M120"/>
      <c r="O120" s="3">
        <f t="shared" si="17"/>
        <v>115</v>
      </c>
      <c r="P120" s="13">
        <f t="shared" si="13"/>
        <v>8.1866668257086328E-2</v>
      </c>
      <c r="Q120" s="13">
        <f t="shared" si="9"/>
        <v>8.3333333333333211E-3</v>
      </c>
      <c r="R120" s="13">
        <f t="shared" si="14"/>
        <v>25.3</v>
      </c>
      <c r="S120">
        <f t="shared" si="10"/>
        <v>3.3333333333333326E-2</v>
      </c>
      <c r="T120" s="8">
        <f t="shared" si="15"/>
        <v>0.97873300233450788</v>
      </c>
      <c r="U120" s="8">
        <f t="shared" si="11"/>
        <v>0.59148326426092135</v>
      </c>
      <c r="V120">
        <f t="shared" si="12"/>
        <v>0.59148326426092135</v>
      </c>
      <c r="W120" s="71">
        <f t="shared" si="16"/>
        <v>1083.3333333333333</v>
      </c>
      <c r="Z120">
        <f>17.4-4.9</f>
        <v>12.499999999999998</v>
      </c>
      <c r="AA120">
        <v>116</v>
      </c>
      <c r="AB120">
        <v>1.002</v>
      </c>
    </row>
    <row r="121" spans="3:28" x14ac:dyDescent="0.25">
      <c r="C121" s="75"/>
      <c r="F121" s="5"/>
      <c r="G121" s="3"/>
      <c r="H121" s="3"/>
      <c r="I121"/>
      <c r="J121"/>
      <c r="K121" s="3"/>
      <c r="M121"/>
      <c r="O121" s="3">
        <f t="shared" si="17"/>
        <v>116</v>
      </c>
      <c r="P121" s="13">
        <f t="shared" si="13"/>
        <v>0.11461333555992104</v>
      </c>
      <c r="Q121" s="13">
        <f t="shared" si="9"/>
        <v>1.1666666666666667E-2</v>
      </c>
      <c r="R121" s="13">
        <f t="shared" si="14"/>
        <v>25.52</v>
      </c>
      <c r="S121">
        <f t="shared" si="10"/>
        <v>3.6666666666666667E-2</v>
      </c>
      <c r="T121" s="8">
        <f t="shared" si="15"/>
        <v>0.97735133047869793</v>
      </c>
      <c r="U121" s="8">
        <f t="shared" si="11"/>
        <v>0.57252846501170751</v>
      </c>
      <c r="V121">
        <f t="shared" si="12"/>
        <v>0.57252846501170751</v>
      </c>
      <c r="W121" s="71">
        <f t="shared" si="16"/>
        <v>1116.6666666666667</v>
      </c>
      <c r="Z121">
        <f>16.7-4.9</f>
        <v>11.799999999999999</v>
      </c>
      <c r="AA121">
        <v>117</v>
      </c>
      <c r="AB121">
        <v>1.002</v>
      </c>
    </row>
    <row r="122" spans="3:28" x14ac:dyDescent="0.25">
      <c r="C122" s="75"/>
      <c r="F122" s="5"/>
      <c r="G122" s="3"/>
      <c r="H122" s="3"/>
      <c r="I122"/>
      <c r="J122"/>
      <c r="K122" s="3"/>
      <c r="M122"/>
      <c r="O122" s="3">
        <f t="shared" si="17"/>
        <v>117</v>
      </c>
      <c r="P122" s="13">
        <f t="shared" si="13"/>
        <v>0.1473600028627553</v>
      </c>
      <c r="Q122" s="13">
        <f t="shared" si="9"/>
        <v>1.4999999999999968E-2</v>
      </c>
      <c r="R122" s="13">
        <f t="shared" si="14"/>
        <v>25.74</v>
      </c>
      <c r="S122">
        <f t="shared" si="10"/>
        <v>3.9999999999999966E-2</v>
      </c>
      <c r="T122" s="8">
        <f t="shared" si="15"/>
        <v>0.97588570350065784</v>
      </c>
      <c r="U122" s="8">
        <f t="shared" si="11"/>
        <v>0.55655148919154973</v>
      </c>
      <c r="V122">
        <f t="shared" si="12"/>
        <v>0.55655148919154973</v>
      </c>
      <c r="W122" s="71">
        <f t="shared" si="16"/>
        <v>1149.9999999999998</v>
      </c>
      <c r="Z122">
        <f>Z120/Z121</f>
        <v>1.0593220338983049</v>
      </c>
      <c r="AA122">
        <v>118</v>
      </c>
      <c r="AB122">
        <v>1.002</v>
      </c>
    </row>
    <row r="123" spans="3:28" x14ac:dyDescent="0.25">
      <c r="C123" s="75"/>
      <c r="F123" s="5"/>
      <c r="G123" s="3"/>
      <c r="H123" s="3"/>
      <c r="I123"/>
      <c r="J123"/>
      <c r="K123" s="3"/>
      <c r="M123"/>
      <c r="O123" s="3">
        <f t="shared" si="17"/>
        <v>118</v>
      </c>
      <c r="P123" s="13">
        <f t="shared" si="13"/>
        <v>0.18010667016559001</v>
      </c>
      <c r="Q123" s="13">
        <f t="shared" si="9"/>
        <v>1.8333333333333316E-2</v>
      </c>
      <c r="R123" s="13">
        <f t="shared" si="14"/>
        <v>25.96</v>
      </c>
      <c r="S123">
        <f t="shared" si="10"/>
        <v>4.3333333333333321E-2</v>
      </c>
      <c r="T123" s="8">
        <f t="shared" si="15"/>
        <v>0.97433178966882916</v>
      </c>
      <c r="U123" s="8">
        <f t="shared" si="11"/>
        <v>0.54038069741354067</v>
      </c>
      <c r="V123">
        <f t="shared" si="12"/>
        <v>0.54038069741354067</v>
      </c>
      <c r="W123" s="71">
        <f t="shared" si="16"/>
        <v>1183.3333333333333</v>
      </c>
      <c r="Z123">
        <f>Z122^2</f>
        <v>1.1221631715024416</v>
      </c>
      <c r="AA123">
        <v>119</v>
      </c>
      <c r="AB123">
        <v>1.002</v>
      </c>
    </row>
    <row r="124" spans="3:28" x14ac:dyDescent="0.25">
      <c r="C124" s="75"/>
      <c r="F124" s="5"/>
      <c r="G124" s="3"/>
      <c r="H124" s="3"/>
      <c r="I124"/>
      <c r="J124"/>
      <c r="K124" s="3"/>
      <c r="M124"/>
      <c r="O124" s="3">
        <f t="shared" si="17"/>
        <v>119</v>
      </c>
      <c r="P124" s="13">
        <f t="shared" si="13"/>
        <v>0.21285333746842472</v>
      </c>
      <c r="Q124" s="13">
        <f t="shared" si="9"/>
        <v>2.166666666666666E-2</v>
      </c>
      <c r="R124" s="13">
        <f t="shared" si="14"/>
        <v>26.18</v>
      </c>
      <c r="S124">
        <f t="shared" si="10"/>
        <v>4.6666666666666662E-2</v>
      </c>
      <c r="T124" s="8">
        <f t="shared" si="15"/>
        <v>0.97268513506647036</v>
      </c>
      <c r="U124" s="8">
        <f t="shared" si="11"/>
        <v>0.52237510099029849</v>
      </c>
      <c r="V124">
        <f t="shared" si="12"/>
        <v>0.52237510099029849</v>
      </c>
      <c r="W124" s="71">
        <f t="shared" si="16"/>
        <v>1216.6666666666667</v>
      </c>
      <c r="Z124" t="e">
        <f>Z123*#REF!</f>
        <v>#REF!</v>
      </c>
      <c r="AA124">
        <v>120</v>
      </c>
      <c r="AB124">
        <v>1.002</v>
      </c>
    </row>
    <row r="125" spans="3:28" x14ac:dyDescent="0.25">
      <c r="C125" s="75"/>
      <c r="F125" s="5"/>
      <c r="G125" s="3"/>
      <c r="H125" s="3"/>
      <c r="I125"/>
      <c r="J125"/>
      <c r="K125" s="3"/>
      <c r="M125"/>
      <c r="O125" s="3">
        <f t="shared" si="17"/>
        <v>120</v>
      </c>
      <c r="P125" s="13">
        <f t="shared" si="13"/>
        <v>0.24560000477125898</v>
      </c>
      <c r="Q125" s="13">
        <f t="shared" si="9"/>
        <v>2.4999999999999963E-2</v>
      </c>
      <c r="R125" s="13">
        <f t="shared" si="14"/>
        <v>26.4</v>
      </c>
      <c r="S125">
        <f t="shared" si="10"/>
        <v>4.9999999999999961E-2</v>
      </c>
      <c r="T125" s="8">
        <f t="shared" si="15"/>
        <v>0.97094117428080384</v>
      </c>
      <c r="U125" s="8">
        <f t="shared" si="11"/>
        <v>0.5017068686797812</v>
      </c>
      <c r="V125">
        <f t="shared" si="12"/>
        <v>0.5017068686797812</v>
      </c>
      <c r="W125" s="71">
        <f t="shared" si="16"/>
        <v>1249.9999999999998</v>
      </c>
      <c r="AA125">
        <v>121</v>
      </c>
      <c r="AB125">
        <v>1.002</v>
      </c>
    </row>
    <row r="126" spans="3:28" x14ac:dyDescent="0.25">
      <c r="C126" s="75"/>
      <c r="F126" s="5"/>
      <c r="G126" s="3"/>
      <c r="H126" s="3"/>
      <c r="I126"/>
      <c r="J126"/>
      <c r="K126" s="3"/>
      <c r="M126"/>
      <c r="O126" s="3">
        <f t="shared" si="17"/>
        <v>121</v>
      </c>
      <c r="P126" s="13">
        <f t="shared" si="13"/>
        <v>0.27834667207409369</v>
      </c>
      <c r="Q126" s="13">
        <f t="shared" si="9"/>
        <v>2.8333333333333311E-2</v>
      </c>
      <c r="R126" s="13">
        <f t="shared" si="14"/>
        <v>26.62</v>
      </c>
      <c r="S126">
        <f t="shared" si="10"/>
        <v>5.3333333333333316E-2</v>
      </c>
      <c r="T126" s="8">
        <f t="shared" si="15"/>
        <v>0.96909524344779785</v>
      </c>
      <c r="U126" s="8">
        <f t="shared" si="11"/>
        <v>0.47802382863088266</v>
      </c>
      <c r="V126">
        <f t="shared" si="12"/>
        <v>0.47802382863088266</v>
      </c>
      <c r="W126" s="71">
        <f t="shared" si="16"/>
        <v>1283.3333333333333</v>
      </c>
      <c r="AA126">
        <v>122</v>
      </c>
      <c r="AB126">
        <v>1.002</v>
      </c>
    </row>
    <row r="127" spans="3:28" x14ac:dyDescent="0.25">
      <c r="C127" s="75"/>
      <c r="F127" s="5"/>
      <c r="G127" s="3"/>
      <c r="H127" s="3"/>
      <c r="I127"/>
      <c r="J127"/>
      <c r="K127" s="3"/>
      <c r="M127"/>
      <c r="O127" s="3">
        <f t="shared" si="17"/>
        <v>122</v>
      </c>
      <c r="P127" s="13">
        <f t="shared" si="13"/>
        <v>0.3110933393769284</v>
      </c>
      <c r="Q127" s="13">
        <f t="shared" si="9"/>
        <v>3.1666666666666655E-2</v>
      </c>
      <c r="R127" s="13">
        <f t="shared" si="14"/>
        <v>26.84</v>
      </c>
      <c r="S127">
        <f t="shared" si="10"/>
        <v>5.6666666666666657E-2</v>
      </c>
      <c r="T127" s="8">
        <f t="shared" si="15"/>
        <v>0.96714259586110363</v>
      </c>
      <c r="U127" s="8">
        <f t="shared" si="11"/>
        <v>0.45131399385522164</v>
      </c>
      <c r="V127">
        <f t="shared" si="12"/>
        <v>0.45131399385522164</v>
      </c>
      <c r="W127" s="71">
        <f t="shared" si="16"/>
        <v>1316.6666666666665</v>
      </c>
      <c r="AA127">
        <v>123</v>
      </c>
      <c r="AB127">
        <v>1.002</v>
      </c>
    </row>
    <row r="128" spans="3:28" x14ac:dyDescent="0.25">
      <c r="C128" s="75"/>
      <c r="F128" s="5"/>
      <c r="G128" s="3"/>
      <c r="H128" s="3"/>
      <c r="I128"/>
      <c r="J128"/>
      <c r="K128" s="3"/>
      <c r="M128"/>
      <c r="O128" s="3">
        <f t="shared" si="17"/>
        <v>123</v>
      </c>
      <c r="P128" s="13">
        <f t="shared" si="13"/>
        <v>0.34384000667976311</v>
      </c>
      <c r="Q128" s="13">
        <f t="shared" si="9"/>
        <v>3.5000000000000003E-2</v>
      </c>
      <c r="R128" s="13">
        <f t="shared" si="14"/>
        <v>27.06</v>
      </c>
      <c r="S128">
        <f t="shared" si="10"/>
        <v>6.0000000000000005E-2</v>
      </c>
      <c r="T128" s="8">
        <f t="shared" si="15"/>
        <v>0.96507842034851166</v>
      </c>
      <c r="U128" s="8">
        <f t="shared" si="11"/>
        <v>0.42181724580303992</v>
      </c>
      <c r="V128">
        <f t="shared" si="12"/>
        <v>0.42181724580303992</v>
      </c>
      <c r="W128" s="71">
        <f t="shared" si="16"/>
        <v>1350</v>
      </c>
      <c r="AA128">
        <v>124</v>
      </c>
      <c r="AB128">
        <v>1.002</v>
      </c>
    </row>
    <row r="129" spans="3:28" x14ac:dyDescent="0.25">
      <c r="C129" s="75"/>
      <c r="F129" s="5"/>
      <c r="G129" s="3"/>
      <c r="H129" s="3"/>
      <c r="I129"/>
      <c r="J129"/>
      <c r="K129" s="3"/>
      <c r="M129"/>
      <c r="O129" s="3">
        <f t="shared" si="17"/>
        <v>124</v>
      </c>
      <c r="P129" s="13">
        <f t="shared" si="13"/>
        <v>0.37658667398259782</v>
      </c>
      <c r="Q129" s="13">
        <f t="shared" si="9"/>
        <v>3.8333333333333351E-2</v>
      </c>
      <c r="R129" s="13">
        <f t="shared" si="14"/>
        <v>27.28</v>
      </c>
      <c r="S129">
        <f t="shared" si="10"/>
        <v>6.3333333333333353E-2</v>
      </c>
      <c r="T129" s="8">
        <f t="shared" si="15"/>
        <v>0.9628978626085436</v>
      </c>
      <c r="U129" s="8">
        <f t="shared" si="11"/>
        <v>0.38980330045856354</v>
      </c>
      <c r="V129">
        <f t="shared" si="12"/>
        <v>0.38980330045856354</v>
      </c>
      <c r="W129" s="71">
        <f t="shared" si="16"/>
        <v>1383.3333333333337</v>
      </c>
      <c r="AA129">
        <v>125</v>
      </c>
      <c r="AB129">
        <v>1.002</v>
      </c>
    </row>
    <row r="130" spans="3:28" x14ac:dyDescent="0.25">
      <c r="C130" s="75"/>
      <c r="F130" s="5"/>
      <c r="G130" s="3"/>
      <c r="H130" s="3"/>
      <c r="I130"/>
      <c r="J130"/>
      <c r="K130" s="3"/>
      <c r="M130"/>
      <c r="O130" s="3">
        <f t="shared" si="17"/>
        <v>125</v>
      </c>
      <c r="P130" s="13">
        <f t="shared" si="13"/>
        <v>0.40933334128543164</v>
      </c>
      <c r="Q130" s="13">
        <f t="shared" si="9"/>
        <v>4.1666666666666609E-2</v>
      </c>
      <c r="R130" s="13">
        <f t="shared" si="14"/>
        <v>27.5</v>
      </c>
      <c r="S130">
        <f t="shared" si="10"/>
        <v>6.666666666666661E-2</v>
      </c>
      <c r="T130" s="8">
        <f t="shared" si="15"/>
        <v>0.96059604968242651</v>
      </c>
      <c r="U130" s="8">
        <f t="shared" si="11"/>
        <v>0.35482882612230754</v>
      </c>
      <c r="V130">
        <f t="shared" si="12"/>
        <v>0.35482882612230754</v>
      </c>
      <c r="W130" s="71">
        <f t="shared" si="16"/>
        <v>1416.6666666666661</v>
      </c>
      <c r="AA130">
        <v>126</v>
      </c>
      <c r="AB130">
        <v>1.002</v>
      </c>
    </row>
    <row r="131" spans="3:28" x14ac:dyDescent="0.25">
      <c r="C131" s="75"/>
      <c r="F131" s="5"/>
      <c r="G131" s="3"/>
      <c r="H131" s="3"/>
      <c r="I131"/>
      <c r="J131"/>
      <c r="K131" s="3"/>
      <c r="M131"/>
      <c r="O131" s="3">
        <f t="shared" si="17"/>
        <v>126</v>
      </c>
      <c r="P131" s="13">
        <f t="shared" si="13"/>
        <v>0.44208000858826635</v>
      </c>
      <c r="Q131" s="13">
        <f t="shared" si="9"/>
        <v>4.499999999999995E-2</v>
      </c>
      <c r="R131" s="13">
        <f t="shared" si="14"/>
        <v>27.72</v>
      </c>
      <c r="S131">
        <f t="shared" si="10"/>
        <v>6.9999999999999951E-2</v>
      </c>
      <c r="T131" s="8">
        <f t="shared" si="15"/>
        <v>0.95816811771164268</v>
      </c>
      <c r="U131" s="8">
        <f t="shared" si="11"/>
        <v>0.31378838119987518</v>
      </c>
      <c r="V131">
        <f t="shared" si="12"/>
        <v>0.31378838119987518</v>
      </c>
      <c r="W131" s="71">
        <f t="shared" si="16"/>
        <v>1449.9999999999995</v>
      </c>
      <c r="AA131">
        <v>127</v>
      </c>
      <c r="AB131">
        <v>1.002</v>
      </c>
    </row>
    <row r="132" spans="3:28" x14ac:dyDescent="0.25">
      <c r="C132" s="75"/>
      <c r="F132" s="5"/>
      <c r="G132" s="3"/>
      <c r="H132" s="3"/>
      <c r="I132"/>
      <c r="J132"/>
      <c r="K132" s="3"/>
      <c r="M132"/>
      <c r="O132" s="3">
        <f t="shared" si="17"/>
        <v>127</v>
      </c>
      <c r="P132" s="13">
        <f t="shared" si="13"/>
        <v>0.47482667589110106</v>
      </c>
      <c r="Q132" s="13">
        <f t="shared" si="9"/>
        <v>4.8333333333333298E-2</v>
      </c>
      <c r="R132" s="13">
        <f t="shared" si="14"/>
        <v>27.94</v>
      </c>
      <c r="S132">
        <f t="shared" si="10"/>
        <v>7.3333333333333306E-2</v>
      </c>
      <c r="T132" s="8">
        <f t="shared" si="15"/>
        <v>0.95560924309742401</v>
      </c>
      <c r="U132" s="8">
        <f t="shared" si="11"/>
        <v>0.26016114681223179</v>
      </c>
      <c r="V132">
        <f t="shared" si="12"/>
        <v>0.26016114681223179</v>
      </c>
      <c r="W132" s="71">
        <f t="shared" si="16"/>
        <v>1483.3333333333333</v>
      </c>
      <c r="AA132">
        <v>128</v>
      </c>
      <c r="AB132">
        <v>1.002</v>
      </c>
    </row>
    <row r="133" spans="3:28" x14ac:dyDescent="0.25">
      <c r="C133" s="75"/>
      <c r="F133" s="5"/>
      <c r="G133" s="3"/>
      <c r="H133" s="3"/>
      <c r="I133"/>
      <c r="J133"/>
      <c r="K133" s="3"/>
      <c r="M133"/>
      <c r="O133" s="3">
        <f t="shared" si="17"/>
        <v>128</v>
      </c>
      <c r="P133" s="13">
        <f t="shared" si="13"/>
        <v>0.50757334319393577</v>
      </c>
      <c r="Q133" s="13">
        <f t="shared" ref="Q133:Q159" si="18">P133*$G$18</f>
        <v>5.1666666666666645E-2</v>
      </c>
      <c r="R133" s="13">
        <f t="shared" si="14"/>
        <v>28.16</v>
      </c>
      <c r="S133">
        <f t="shared" ref="S133:S159" si="19">ABS(Q133-$K$38)</f>
        <v>7.6666666666666647E-2</v>
      </c>
      <c r="T133" s="8">
        <f t="shared" si="15"/>
        <v>0.95291467713489908</v>
      </c>
      <c r="U133" s="8">
        <f t="shared" ref="U133:U159" si="20">$K$39/(1+EXP(($S133-$L$39)/$M$39))+$K$40/(1+EXP(($S133-$L$40)/$M$40))+$K$41/(1+EXP(($S133-$L$41)/$M$41))+$K$42/(1+EXP(($S133-$L$42)/$M$42))</f>
        <v>0.19825674472735888</v>
      </c>
      <c r="V133">
        <f t="shared" ref="V133:V159" si="21">IF(Q133-$K$38&gt;0,U133,T133)</f>
        <v>0.19825674472735888</v>
      </c>
      <c r="W133" s="71">
        <f t="shared" si="16"/>
        <v>1516.6666666666665</v>
      </c>
      <c r="AA133">
        <v>129</v>
      </c>
      <c r="AB133">
        <v>1.002</v>
      </c>
    </row>
    <row r="134" spans="3:28" x14ac:dyDescent="0.25">
      <c r="C134" s="75"/>
      <c r="F134" s="5"/>
      <c r="G134" s="3"/>
      <c r="H134" s="3"/>
      <c r="I134"/>
      <c r="J134"/>
      <c r="K134" s="3"/>
      <c r="M134"/>
      <c r="O134" s="3">
        <f t="shared" si="17"/>
        <v>129</v>
      </c>
      <c r="P134" s="13">
        <f t="shared" ref="P134:P159" si="22">$C$24*O134+$C$21</f>
        <v>0.54032001049677048</v>
      </c>
      <c r="Q134" s="13">
        <f t="shared" si="18"/>
        <v>5.4999999999999993E-2</v>
      </c>
      <c r="R134" s="13">
        <f t="shared" ref="R134:R159" si="23">$S$3*O134</f>
        <v>28.38</v>
      </c>
      <c r="S134">
        <f t="shared" si="19"/>
        <v>7.9999999999999988E-2</v>
      </c>
      <c r="T134" s="8">
        <f t="shared" ref="T134:T159" si="24">$K$34/(1+EXP(($S134-$L$34)/$M$34))+$K$35/(1+EXP(($S134-$L$35)/$M$35))+$K$36/(1+EXP(($S134-$L$36)/$M$36))+$K$37/(1+EXP(($S134-$L$37)/$M$37))</f>
        <v>0.95007978414013894</v>
      </c>
      <c r="U134" s="8">
        <f t="shared" si="20"/>
        <v>0.14908057028752755</v>
      </c>
      <c r="V134">
        <f t="shared" si="21"/>
        <v>0.14908057028752755</v>
      </c>
      <c r="W134" s="71">
        <f t="shared" ref="W134:W159" si="25">(Q134+W$3)*10000</f>
        <v>1550</v>
      </c>
      <c r="AA134">
        <v>130</v>
      </c>
      <c r="AB134">
        <v>1.002</v>
      </c>
    </row>
    <row r="135" spans="3:28" x14ac:dyDescent="0.25">
      <c r="C135" s="75"/>
      <c r="F135" s="5"/>
      <c r="G135" s="3"/>
      <c r="H135" s="3"/>
      <c r="I135"/>
      <c r="J135"/>
      <c r="K135" s="3"/>
      <c r="M135"/>
      <c r="O135" s="3">
        <f t="shared" si="17"/>
        <v>130</v>
      </c>
      <c r="P135" s="13">
        <f t="shared" si="22"/>
        <v>0.57306667779960518</v>
      </c>
      <c r="Q135" s="13">
        <f t="shared" si="18"/>
        <v>5.8333333333333341E-2</v>
      </c>
      <c r="R135" s="13">
        <f t="shared" si="23"/>
        <v>28.6</v>
      </c>
      <c r="S135">
        <f t="shared" si="19"/>
        <v>8.3333333333333343E-2</v>
      </c>
      <c r="T135" s="8">
        <f t="shared" si="24"/>
        <v>0.94710008302220994</v>
      </c>
      <c r="U135" s="8">
        <f t="shared" si="20"/>
        <v>0.11645674354992214</v>
      </c>
      <c r="V135">
        <f t="shared" si="21"/>
        <v>0.11645674354992214</v>
      </c>
      <c r="W135" s="71">
        <f t="shared" si="25"/>
        <v>1583.3333333333335</v>
      </c>
      <c r="AA135">
        <v>131</v>
      </c>
      <c r="AB135">
        <v>1.002</v>
      </c>
    </row>
    <row r="136" spans="3:28" x14ac:dyDescent="0.25">
      <c r="C136" s="75"/>
      <c r="F136" s="5"/>
      <c r="G136" s="3"/>
      <c r="H136" s="3"/>
      <c r="I136"/>
      <c r="J136"/>
      <c r="K136" s="3"/>
      <c r="M136"/>
      <c r="O136" s="3">
        <f t="shared" ref="O136:O159" si="26">O135+1</f>
        <v>131</v>
      </c>
      <c r="P136" s="13">
        <f t="shared" si="22"/>
        <v>0.60581334510243989</v>
      </c>
      <c r="Q136" s="13">
        <f t="shared" si="18"/>
        <v>6.1666666666666682E-2</v>
      </c>
      <c r="R136" s="13">
        <f t="shared" si="23"/>
        <v>28.82</v>
      </c>
      <c r="S136">
        <f t="shared" si="19"/>
        <v>8.6666666666666684E-2</v>
      </c>
      <c r="T136" s="8">
        <f t="shared" si="24"/>
        <v>0.94397129217386988</v>
      </c>
      <c r="U136" s="8">
        <f t="shared" si="20"/>
        <v>9.299742126524474E-2</v>
      </c>
      <c r="V136">
        <f t="shared" si="21"/>
        <v>9.299742126524474E-2</v>
      </c>
      <c r="W136" s="71">
        <f t="shared" si="25"/>
        <v>1616.6666666666667</v>
      </c>
      <c r="AA136">
        <v>132</v>
      </c>
      <c r="AB136">
        <v>1.002</v>
      </c>
    </row>
    <row r="137" spans="3:28" x14ac:dyDescent="0.25">
      <c r="C137" s="75"/>
      <c r="F137" s="5"/>
      <c r="G137" s="3"/>
      <c r="H137" s="3"/>
      <c r="I137"/>
      <c r="J137"/>
      <c r="K137" s="3"/>
      <c r="M137"/>
      <c r="O137" s="3">
        <f t="shared" si="26"/>
        <v>132</v>
      </c>
      <c r="P137" s="13">
        <f t="shared" si="22"/>
        <v>0.63856001240527371</v>
      </c>
      <c r="Q137" s="13">
        <f t="shared" si="18"/>
        <v>6.4999999999999947E-2</v>
      </c>
      <c r="R137" s="13">
        <f t="shared" si="23"/>
        <v>29.04</v>
      </c>
      <c r="S137">
        <f t="shared" si="19"/>
        <v>8.9999999999999941E-2</v>
      </c>
      <c r="T137" s="8">
        <f t="shared" si="24"/>
        <v>0.94068937746336467</v>
      </c>
      <c r="U137" s="8">
        <f t="shared" si="20"/>
        <v>7.452266324163094E-2</v>
      </c>
      <c r="V137">
        <f t="shared" si="21"/>
        <v>7.452266324163094E-2</v>
      </c>
      <c r="W137" s="71">
        <f t="shared" si="25"/>
        <v>1649.9999999999995</v>
      </c>
      <c r="AA137">
        <v>133</v>
      </c>
      <c r="AB137">
        <v>1.002</v>
      </c>
    </row>
    <row r="138" spans="3:28" x14ac:dyDescent="0.25">
      <c r="C138" s="75"/>
      <c r="F138" s="5"/>
      <c r="G138" s="3"/>
      <c r="H138" s="3"/>
      <c r="I138"/>
      <c r="J138"/>
      <c r="K138" s="3"/>
      <c r="M138"/>
      <c r="O138" s="3">
        <f t="shared" si="26"/>
        <v>133</v>
      </c>
      <c r="P138" s="13">
        <f t="shared" si="22"/>
        <v>0.67130667970810842</v>
      </c>
      <c r="Q138" s="13">
        <f t="shared" si="18"/>
        <v>6.8333333333333288E-2</v>
      </c>
      <c r="R138" s="13">
        <f t="shared" si="23"/>
        <v>29.26</v>
      </c>
      <c r="S138">
        <f t="shared" si="19"/>
        <v>9.3333333333333296E-2</v>
      </c>
      <c r="T138" s="8">
        <f t="shared" si="24"/>
        <v>0.93725060300579477</v>
      </c>
      <c r="U138" s="8">
        <f t="shared" si="20"/>
        <v>5.949914927333614E-2</v>
      </c>
      <c r="V138">
        <f t="shared" si="21"/>
        <v>5.949914927333614E-2</v>
      </c>
      <c r="W138" s="71">
        <f t="shared" si="25"/>
        <v>1683.3333333333328</v>
      </c>
      <c r="AA138">
        <v>134</v>
      </c>
      <c r="AB138">
        <v>1.002</v>
      </c>
    </row>
    <row r="139" spans="3:28" x14ac:dyDescent="0.25">
      <c r="C139" s="75"/>
      <c r="F139" s="5"/>
      <c r="G139" s="3"/>
      <c r="H139" s="3"/>
      <c r="I139"/>
      <c r="J139"/>
      <c r="K139" s="3"/>
      <c r="M139"/>
      <c r="O139" s="3">
        <f t="shared" si="26"/>
        <v>134</v>
      </c>
      <c r="P139" s="13">
        <f t="shared" si="22"/>
        <v>0.70405334701094313</v>
      </c>
      <c r="Q139" s="13">
        <f t="shared" si="18"/>
        <v>7.1666666666666629E-2</v>
      </c>
      <c r="R139" s="13">
        <f t="shared" si="23"/>
        <v>29.48</v>
      </c>
      <c r="S139">
        <f t="shared" si="19"/>
        <v>9.6666666666666623E-2</v>
      </c>
      <c r="T139" s="8">
        <f t="shared" si="24"/>
        <v>0.93365158427610107</v>
      </c>
      <c r="U139" s="8">
        <f t="shared" si="20"/>
        <v>4.7253634493099633E-2</v>
      </c>
      <c r="V139">
        <f t="shared" si="21"/>
        <v>4.7253634493099633E-2</v>
      </c>
      <c r="W139" s="71">
        <f t="shared" si="25"/>
        <v>1716.6666666666663</v>
      </c>
      <c r="AA139">
        <v>135</v>
      </c>
      <c r="AB139">
        <v>1.002</v>
      </c>
    </row>
    <row r="140" spans="3:28" x14ac:dyDescent="0.25">
      <c r="C140" s="75"/>
      <c r="F140" s="5"/>
      <c r="G140" s="3"/>
      <c r="H140" s="3"/>
      <c r="I140"/>
      <c r="J140"/>
      <c r="K140" s="3"/>
      <c r="M140"/>
      <c r="O140" s="3">
        <f t="shared" si="26"/>
        <v>135</v>
      </c>
      <c r="P140" s="13">
        <f t="shared" si="22"/>
        <v>0.73680001431377784</v>
      </c>
      <c r="Q140" s="13">
        <f t="shared" si="18"/>
        <v>7.4999999999999983E-2</v>
      </c>
      <c r="R140" s="13">
        <f t="shared" si="23"/>
        <v>29.7</v>
      </c>
      <c r="S140">
        <f t="shared" si="19"/>
        <v>9.9999999999999978E-2</v>
      </c>
      <c r="T140" s="8">
        <f t="shared" si="24"/>
        <v>0.92988934299762893</v>
      </c>
      <c r="U140" s="8">
        <f t="shared" si="20"/>
        <v>3.733933768502383E-2</v>
      </c>
      <c r="V140">
        <f t="shared" si="21"/>
        <v>3.733933768502383E-2</v>
      </c>
      <c r="W140" s="71">
        <f t="shared" si="25"/>
        <v>1750</v>
      </c>
      <c r="AA140">
        <v>136</v>
      </c>
      <c r="AB140">
        <v>1.002</v>
      </c>
    </row>
    <row r="141" spans="3:28" x14ac:dyDescent="0.25">
      <c r="C141" s="75"/>
      <c r="F141" s="5"/>
      <c r="G141" s="3"/>
      <c r="H141" s="3"/>
      <c r="I141"/>
      <c r="J141"/>
      <c r="K141" s="3"/>
      <c r="M141"/>
      <c r="O141" s="3">
        <f t="shared" si="26"/>
        <v>136</v>
      </c>
      <c r="P141" s="13">
        <f t="shared" si="22"/>
        <v>0.76954668161661255</v>
      </c>
      <c r="Q141" s="13">
        <f t="shared" si="18"/>
        <v>7.8333333333333324E-2</v>
      </c>
      <c r="R141" s="13">
        <f t="shared" si="23"/>
        <v>29.92</v>
      </c>
      <c r="S141">
        <f t="shared" si="19"/>
        <v>0.10333333333333333</v>
      </c>
      <c r="T141" s="8">
        <f t="shared" si="24"/>
        <v>0.92596136310174915</v>
      </c>
      <c r="U141" s="8">
        <f t="shared" si="20"/>
        <v>2.9378178583521274E-2</v>
      </c>
      <c r="V141">
        <f t="shared" si="21"/>
        <v>2.9378178583521274E-2</v>
      </c>
      <c r="W141" s="71">
        <f t="shared" si="25"/>
        <v>1783.3333333333335</v>
      </c>
      <c r="AA141">
        <v>137</v>
      </c>
      <c r="AB141">
        <v>1.002</v>
      </c>
    </row>
    <row r="142" spans="3:28" x14ac:dyDescent="0.25">
      <c r="C142" s="75"/>
      <c r="F142" s="5"/>
      <c r="G142" s="3"/>
      <c r="H142" s="3"/>
      <c r="I142"/>
      <c r="J142"/>
      <c r="K142" s="3"/>
      <c r="M142"/>
      <c r="O142" s="3">
        <f t="shared" si="26"/>
        <v>137</v>
      </c>
      <c r="P142" s="13">
        <f t="shared" si="22"/>
        <v>0.80229334891944726</v>
      </c>
      <c r="Q142" s="13">
        <f t="shared" si="18"/>
        <v>8.1666666666666679E-2</v>
      </c>
      <c r="R142" s="13">
        <f t="shared" si="23"/>
        <v>30.14</v>
      </c>
      <c r="S142">
        <f t="shared" si="19"/>
        <v>0.10666666666666669</v>
      </c>
      <c r="T142" s="8">
        <f t="shared" si="24"/>
        <v>0.92186564690685235</v>
      </c>
      <c r="U142" s="8">
        <f t="shared" si="20"/>
        <v>2.3033015173521888E-2</v>
      </c>
      <c r="V142">
        <f t="shared" si="21"/>
        <v>2.3033015173521888E-2</v>
      </c>
      <c r="W142" s="71">
        <f t="shared" si="25"/>
        <v>1816.666666666667</v>
      </c>
      <c r="AA142">
        <v>138</v>
      </c>
      <c r="AB142">
        <v>1.002</v>
      </c>
    </row>
    <row r="143" spans="3:28" x14ac:dyDescent="0.25">
      <c r="C143" s="75"/>
      <c r="F143" s="5"/>
      <c r="G143" s="3"/>
      <c r="H143" s="3"/>
      <c r="I143"/>
      <c r="J143"/>
      <c r="K143" s="3"/>
      <c r="M143"/>
      <c r="O143" s="3">
        <f t="shared" si="26"/>
        <v>138</v>
      </c>
      <c r="P143" s="13">
        <f t="shared" si="22"/>
        <v>0.83504001622228197</v>
      </c>
      <c r="Q143" s="13">
        <f t="shared" si="18"/>
        <v>8.500000000000002E-2</v>
      </c>
      <c r="R143" s="13">
        <f t="shared" si="23"/>
        <v>30.36</v>
      </c>
      <c r="S143">
        <f t="shared" si="19"/>
        <v>0.11000000000000001</v>
      </c>
      <c r="T143" s="8">
        <f t="shared" si="24"/>
        <v>0.9176007705113266</v>
      </c>
      <c r="U143" s="8">
        <f t="shared" si="20"/>
        <v>1.8007284916110266E-2</v>
      </c>
      <c r="V143">
        <f t="shared" si="21"/>
        <v>1.8007284916110266E-2</v>
      </c>
      <c r="W143" s="71">
        <f t="shared" si="25"/>
        <v>1850.0000000000002</v>
      </c>
      <c r="AA143">
        <v>139</v>
      </c>
      <c r="AB143">
        <v>1.002</v>
      </c>
    </row>
    <row r="144" spans="3:28" x14ac:dyDescent="0.25">
      <c r="C144" s="75"/>
      <c r="F144" s="5"/>
      <c r="G144" s="3"/>
      <c r="H144" s="3"/>
      <c r="I144"/>
      <c r="J144"/>
      <c r="K144" s="3"/>
      <c r="M144"/>
      <c r="O144" s="3">
        <f t="shared" si="26"/>
        <v>139</v>
      </c>
      <c r="P144" s="13">
        <f t="shared" si="22"/>
        <v>0.86778668352511579</v>
      </c>
      <c r="Q144" s="13">
        <f t="shared" si="18"/>
        <v>8.8333333333333278E-2</v>
      </c>
      <c r="R144" s="13">
        <f t="shared" si="23"/>
        <v>30.580000000000002</v>
      </c>
      <c r="S144">
        <f t="shared" si="19"/>
        <v>0.11333333333333329</v>
      </c>
      <c r="T144" s="8">
        <f t="shared" si="24"/>
        <v>0.91316593723720119</v>
      </c>
      <c r="U144" s="8">
        <f t="shared" si="20"/>
        <v>1.4046608746504208E-2</v>
      </c>
      <c r="V144">
        <f t="shared" si="21"/>
        <v>1.4046608746504208E-2</v>
      </c>
      <c r="W144" s="71">
        <f t="shared" si="25"/>
        <v>1883.333333333333</v>
      </c>
      <c r="AA144">
        <v>140</v>
      </c>
      <c r="AB144">
        <v>1.002</v>
      </c>
    </row>
    <row r="145" spans="3:28" x14ac:dyDescent="0.25">
      <c r="C145" s="75"/>
      <c r="F145" s="5"/>
      <c r="G145" s="3"/>
      <c r="H145" s="3"/>
      <c r="I145"/>
      <c r="J145"/>
      <c r="K145" s="3"/>
      <c r="M145"/>
      <c r="O145" s="3">
        <f t="shared" si="26"/>
        <v>140</v>
      </c>
      <c r="P145" s="13">
        <f t="shared" si="22"/>
        <v>0.9005333508279505</v>
      </c>
      <c r="Q145" s="13">
        <f t="shared" si="18"/>
        <v>9.1666666666666619E-2</v>
      </c>
      <c r="R145" s="13">
        <f t="shared" si="23"/>
        <v>30.8</v>
      </c>
      <c r="S145">
        <f t="shared" si="19"/>
        <v>0.11666666666666661</v>
      </c>
      <c r="T145" s="8">
        <f t="shared" si="24"/>
        <v>0.90856102780131809</v>
      </c>
      <c r="U145" s="8">
        <f t="shared" si="20"/>
        <v>1.0937733406928692E-2</v>
      </c>
      <c r="V145">
        <f t="shared" si="21"/>
        <v>1.0937733406928692E-2</v>
      </c>
      <c r="W145" s="71">
        <f t="shared" si="25"/>
        <v>1916.6666666666663</v>
      </c>
      <c r="AA145">
        <v>141</v>
      </c>
      <c r="AB145">
        <v>1.002</v>
      </c>
    </row>
    <row r="146" spans="3:28" x14ac:dyDescent="0.25">
      <c r="C146" s="75"/>
      <c r="F146" s="5"/>
      <c r="G146" s="3"/>
      <c r="H146" s="3"/>
      <c r="I146"/>
      <c r="J146"/>
      <c r="K146" s="3"/>
      <c r="M146"/>
      <c r="O146" s="3">
        <f t="shared" si="26"/>
        <v>141</v>
      </c>
      <c r="P146" s="13">
        <f t="shared" si="22"/>
        <v>0.9332800181307852</v>
      </c>
      <c r="Q146" s="13">
        <f t="shared" si="18"/>
        <v>9.4999999999999973E-2</v>
      </c>
      <c r="R146" s="13">
        <f t="shared" si="23"/>
        <v>31.02</v>
      </c>
      <c r="S146">
        <f t="shared" si="19"/>
        <v>0.11999999999999997</v>
      </c>
      <c r="T146" s="8">
        <f t="shared" si="24"/>
        <v>0.90378664573107659</v>
      </c>
      <c r="U146" s="8">
        <f t="shared" si="20"/>
        <v>8.505138139106477E-3</v>
      </c>
      <c r="V146">
        <f t="shared" si="21"/>
        <v>8.505138139106477E-3</v>
      </c>
      <c r="W146" s="71">
        <f t="shared" si="25"/>
        <v>1949.9999999999998</v>
      </c>
      <c r="AA146">
        <v>142</v>
      </c>
      <c r="AB146">
        <v>1.002</v>
      </c>
    </row>
    <row r="147" spans="3:28" x14ac:dyDescent="0.25">
      <c r="C147" s="75"/>
      <c r="F147" s="5"/>
      <c r="G147" s="3"/>
      <c r="H147" s="3"/>
      <c r="I147"/>
      <c r="J147"/>
      <c r="K147" s="3"/>
      <c r="M147"/>
      <c r="O147" s="3">
        <f t="shared" si="26"/>
        <v>142</v>
      </c>
      <c r="P147" s="13">
        <f t="shared" si="22"/>
        <v>0.96602668543361991</v>
      </c>
      <c r="Q147" s="13">
        <f t="shared" si="18"/>
        <v>9.8333333333333314E-2</v>
      </c>
      <c r="R147" s="13">
        <f t="shared" si="23"/>
        <v>31.24</v>
      </c>
      <c r="S147">
        <f t="shared" si="19"/>
        <v>0.12333333333333332</v>
      </c>
      <c r="T147" s="8">
        <f t="shared" si="24"/>
        <v>0.8988441563828109</v>
      </c>
      <c r="U147" s="8">
        <f t="shared" si="20"/>
        <v>6.6064014451352911E-3</v>
      </c>
      <c r="V147">
        <f t="shared" si="21"/>
        <v>6.6064014451352911E-3</v>
      </c>
      <c r="W147" s="71">
        <f t="shared" si="25"/>
        <v>1983.333333333333</v>
      </c>
      <c r="AA147">
        <v>143</v>
      </c>
      <c r="AB147">
        <v>1.002</v>
      </c>
    </row>
    <row r="148" spans="3:28" x14ac:dyDescent="0.25">
      <c r="C148" s="75"/>
      <c r="F148" s="5"/>
      <c r="G148" s="3"/>
      <c r="H148" s="3"/>
      <c r="I148"/>
      <c r="J148"/>
      <c r="K148" s="3"/>
      <c r="M148"/>
      <c r="O148" s="3">
        <f t="shared" si="26"/>
        <v>143</v>
      </c>
      <c r="P148" s="13">
        <f t="shared" si="22"/>
        <v>0.99877335273645462</v>
      </c>
      <c r="Q148" s="13">
        <f t="shared" si="18"/>
        <v>0.10166666666666667</v>
      </c>
      <c r="R148" s="13">
        <f t="shared" si="23"/>
        <v>31.46</v>
      </c>
      <c r="S148">
        <f t="shared" si="19"/>
        <v>0.12666666666666668</v>
      </c>
      <c r="T148" s="8">
        <f t="shared" si="24"/>
        <v>0.89373571776176397</v>
      </c>
      <c r="U148" s="8">
        <f t="shared" si="20"/>
        <v>5.127216478221292E-3</v>
      </c>
      <c r="V148">
        <f t="shared" si="21"/>
        <v>5.127216478221292E-3</v>
      </c>
      <c r="W148" s="71">
        <f t="shared" si="25"/>
        <v>2016.6666666666665</v>
      </c>
      <c r="AA148">
        <v>144</v>
      </c>
      <c r="AB148">
        <v>1.002</v>
      </c>
    </row>
    <row r="149" spans="3:28" x14ac:dyDescent="0.25">
      <c r="C149" s="75"/>
      <c r="F149" s="5"/>
      <c r="G149" s="3"/>
      <c r="H149" s="3"/>
      <c r="I149"/>
      <c r="J149"/>
      <c r="K149" s="3"/>
      <c r="M149"/>
      <c r="O149" s="3">
        <f t="shared" si="26"/>
        <v>144</v>
      </c>
      <c r="P149" s="13">
        <f t="shared" si="22"/>
        <v>1.0315200200392893</v>
      </c>
      <c r="Q149" s="13">
        <f t="shared" si="18"/>
        <v>0.10500000000000001</v>
      </c>
      <c r="R149" s="13">
        <f t="shared" si="23"/>
        <v>31.68</v>
      </c>
      <c r="S149">
        <f t="shared" si="19"/>
        <v>0.13</v>
      </c>
      <c r="T149" s="8">
        <f t="shared" si="24"/>
        <v>0.88846430117943953</v>
      </c>
      <c r="U149" s="8">
        <f t="shared" si="20"/>
        <v>3.9766074630823269E-3</v>
      </c>
      <c r="V149">
        <f t="shared" si="21"/>
        <v>3.9766074630823269E-3</v>
      </c>
      <c r="W149" s="71">
        <f t="shared" si="25"/>
        <v>2050</v>
      </c>
      <c r="AA149">
        <v>145</v>
      </c>
      <c r="AB149">
        <v>1.002</v>
      </c>
    </row>
    <row r="150" spans="3:28" x14ac:dyDescent="0.25">
      <c r="C150" s="75"/>
      <c r="F150" s="5"/>
      <c r="G150" s="3"/>
      <c r="H150" s="3"/>
      <c r="I150"/>
      <c r="J150"/>
      <c r="K150" s="3"/>
      <c r="M150"/>
      <c r="O150" s="3">
        <f t="shared" si="26"/>
        <v>145</v>
      </c>
      <c r="P150" s="13">
        <f t="shared" si="22"/>
        <v>1.0642666873421232</v>
      </c>
      <c r="Q150" s="13">
        <f t="shared" si="18"/>
        <v>0.10833333333333327</v>
      </c>
      <c r="R150" s="13">
        <f t="shared" si="23"/>
        <v>31.9</v>
      </c>
      <c r="S150">
        <f t="shared" si="19"/>
        <v>0.13333333333333328</v>
      </c>
      <c r="T150" s="8">
        <f t="shared" si="24"/>
        <v>0.88303369960846534</v>
      </c>
      <c r="U150" s="8">
        <f t="shared" si="20"/>
        <v>3.0826323997059182E-3</v>
      </c>
      <c r="V150">
        <f t="shared" si="21"/>
        <v>3.0826323997059182E-3</v>
      </c>
      <c r="W150" s="71">
        <f t="shared" si="25"/>
        <v>2083.3333333333326</v>
      </c>
      <c r="AA150">
        <v>146</v>
      </c>
      <c r="AB150">
        <v>1.002</v>
      </c>
    </row>
    <row r="151" spans="3:28" x14ac:dyDescent="0.25">
      <c r="C151" s="75"/>
      <c r="F151" s="5"/>
      <c r="G151" s="3"/>
      <c r="H151" s="3"/>
      <c r="I151"/>
      <c r="J151"/>
      <c r="K151" s="3"/>
      <c r="M151"/>
      <c r="O151" s="3">
        <f t="shared" si="26"/>
        <v>146</v>
      </c>
      <c r="P151" s="13">
        <f t="shared" si="22"/>
        <v>1.0970133546449579</v>
      </c>
      <c r="Q151" s="13">
        <f t="shared" si="18"/>
        <v>0.11166666666666661</v>
      </c>
      <c r="R151" s="13">
        <f t="shared" si="23"/>
        <v>32.119999999999997</v>
      </c>
      <c r="S151">
        <f t="shared" si="19"/>
        <v>0.1366666666666666</v>
      </c>
      <c r="T151" s="8">
        <f t="shared" si="24"/>
        <v>0.87744852139212137</v>
      </c>
      <c r="U151" s="8">
        <f t="shared" si="20"/>
        <v>2.3886818220834956E-3</v>
      </c>
      <c r="V151">
        <f t="shared" si="21"/>
        <v>2.3886818220834956E-3</v>
      </c>
      <c r="W151" s="71">
        <f t="shared" si="25"/>
        <v>2116.6666666666661</v>
      </c>
      <c r="AA151">
        <v>147</v>
      </c>
      <c r="AB151">
        <v>1.002</v>
      </c>
    </row>
    <row r="152" spans="3:28" x14ac:dyDescent="0.25">
      <c r="C152" s="75"/>
      <c r="F152" s="5"/>
      <c r="G152" s="3"/>
      <c r="H152" s="3"/>
      <c r="I152"/>
      <c r="J152"/>
      <c r="K152" s="3"/>
      <c r="M152"/>
      <c r="O152" s="3">
        <f t="shared" si="26"/>
        <v>147</v>
      </c>
      <c r="P152" s="13">
        <f t="shared" si="22"/>
        <v>1.1297600219477926</v>
      </c>
      <c r="Q152" s="13">
        <f t="shared" si="18"/>
        <v>0.11499999999999996</v>
      </c>
      <c r="R152" s="13">
        <f t="shared" si="23"/>
        <v>32.340000000000003</v>
      </c>
      <c r="S152">
        <f t="shared" si="19"/>
        <v>0.13999999999999996</v>
      </c>
      <c r="T152" s="8">
        <f t="shared" si="24"/>
        <v>0.87171416671145019</v>
      </c>
      <c r="U152" s="8">
        <f t="shared" si="20"/>
        <v>1.85038054072513E-3</v>
      </c>
      <c r="V152">
        <f t="shared" si="21"/>
        <v>1.85038054072513E-3</v>
      </c>
      <c r="W152" s="71">
        <f t="shared" si="25"/>
        <v>2149.9999999999995</v>
      </c>
      <c r="AA152">
        <v>148</v>
      </c>
      <c r="AB152">
        <v>1.002</v>
      </c>
    </row>
    <row r="153" spans="3:28" x14ac:dyDescent="0.25">
      <c r="C153" s="75"/>
      <c r="F153" s="5"/>
      <c r="G153" s="3"/>
      <c r="H153" s="3"/>
      <c r="I153"/>
      <c r="J153"/>
      <c r="K153" s="3"/>
      <c r="M153"/>
      <c r="O153" s="3">
        <f t="shared" si="26"/>
        <v>148</v>
      </c>
      <c r="P153" s="13">
        <f t="shared" si="22"/>
        <v>1.1625066892506273</v>
      </c>
      <c r="Q153" s="13">
        <f t="shared" si="18"/>
        <v>0.1183333333333333</v>
      </c>
      <c r="R153" s="13">
        <f t="shared" si="23"/>
        <v>32.56</v>
      </c>
      <c r="S153">
        <f t="shared" si="19"/>
        <v>0.14333333333333331</v>
      </c>
      <c r="T153" s="8">
        <f t="shared" si="24"/>
        <v>0.86583678387084095</v>
      </c>
      <c r="U153" s="8">
        <f t="shared" si="20"/>
        <v>1.4330456512218232E-3</v>
      </c>
      <c r="V153">
        <f t="shared" si="21"/>
        <v>1.4330456512218232E-3</v>
      </c>
      <c r="W153" s="71">
        <f t="shared" si="25"/>
        <v>2183.333333333333</v>
      </c>
      <c r="AA153">
        <v>149</v>
      </c>
      <c r="AB153">
        <v>1.002</v>
      </c>
    </row>
    <row r="154" spans="3:28" x14ac:dyDescent="0.25">
      <c r="C154" s="75"/>
      <c r="F154" s="5"/>
      <c r="G154" s="3"/>
      <c r="H154" s="3"/>
      <c r="I154"/>
      <c r="J154"/>
      <c r="K154" s="3"/>
      <c r="M154"/>
      <c r="O154" s="3">
        <f t="shared" si="26"/>
        <v>149</v>
      </c>
      <c r="P154" s="13">
        <f t="shared" si="22"/>
        <v>1.195253356553462</v>
      </c>
      <c r="Q154" s="13">
        <f t="shared" si="18"/>
        <v>0.12166666666666665</v>
      </c>
      <c r="R154" s="13">
        <f t="shared" si="23"/>
        <v>32.78</v>
      </c>
      <c r="S154">
        <f t="shared" si="19"/>
        <v>0.14666666666666664</v>
      </c>
      <c r="T154" s="8">
        <f t="shared" si="24"/>
        <v>0.85982320197940132</v>
      </c>
      <c r="U154" s="8">
        <f t="shared" si="20"/>
        <v>1.1096309474006689E-3</v>
      </c>
      <c r="V154">
        <f t="shared" si="21"/>
        <v>1.1096309474006689E-3</v>
      </c>
      <c r="W154" s="71">
        <f t="shared" si="25"/>
        <v>2216.6666666666665</v>
      </c>
      <c r="AA154">
        <v>150</v>
      </c>
      <c r="AB154">
        <v>1.002</v>
      </c>
    </row>
    <row r="155" spans="3:28" x14ac:dyDescent="0.25">
      <c r="C155" s="75"/>
      <c r="F155" s="5"/>
      <c r="G155" s="3"/>
      <c r="H155" s="3"/>
      <c r="I155"/>
      <c r="J155"/>
      <c r="K155" s="3"/>
      <c r="M155"/>
      <c r="O155" s="3">
        <f t="shared" si="26"/>
        <v>150</v>
      </c>
      <c r="P155" s="13">
        <f t="shared" si="22"/>
        <v>1.2280000238562967</v>
      </c>
      <c r="Q155" s="13">
        <f t="shared" si="18"/>
        <v>0.125</v>
      </c>
      <c r="R155" s="13">
        <f t="shared" si="23"/>
        <v>33</v>
      </c>
      <c r="S155">
        <f t="shared" si="19"/>
        <v>0.15</v>
      </c>
      <c r="T155" s="8">
        <f t="shared" si="24"/>
        <v>0.85368083590304733</v>
      </c>
      <c r="U155" s="8">
        <f t="shared" si="20"/>
        <v>8.5908229845959715E-4</v>
      </c>
      <c r="V155">
        <f t="shared" si="21"/>
        <v>8.5908229845959715E-4</v>
      </c>
      <c r="W155" s="71">
        <f t="shared" si="25"/>
        <v>2250</v>
      </c>
      <c r="AA155">
        <v>151</v>
      </c>
      <c r="AB155">
        <v>1.002</v>
      </c>
    </row>
    <row r="156" spans="3:28" x14ac:dyDescent="0.25">
      <c r="C156" s="75"/>
      <c r="F156" s="5"/>
      <c r="G156" s="3"/>
      <c r="H156" s="3"/>
      <c r="I156"/>
      <c r="J156"/>
      <c r="K156" s="3"/>
      <c r="M156"/>
      <c r="O156" s="3">
        <f t="shared" si="26"/>
        <v>151</v>
      </c>
      <c r="P156" s="13">
        <f t="shared" si="22"/>
        <v>1.2607466911591314</v>
      </c>
      <c r="Q156" s="13">
        <f t="shared" si="18"/>
        <v>0.12833333333333335</v>
      </c>
      <c r="R156" s="13">
        <f t="shared" si="23"/>
        <v>33.22</v>
      </c>
      <c r="S156">
        <f t="shared" si="19"/>
        <v>0.15333333333333335</v>
      </c>
      <c r="T156" s="8">
        <f t="shared" si="24"/>
        <v>0.84741755833194887</v>
      </c>
      <c r="U156" s="8">
        <f t="shared" si="20"/>
        <v>6.6503224483852649E-4</v>
      </c>
      <c r="V156">
        <f t="shared" si="21"/>
        <v>6.6503224483852649E-4</v>
      </c>
      <c r="W156" s="71">
        <f t="shared" si="25"/>
        <v>2283.3333333333335</v>
      </c>
      <c r="AA156">
        <v>152</v>
      </c>
      <c r="AB156">
        <v>1.002</v>
      </c>
    </row>
    <row r="157" spans="3:28" x14ac:dyDescent="0.25">
      <c r="C157" s="75"/>
      <c r="F157" s="5"/>
      <c r="G157" s="3"/>
      <c r="H157" s="3"/>
      <c r="I157"/>
      <c r="J157"/>
      <c r="K157" s="3"/>
      <c r="M157"/>
      <c r="O157" s="3">
        <f t="shared" si="26"/>
        <v>152</v>
      </c>
      <c r="P157" s="13">
        <f t="shared" si="22"/>
        <v>1.2934933584619652</v>
      </c>
      <c r="Q157" s="13">
        <f t="shared" si="18"/>
        <v>0.1316666666666666</v>
      </c>
      <c r="R157" s="13">
        <f t="shared" si="23"/>
        <v>33.44</v>
      </c>
      <c r="S157">
        <f t="shared" si="19"/>
        <v>0.15666666666666659</v>
      </c>
      <c r="T157" s="8">
        <f t="shared" si="24"/>
        <v>0.84104153229739587</v>
      </c>
      <c r="U157" s="8">
        <f t="shared" si="20"/>
        <v>5.1477002346049766E-4</v>
      </c>
      <c r="V157">
        <f t="shared" si="21"/>
        <v>5.1477002346049766E-4</v>
      </c>
      <c r="W157" s="71">
        <f t="shared" si="25"/>
        <v>2316.6666666666661</v>
      </c>
      <c r="AA157">
        <v>153</v>
      </c>
      <c r="AB157">
        <v>1.002</v>
      </c>
    </row>
    <row r="158" spans="3:28" x14ac:dyDescent="0.25">
      <c r="C158" s="75"/>
      <c r="F158" s="5"/>
      <c r="G158" s="3"/>
      <c r="H158" s="3"/>
      <c r="I158"/>
      <c r="J158"/>
      <c r="K158" s="3"/>
      <c r="M158"/>
      <c r="O158" s="3">
        <f t="shared" si="26"/>
        <v>153</v>
      </c>
      <c r="P158" s="13">
        <f t="shared" si="22"/>
        <v>1.3262400257647999</v>
      </c>
      <c r="Q158" s="13">
        <f t="shared" si="18"/>
        <v>0.13499999999999995</v>
      </c>
      <c r="R158" s="13">
        <f t="shared" si="23"/>
        <v>33.660000000000004</v>
      </c>
      <c r="S158">
        <f t="shared" si="19"/>
        <v>0.15999999999999995</v>
      </c>
      <c r="T158" s="8">
        <f t="shared" si="24"/>
        <v>0.83456099527054906</v>
      </c>
      <c r="U158" s="8">
        <f t="shared" si="20"/>
        <v>3.9843258226931224E-4</v>
      </c>
      <c r="V158">
        <f t="shared" si="21"/>
        <v>3.9843258226931224E-4</v>
      </c>
      <c r="W158" s="71">
        <f t="shared" si="25"/>
        <v>2349.9999999999995</v>
      </c>
      <c r="AA158">
        <v>154</v>
      </c>
      <c r="AB158">
        <v>1.002</v>
      </c>
    </row>
    <row r="159" spans="3:28" x14ac:dyDescent="0.25">
      <c r="C159" s="75"/>
      <c r="F159" s="5"/>
      <c r="G159" s="3"/>
      <c r="H159" s="3"/>
      <c r="I159"/>
      <c r="J159"/>
      <c r="K159" s="3"/>
      <c r="M159"/>
      <c r="O159" s="3">
        <f t="shared" si="26"/>
        <v>154</v>
      </c>
      <c r="P159" s="13">
        <f t="shared" si="22"/>
        <v>1.3589866930676346</v>
      </c>
      <c r="Q159" s="13">
        <f t="shared" si="18"/>
        <v>0.13833333333333328</v>
      </c>
      <c r="R159" s="13">
        <f t="shared" si="23"/>
        <v>33.880000000000003</v>
      </c>
      <c r="S159">
        <f t="shared" si="19"/>
        <v>0.16333333333333327</v>
      </c>
      <c r="T159" s="8">
        <f t="shared" si="24"/>
        <v>0.82798398279307617</v>
      </c>
      <c r="U159" s="8">
        <f t="shared" si="20"/>
        <v>3.0837135718789877E-4</v>
      </c>
      <c r="V159">
        <f t="shared" si="21"/>
        <v>3.0837135718789877E-4</v>
      </c>
      <c r="W159" s="71">
        <f t="shared" si="25"/>
        <v>2383.333333333333</v>
      </c>
      <c r="AA159">
        <v>155</v>
      </c>
      <c r="AB159">
        <v>1.002</v>
      </c>
    </row>
    <row r="160" spans="3:28" x14ac:dyDescent="0.25">
      <c r="C160" s="75"/>
      <c r="F160" s="5"/>
      <c r="G160" s="3"/>
      <c r="H160" s="3"/>
      <c r="I160"/>
      <c r="J160"/>
      <c r="K160" s="3"/>
      <c r="M160"/>
      <c r="P160" s="3"/>
      <c r="Q160" s="7"/>
      <c r="R160" s="7"/>
      <c r="S160" s="7"/>
      <c r="U160" s="8"/>
      <c r="V160" s="8"/>
      <c r="AA160">
        <v>156</v>
      </c>
      <c r="AB160">
        <v>1.002</v>
      </c>
    </row>
    <row r="161" spans="3:28" x14ac:dyDescent="0.25">
      <c r="C161" s="75"/>
      <c r="F161" s="5"/>
      <c r="G161" s="3"/>
      <c r="H161" s="3"/>
      <c r="I161"/>
      <c r="J161"/>
      <c r="K161" s="3"/>
      <c r="M161"/>
      <c r="P161" s="3"/>
      <c r="Q161" s="7"/>
      <c r="R161" s="7"/>
      <c r="S161" s="7"/>
      <c r="U161" s="8"/>
      <c r="V161" s="8"/>
      <c r="AA161">
        <v>157</v>
      </c>
      <c r="AB161">
        <v>1.002</v>
      </c>
    </row>
    <row r="162" spans="3:28" x14ac:dyDescent="0.25">
      <c r="C162" s="75"/>
      <c r="F162" s="5"/>
      <c r="G162" s="3"/>
      <c r="H162" s="3"/>
      <c r="I162"/>
      <c r="J162"/>
      <c r="K162" s="3"/>
      <c r="M162"/>
      <c r="P162" s="3"/>
      <c r="Q162" s="7"/>
      <c r="R162" s="7"/>
      <c r="S162" s="7"/>
      <c r="U162" s="8"/>
      <c r="V162" s="8"/>
      <c r="AA162">
        <v>158</v>
      </c>
      <c r="AB162">
        <v>1.002</v>
      </c>
    </row>
    <row r="163" spans="3:28" x14ac:dyDescent="0.25">
      <c r="C163" s="75"/>
      <c r="F163" s="5"/>
      <c r="G163" s="3"/>
      <c r="H163" s="3"/>
      <c r="I163"/>
      <c r="J163"/>
      <c r="K163" s="3"/>
      <c r="M163"/>
      <c r="P163" s="3"/>
      <c r="Q163" s="7"/>
      <c r="R163" s="7"/>
      <c r="S163" s="7"/>
      <c r="U163" s="8"/>
      <c r="V163" s="8"/>
      <c r="AA163">
        <v>159</v>
      </c>
      <c r="AB163">
        <v>1.002</v>
      </c>
    </row>
    <row r="164" spans="3:28" x14ac:dyDescent="0.25">
      <c r="C164" s="75"/>
      <c r="F164" s="5"/>
      <c r="G164" s="3"/>
      <c r="H164" s="3"/>
      <c r="I164"/>
      <c r="J164"/>
      <c r="K164" s="3"/>
      <c r="M164"/>
      <c r="P164" s="3"/>
      <c r="Q164" s="7"/>
      <c r="R164" s="7"/>
      <c r="S164" s="7"/>
      <c r="U164" s="8"/>
      <c r="V164" s="8"/>
      <c r="AA164">
        <v>160</v>
      </c>
      <c r="AB164">
        <v>1.002</v>
      </c>
    </row>
    <row r="165" spans="3:28" x14ac:dyDescent="0.25">
      <c r="C165" s="75"/>
      <c r="F165" s="5"/>
      <c r="G165" s="3"/>
      <c r="H165" s="3"/>
      <c r="I165"/>
      <c r="J165"/>
      <c r="K165" s="3"/>
      <c r="M165"/>
      <c r="P165" s="3"/>
      <c r="Q165" s="7"/>
      <c r="R165" s="7"/>
      <c r="S165" s="7"/>
      <c r="U165" s="8"/>
      <c r="V165" s="8"/>
      <c r="AA165">
        <v>161</v>
      </c>
      <c r="AB165">
        <v>1.002</v>
      </c>
    </row>
    <row r="166" spans="3:28" x14ac:dyDescent="0.25">
      <c r="C166" s="75"/>
      <c r="F166" s="5"/>
      <c r="G166" s="3"/>
      <c r="H166" s="3"/>
      <c r="I166"/>
      <c r="J166"/>
      <c r="K166" s="3"/>
      <c r="M166"/>
      <c r="P166" s="3"/>
      <c r="Q166" s="7"/>
      <c r="R166" s="7"/>
      <c r="S166" s="7"/>
      <c r="U166" s="8"/>
      <c r="V166" s="8"/>
      <c r="AA166">
        <v>162</v>
      </c>
      <c r="AB166">
        <v>1.002</v>
      </c>
    </row>
    <row r="167" spans="3:28" x14ac:dyDescent="0.25">
      <c r="C167" s="75"/>
      <c r="F167" s="5"/>
      <c r="G167" s="3"/>
      <c r="H167" s="3"/>
      <c r="I167"/>
      <c r="J167"/>
      <c r="K167" s="3"/>
      <c r="M167"/>
      <c r="P167" s="3"/>
      <c r="Q167" s="7"/>
      <c r="R167" s="7"/>
      <c r="S167" s="7"/>
      <c r="U167" s="8"/>
      <c r="V167" s="8"/>
      <c r="AA167">
        <v>163</v>
      </c>
      <c r="AB167">
        <v>1.002</v>
      </c>
    </row>
    <row r="168" spans="3:28" x14ac:dyDescent="0.25">
      <c r="C168" s="75"/>
      <c r="F168" s="5"/>
      <c r="G168" s="3"/>
      <c r="H168" s="3"/>
      <c r="I168"/>
      <c r="J168"/>
      <c r="K168" s="3"/>
      <c r="M168"/>
      <c r="P168" s="3"/>
      <c r="Q168" s="7"/>
      <c r="R168" s="7"/>
      <c r="S168" s="7"/>
      <c r="U168" s="8"/>
      <c r="V168" s="8"/>
      <c r="AA168">
        <v>164</v>
      </c>
      <c r="AB168">
        <v>1.002</v>
      </c>
    </row>
    <row r="169" spans="3:28" x14ac:dyDescent="0.25">
      <c r="C169" s="75"/>
      <c r="F169" s="5"/>
      <c r="G169" s="3"/>
      <c r="H169" s="3"/>
      <c r="I169"/>
      <c r="J169"/>
      <c r="K169" s="3"/>
      <c r="M169"/>
      <c r="P169" s="3"/>
      <c r="Q169" s="7"/>
      <c r="R169" s="7"/>
      <c r="S169" s="7"/>
      <c r="U169" s="8"/>
      <c r="V169" s="8"/>
      <c r="AA169">
        <v>165</v>
      </c>
      <c r="AB169">
        <v>1.002</v>
      </c>
    </row>
    <row r="170" spans="3:28" x14ac:dyDescent="0.25">
      <c r="C170" s="75"/>
      <c r="F170" s="5"/>
      <c r="G170" s="3"/>
      <c r="H170" s="3"/>
      <c r="I170"/>
      <c r="J170"/>
      <c r="K170" s="3"/>
      <c r="M170"/>
      <c r="P170" s="3"/>
      <c r="Q170" s="7"/>
      <c r="R170" s="7"/>
      <c r="S170" s="7"/>
      <c r="U170" s="8"/>
      <c r="V170" s="8"/>
      <c r="AA170">
        <v>166</v>
      </c>
      <c r="AB170">
        <v>1.002</v>
      </c>
    </row>
    <row r="171" spans="3:28" x14ac:dyDescent="0.25">
      <c r="C171" s="75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  <c r="R171" s="7"/>
      <c r="S171" s="7"/>
      <c r="U171" s="8"/>
      <c r="V171" s="8"/>
      <c r="AA171">
        <v>167</v>
      </c>
      <c r="AB171">
        <v>1.002</v>
      </c>
    </row>
    <row r="172" spans="3:28" x14ac:dyDescent="0.25">
      <c r="C172" s="75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  <c r="R172" s="7"/>
      <c r="S172" s="7"/>
      <c r="U172" s="8"/>
      <c r="V172" s="8"/>
      <c r="AA172">
        <v>168</v>
      </c>
      <c r="AB172">
        <v>1.002</v>
      </c>
    </row>
    <row r="173" spans="3:28" x14ac:dyDescent="0.25">
      <c r="C173" s="75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  <c r="R173" s="7"/>
      <c r="S173" s="7"/>
      <c r="U173" s="8"/>
      <c r="V173" s="8"/>
      <c r="AA173">
        <v>169</v>
      </c>
      <c r="AB173">
        <v>1.002</v>
      </c>
    </row>
    <row r="174" spans="3:28" x14ac:dyDescent="0.25">
      <c r="C174" s="75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  <c r="R174" s="7"/>
      <c r="S174" s="7"/>
      <c r="U174" s="8"/>
      <c r="V174" s="8"/>
      <c r="AA174">
        <v>170</v>
      </c>
      <c r="AB174">
        <v>1.002</v>
      </c>
    </row>
    <row r="175" spans="3:28" x14ac:dyDescent="0.25">
      <c r="C175" s="75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  <c r="R175" s="7"/>
      <c r="S175" s="7"/>
      <c r="U175" s="8"/>
      <c r="V175" s="8"/>
      <c r="AA175">
        <v>171</v>
      </c>
      <c r="AB175">
        <v>1.002</v>
      </c>
    </row>
    <row r="176" spans="3:28" x14ac:dyDescent="0.25">
      <c r="C176" s="75"/>
      <c r="F176" s="5"/>
      <c r="G176" s="3"/>
      <c r="H176" s="3">
        <v>-3.6042509756097498</v>
      </c>
      <c r="I176"/>
      <c r="J176"/>
      <c r="K176" s="3"/>
      <c r="M176"/>
      <c r="P176" s="3"/>
      <c r="Q176" s="7"/>
      <c r="R176" s="7"/>
      <c r="S176" s="7"/>
      <c r="U176" s="8"/>
      <c r="V176" s="8"/>
      <c r="AA176">
        <v>172</v>
      </c>
      <c r="AB176">
        <v>1.002</v>
      </c>
    </row>
    <row r="177" spans="3:28" x14ac:dyDescent="0.25">
      <c r="C177" s="75"/>
      <c r="F177" s="5"/>
      <c r="G177" s="3"/>
      <c r="H177" s="3">
        <v>-3.59206775133848</v>
      </c>
      <c r="I177"/>
      <c r="J177"/>
      <c r="K177" s="3"/>
      <c r="M177"/>
      <c r="AA177">
        <v>173</v>
      </c>
      <c r="AB177">
        <v>1.002</v>
      </c>
    </row>
    <row r="178" spans="3:28" x14ac:dyDescent="0.25">
      <c r="C178" s="75"/>
      <c r="F178" s="5"/>
      <c r="G178" s="3"/>
      <c r="H178" s="3">
        <v>-3.5798845270672102</v>
      </c>
      <c r="I178"/>
      <c r="J178"/>
      <c r="K178" s="3"/>
      <c r="M178"/>
      <c r="AA178">
        <v>174</v>
      </c>
      <c r="AB178">
        <v>1.002</v>
      </c>
    </row>
    <row r="179" spans="3:28" x14ac:dyDescent="0.25">
      <c r="C179" s="75"/>
      <c r="F179" s="5"/>
      <c r="G179" s="3"/>
      <c r="H179" s="3"/>
      <c r="I179"/>
      <c r="J179"/>
      <c r="K179" s="3"/>
      <c r="M179"/>
      <c r="AA179">
        <v>175</v>
      </c>
      <c r="AB179">
        <v>1.002</v>
      </c>
    </row>
    <row r="180" spans="3:28" x14ac:dyDescent="0.25">
      <c r="C180" s="75"/>
      <c r="F180" s="5"/>
      <c r="G180" s="3"/>
      <c r="H180" s="3"/>
      <c r="I180"/>
      <c r="J180"/>
      <c r="K180" s="3"/>
      <c r="M180"/>
      <c r="AA180">
        <v>176</v>
      </c>
      <c r="AB180">
        <v>1.002</v>
      </c>
    </row>
    <row r="181" spans="3:28" x14ac:dyDescent="0.25">
      <c r="C181" s="75"/>
      <c r="F181" s="5"/>
      <c r="G181" s="3"/>
      <c r="H181" s="3"/>
      <c r="I181"/>
      <c r="J181"/>
      <c r="K181" s="3"/>
      <c r="M181"/>
      <c r="AA181">
        <v>177</v>
      </c>
      <c r="AB181">
        <v>1.002</v>
      </c>
    </row>
    <row r="182" spans="3:28" x14ac:dyDescent="0.25">
      <c r="C182" s="75"/>
      <c r="F182" s="5"/>
      <c r="G182" s="3"/>
      <c r="H182" s="3"/>
      <c r="I182"/>
      <c r="J182"/>
      <c r="K182" s="3"/>
      <c r="M182"/>
      <c r="AA182">
        <v>178</v>
      </c>
      <c r="AB182">
        <v>1.002</v>
      </c>
    </row>
    <row r="183" spans="3:28" x14ac:dyDescent="0.25">
      <c r="C183" s="75"/>
      <c r="F183" s="5"/>
      <c r="G183" s="3"/>
      <c r="H183" s="3"/>
      <c r="I183"/>
      <c r="J183"/>
      <c r="K183" s="3"/>
      <c r="M183"/>
      <c r="AA183">
        <v>179</v>
      </c>
      <c r="AB183">
        <v>1.002</v>
      </c>
    </row>
    <row r="184" spans="3:28" x14ac:dyDescent="0.25">
      <c r="C184" s="75"/>
      <c r="F184" s="5"/>
      <c r="G184" s="3"/>
      <c r="H184" s="3"/>
      <c r="I184"/>
      <c r="J184"/>
      <c r="K184" s="3"/>
      <c r="M184"/>
      <c r="AA184">
        <v>180</v>
      </c>
      <c r="AB184">
        <v>1.002</v>
      </c>
    </row>
    <row r="185" spans="3:28" x14ac:dyDescent="0.25">
      <c r="C185" s="75"/>
      <c r="F185" s="5"/>
      <c r="G185" s="3"/>
      <c r="H185" s="3"/>
      <c r="I185"/>
      <c r="J185"/>
      <c r="K185" s="3"/>
      <c r="M185"/>
      <c r="AA185">
        <v>181</v>
      </c>
      <c r="AB185">
        <v>1.002</v>
      </c>
    </row>
    <row r="186" spans="3:28" x14ac:dyDescent="0.25">
      <c r="C186" s="75"/>
      <c r="F186" s="5"/>
      <c r="G186" s="3"/>
      <c r="H186" s="3"/>
      <c r="I186"/>
      <c r="J186"/>
      <c r="K186" s="3"/>
      <c r="M186"/>
      <c r="AA186">
        <v>182</v>
      </c>
      <c r="AB186">
        <v>1.002</v>
      </c>
    </row>
    <row r="187" spans="3:28" x14ac:dyDescent="0.25">
      <c r="C187" s="75"/>
      <c r="F187" s="5"/>
      <c r="G187" s="3"/>
      <c r="H187" s="3"/>
      <c r="I187"/>
      <c r="J187"/>
      <c r="K187" s="3"/>
      <c r="M187"/>
      <c r="AA187">
        <v>183</v>
      </c>
      <c r="AB187">
        <v>1.002</v>
      </c>
    </row>
    <row r="188" spans="3:28" x14ac:dyDescent="0.25">
      <c r="C188" s="75"/>
      <c r="F188" s="5"/>
      <c r="G188" s="3"/>
      <c r="H188" s="3"/>
      <c r="I188"/>
      <c r="J188"/>
      <c r="K188" s="3"/>
      <c r="M188"/>
      <c r="AA188">
        <v>184</v>
      </c>
      <c r="AB188">
        <v>1.002</v>
      </c>
    </row>
    <row r="189" spans="3:28" x14ac:dyDescent="0.25">
      <c r="C189" s="75"/>
      <c r="F189" s="5"/>
      <c r="G189" s="3"/>
      <c r="H189" s="3"/>
      <c r="I189"/>
      <c r="J189"/>
      <c r="K189" s="3"/>
      <c r="M189"/>
      <c r="AA189">
        <v>185</v>
      </c>
      <c r="AB189">
        <v>1.002</v>
      </c>
    </row>
    <row r="190" spans="3:28" x14ac:dyDescent="0.25">
      <c r="C190" s="75"/>
      <c r="F190" s="5"/>
      <c r="G190" s="3"/>
      <c r="H190" s="3"/>
      <c r="I190"/>
      <c r="J190"/>
      <c r="K190" s="3"/>
      <c r="M190"/>
      <c r="AA190">
        <v>186</v>
      </c>
      <c r="AB190">
        <v>1.002</v>
      </c>
    </row>
    <row r="191" spans="3:28" x14ac:dyDescent="0.25">
      <c r="C191" s="75"/>
      <c r="F191" s="5"/>
      <c r="G191" s="3"/>
      <c r="H191" s="3"/>
      <c r="I191"/>
      <c r="J191"/>
      <c r="K191" s="3"/>
      <c r="M191"/>
      <c r="AA191">
        <v>187</v>
      </c>
      <c r="AB191">
        <v>1.002</v>
      </c>
    </row>
    <row r="192" spans="3:28" x14ac:dyDescent="0.25">
      <c r="C192" s="75"/>
      <c r="F192" s="5"/>
      <c r="G192" s="3"/>
      <c r="H192" s="3"/>
      <c r="I192"/>
      <c r="J192"/>
      <c r="K192" s="3"/>
      <c r="M192"/>
      <c r="AA192">
        <v>188</v>
      </c>
      <c r="AB192">
        <v>1.0029999999999999</v>
      </c>
    </row>
    <row r="193" spans="3:28" x14ac:dyDescent="0.25">
      <c r="C193" s="75"/>
      <c r="F193" s="5"/>
      <c r="G193" s="3"/>
      <c r="H193" s="3"/>
      <c r="I193"/>
      <c r="J193"/>
      <c r="K193" s="3"/>
      <c r="M193"/>
      <c r="AA193">
        <v>189</v>
      </c>
      <c r="AB193">
        <v>1.0029999999999999</v>
      </c>
    </row>
    <row r="194" spans="3:28" x14ac:dyDescent="0.25">
      <c r="C194" s="75"/>
      <c r="F194" s="5"/>
      <c r="G194" s="3"/>
      <c r="H194" s="3"/>
      <c r="I194"/>
      <c r="J194"/>
      <c r="K194" s="3"/>
      <c r="M194"/>
      <c r="AA194">
        <v>190</v>
      </c>
      <c r="AB194">
        <v>1.0029999999999999</v>
      </c>
    </row>
    <row r="195" spans="3:28" x14ac:dyDescent="0.25">
      <c r="C195" s="75"/>
      <c r="F195" s="5"/>
      <c r="G195" s="3"/>
      <c r="H195" s="3"/>
      <c r="I195"/>
      <c r="J195"/>
      <c r="K195" s="3"/>
      <c r="M195"/>
      <c r="AA195">
        <v>191</v>
      </c>
      <c r="AB195">
        <v>1.0029999999999999</v>
      </c>
    </row>
    <row r="196" spans="3:28" x14ac:dyDescent="0.25">
      <c r="C196" s="75"/>
      <c r="F196" s="5"/>
      <c r="G196" s="3"/>
      <c r="H196" s="3"/>
      <c r="I196"/>
      <c r="J196"/>
      <c r="K196" s="3"/>
      <c r="M196"/>
      <c r="AA196">
        <v>192</v>
      </c>
      <c r="AB196">
        <v>1.0029999999999999</v>
      </c>
    </row>
    <row r="197" spans="3:28" x14ac:dyDescent="0.25">
      <c r="C197" s="75"/>
      <c r="F197" s="5"/>
      <c r="G197" s="3"/>
      <c r="H197" s="3"/>
      <c r="I197"/>
      <c r="J197"/>
      <c r="K197" s="3"/>
      <c r="M197"/>
      <c r="AA197">
        <v>193</v>
      </c>
      <c r="AB197">
        <v>1.0029999999999999</v>
      </c>
    </row>
    <row r="198" spans="3:28" x14ac:dyDescent="0.25">
      <c r="C198" s="75"/>
      <c r="F198" s="5"/>
      <c r="G198" s="3"/>
      <c r="H198" s="3"/>
      <c r="I198"/>
      <c r="J198"/>
      <c r="K198" s="3"/>
      <c r="M198"/>
      <c r="AA198">
        <v>194</v>
      </c>
      <c r="AB198">
        <v>1.0029999999999999</v>
      </c>
    </row>
    <row r="199" spans="3:28" x14ac:dyDescent="0.25">
      <c r="C199" s="75"/>
      <c r="F199" s="5"/>
      <c r="G199" s="3"/>
      <c r="H199" s="3"/>
      <c r="I199"/>
      <c r="J199"/>
      <c r="K199" s="3"/>
      <c r="M199"/>
      <c r="AA199">
        <v>195</v>
      </c>
      <c r="AB199">
        <v>1.004</v>
      </c>
    </row>
    <row r="200" spans="3:28" x14ac:dyDescent="0.25">
      <c r="C200" s="75"/>
      <c r="F200" s="5"/>
      <c r="G200" s="3"/>
      <c r="H200" s="3"/>
      <c r="I200"/>
      <c r="J200"/>
      <c r="K200" s="3"/>
      <c r="M200"/>
      <c r="AA200">
        <v>196</v>
      </c>
      <c r="AB200">
        <v>1.004</v>
      </c>
    </row>
    <row r="201" spans="3:28" x14ac:dyDescent="0.25">
      <c r="C201" s="75"/>
      <c r="F201" s="5"/>
      <c r="G201" s="3"/>
      <c r="H201" s="3"/>
      <c r="I201"/>
      <c r="J201"/>
      <c r="K201" s="3"/>
      <c r="M201"/>
      <c r="AA201">
        <v>197</v>
      </c>
      <c r="AB201">
        <v>1.004</v>
      </c>
    </row>
    <row r="202" spans="3:28" x14ac:dyDescent="0.25">
      <c r="C202" s="75"/>
      <c r="F202" s="5"/>
      <c r="G202" s="3"/>
      <c r="H202" s="3"/>
      <c r="I202"/>
      <c r="J202"/>
      <c r="K202" s="3"/>
      <c r="M202"/>
      <c r="AA202">
        <v>198</v>
      </c>
      <c r="AB202">
        <v>1.0049999999999999</v>
      </c>
    </row>
    <row r="203" spans="3:28" x14ac:dyDescent="0.25">
      <c r="C203" s="75"/>
      <c r="F203" s="5"/>
      <c r="G203" s="3"/>
      <c r="H203" s="3"/>
      <c r="I203"/>
      <c r="J203"/>
      <c r="K203" s="3"/>
      <c r="M203"/>
      <c r="AA203">
        <v>199</v>
      </c>
      <c r="AB203">
        <v>1.0049999999999999</v>
      </c>
    </row>
    <row r="204" spans="3:28" x14ac:dyDescent="0.25">
      <c r="C204" s="75"/>
      <c r="F204" s="5"/>
      <c r="G204" s="3"/>
      <c r="H204" s="3"/>
      <c r="I204"/>
      <c r="J204"/>
      <c r="K204" s="3"/>
      <c r="M204"/>
      <c r="AA204">
        <v>200</v>
      </c>
      <c r="AB204">
        <v>1.006</v>
      </c>
    </row>
    <row r="205" spans="3:28" x14ac:dyDescent="0.25">
      <c r="C205" s="75"/>
      <c r="F205" s="5"/>
      <c r="G205" s="3"/>
      <c r="H205" s="3"/>
      <c r="I205"/>
      <c r="J205"/>
      <c r="K205" s="3"/>
      <c r="M205"/>
      <c r="AA205">
        <v>201</v>
      </c>
      <c r="AB205">
        <v>1.0069999999999999</v>
      </c>
    </row>
    <row r="206" spans="3:28" x14ac:dyDescent="0.25">
      <c r="C206" s="75"/>
      <c r="F206" s="5"/>
      <c r="G206" s="3"/>
      <c r="H206" s="3"/>
      <c r="I206"/>
      <c r="J206"/>
      <c r="K206" s="3"/>
      <c r="M206"/>
      <c r="AA206">
        <v>202</v>
      </c>
      <c r="AB206">
        <v>1.008</v>
      </c>
    </row>
    <row r="207" spans="3:28" x14ac:dyDescent="0.25">
      <c r="C207" s="75"/>
      <c r="F207" s="5"/>
      <c r="G207" s="3"/>
      <c r="H207" s="3"/>
      <c r="I207"/>
      <c r="J207"/>
      <c r="K207" s="3"/>
      <c r="M207"/>
      <c r="AA207">
        <v>203</v>
      </c>
      <c r="AB207">
        <v>1.0089999999999999</v>
      </c>
    </row>
    <row r="208" spans="3:28" x14ac:dyDescent="0.25">
      <c r="C208" s="75"/>
      <c r="F208" s="5"/>
      <c r="G208" s="3"/>
      <c r="H208" s="3"/>
      <c r="I208"/>
      <c r="J208"/>
      <c r="K208" s="3"/>
      <c r="M208"/>
      <c r="AA208">
        <v>204</v>
      </c>
      <c r="AB208">
        <v>1.0109999999999999</v>
      </c>
    </row>
    <row r="209" spans="3:28" x14ac:dyDescent="0.25">
      <c r="C209" s="75"/>
      <c r="F209" s="5"/>
      <c r="G209" s="3"/>
      <c r="H209" s="3"/>
      <c r="I209"/>
      <c r="J209"/>
      <c r="K209" s="3"/>
      <c r="M209"/>
      <c r="AA209">
        <v>205</v>
      </c>
      <c r="AB209">
        <v>1.012</v>
      </c>
    </row>
    <row r="210" spans="3:28" x14ac:dyDescent="0.25">
      <c r="C210" s="75"/>
      <c r="F210" s="5"/>
      <c r="G210" s="3"/>
      <c r="H210" s="3"/>
      <c r="I210"/>
      <c r="J210"/>
      <c r="K210" s="3"/>
      <c r="M210"/>
      <c r="AA210">
        <v>206</v>
      </c>
      <c r="AB210">
        <v>1.014</v>
      </c>
    </row>
    <row r="211" spans="3:28" x14ac:dyDescent="0.25">
      <c r="C211" s="75"/>
      <c r="F211" s="5"/>
      <c r="G211" s="3"/>
      <c r="H211" s="3"/>
      <c r="I211"/>
      <c r="J211"/>
      <c r="K211" s="3"/>
      <c r="M211"/>
      <c r="AA211">
        <v>207</v>
      </c>
      <c r="AB211">
        <v>1.016</v>
      </c>
    </row>
    <row r="212" spans="3:28" x14ac:dyDescent="0.25">
      <c r="C212" s="75"/>
      <c r="F212" s="5"/>
      <c r="G212" s="3"/>
      <c r="H212" s="3"/>
      <c r="I212"/>
      <c r="J212"/>
      <c r="K212" s="3"/>
      <c r="M212"/>
      <c r="AA212">
        <v>208</v>
      </c>
      <c r="AB212">
        <v>1.0189999999999999</v>
      </c>
    </row>
    <row r="213" spans="3:28" x14ac:dyDescent="0.25">
      <c r="F213" s="5"/>
      <c r="G213" s="3"/>
      <c r="H213" s="3"/>
      <c r="I213"/>
      <c r="J213"/>
      <c r="K213" s="3"/>
      <c r="M213"/>
      <c r="AA213">
        <v>209</v>
      </c>
      <c r="AB213">
        <v>1.022</v>
      </c>
    </row>
    <row r="214" spans="3:28" x14ac:dyDescent="0.25">
      <c r="F214" s="5"/>
      <c r="G214" s="3"/>
      <c r="H214" s="3"/>
      <c r="I214"/>
      <c r="J214"/>
      <c r="K214" s="3"/>
      <c r="M214"/>
      <c r="AA214">
        <v>210</v>
      </c>
      <c r="AB214">
        <v>1.0249999999999999</v>
      </c>
    </row>
    <row r="215" spans="3:28" x14ac:dyDescent="0.25">
      <c r="F215" s="5"/>
      <c r="G215" s="3"/>
      <c r="H215" s="3"/>
      <c r="I215"/>
      <c r="J215"/>
      <c r="K215" s="3"/>
      <c r="M215"/>
      <c r="AA215">
        <v>211</v>
      </c>
      <c r="AB215">
        <v>1.0289999999999999</v>
      </c>
    </row>
    <row r="216" spans="3:28" x14ac:dyDescent="0.25">
      <c r="F216" s="5"/>
      <c r="G216" s="3"/>
      <c r="H216" s="3"/>
      <c r="I216"/>
      <c r="J216"/>
      <c r="K216" s="3"/>
      <c r="M216"/>
      <c r="AA216">
        <v>212</v>
      </c>
      <c r="AB216">
        <v>1.0329999999999999</v>
      </c>
    </row>
    <row r="217" spans="3:28" x14ac:dyDescent="0.25">
      <c r="F217" s="5"/>
      <c r="G217" s="3"/>
      <c r="H217" s="3"/>
      <c r="I217"/>
      <c r="J217"/>
      <c r="K217" s="3"/>
      <c r="M217"/>
      <c r="AA217">
        <v>213</v>
      </c>
      <c r="AB217">
        <v>1.038</v>
      </c>
    </row>
    <row r="218" spans="3:28" x14ac:dyDescent="0.25">
      <c r="G218" s="5"/>
      <c r="H218" s="3"/>
      <c r="J218"/>
      <c r="L218" s="3"/>
      <c r="M218"/>
      <c r="AA218">
        <v>214</v>
      </c>
      <c r="AB218">
        <v>1.0429999999999999</v>
      </c>
    </row>
    <row r="219" spans="3:28" x14ac:dyDescent="0.25">
      <c r="G219" s="5"/>
      <c r="H219" s="3"/>
      <c r="J219"/>
      <c r="L219" s="3"/>
      <c r="M219"/>
      <c r="AA219">
        <v>215</v>
      </c>
      <c r="AB219">
        <v>1.0489999999999999</v>
      </c>
    </row>
    <row r="220" spans="3:28" x14ac:dyDescent="0.25">
      <c r="G220" s="5"/>
      <c r="H220" s="3"/>
      <c r="J220"/>
      <c r="L220" s="3"/>
      <c r="M220"/>
      <c r="AA220">
        <v>216</v>
      </c>
      <c r="AB220">
        <v>1.056</v>
      </c>
    </row>
    <row r="221" spans="3:28" x14ac:dyDescent="0.25">
      <c r="G221" s="5"/>
      <c r="H221" s="3"/>
      <c r="J221"/>
      <c r="L221" s="3"/>
      <c r="M221"/>
      <c r="AA221">
        <v>217</v>
      </c>
      <c r="AB221">
        <v>1.0629999999999999</v>
      </c>
    </row>
    <row r="222" spans="3:28" x14ac:dyDescent="0.25">
      <c r="G222" s="5"/>
      <c r="H222" s="3"/>
      <c r="J222"/>
      <c r="L222" s="3"/>
      <c r="M222"/>
      <c r="AA222">
        <v>218</v>
      </c>
      <c r="AB222">
        <v>1.0720000000000001</v>
      </c>
    </row>
    <row r="223" spans="3:28" x14ac:dyDescent="0.25">
      <c r="G223" s="5"/>
      <c r="H223" s="3"/>
      <c r="J223"/>
      <c r="L223" s="3"/>
      <c r="M223"/>
      <c r="AA223">
        <v>219</v>
      </c>
      <c r="AB223">
        <v>1.081</v>
      </c>
    </row>
    <row r="224" spans="3:28" x14ac:dyDescent="0.25">
      <c r="G224" s="5"/>
      <c r="H224" s="3"/>
      <c r="J224"/>
      <c r="L224" s="3"/>
      <c r="M224"/>
      <c r="AA224">
        <v>220</v>
      </c>
      <c r="AB224">
        <v>1.091</v>
      </c>
    </row>
    <row r="225" spans="7:28" x14ac:dyDescent="0.25">
      <c r="G225" s="5"/>
      <c r="H225" s="3"/>
      <c r="J225"/>
      <c r="L225" s="3"/>
      <c r="M225"/>
      <c r="AA225">
        <v>221</v>
      </c>
      <c r="AB225">
        <v>1.101</v>
      </c>
    </row>
    <row r="226" spans="7:28" x14ac:dyDescent="0.25">
      <c r="G226" s="5"/>
      <c r="H226" s="3"/>
      <c r="J226"/>
      <c r="L226" s="3"/>
      <c r="M226"/>
      <c r="AA226">
        <v>222</v>
      </c>
      <c r="AB226">
        <v>1.113</v>
      </c>
    </row>
    <row r="227" spans="7:28" x14ac:dyDescent="0.25">
      <c r="G227" s="5"/>
      <c r="H227" s="3"/>
      <c r="J227"/>
      <c r="L227" s="3"/>
      <c r="M227"/>
      <c r="AA227">
        <v>223</v>
      </c>
      <c r="AB227">
        <v>1.1259999999999999</v>
      </c>
    </row>
    <row r="228" spans="7:28" x14ac:dyDescent="0.25">
      <c r="G228" s="5"/>
      <c r="H228" s="3"/>
      <c r="J228"/>
      <c r="L228" s="3"/>
      <c r="M228"/>
      <c r="AA228">
        <v>224</v>
      </c>
      <c r="AB228">
        <v>1.139</v>
      </c>
    </row>
    <row r="229" spans="7:28" x14ac:dyDescent="0.25">
      <c r="G229" s="5"/>
      <c r="H229" s="3"/>
      <c r="J229"/>
      <c r="L229" s="3"/>
      <c r="M229"/>
      <c r="AA229">
        <v>225</v>
      </c>
      <c r="AB229">
        <v>1.1539999999999999</v>
      </c>
    </row>
    <row r="230" spans="7:28" x14ac:dyDescent="0.25">
      <c r="G230" s="5"/>
      <c r="H230" s="3"/>
      <c r="J230"/>
      <c r="L230" s="3"/>
      <c r="M230"/>
      <c r="AA230">
        <v>226</v>
      </c>
      <c r="AB230">
        <v>1.169</v>
      </c>
    </row>
    <row r="231" spans="7:28" x14ac:dyDescent="0.25">
      <c r="G231" s="5"/>
      <c r="H231" s="3"/>
      <c r="J231"/>
      <c r="L231" s="3"/>
      <c r="M231"/>
      <c r="AA231">
        <v>227</v>
      </c>
      <c r="AB231">
        <v>1.1850000000000001</v>
      </c>
    </row>
    <row r="232" spans="7:28" x14ac:dyDescent="0.25">
      <c r="G232" s="5"/>
      <c r="H232" s="3"/>
      <c r="J232"/>
      <c r="L232" s="3"/>
      <c r="M232"/>
      <c r="AA232">
        <v>228</v>
      </c>
      <c r="AB232">
        <v>1.202</v>
      </c>
    </row>
    <row r="233" spans="7:28" x14ac:dyDescent="0.25">
      <c r="G233" s="5"/>
      <c r="H233" s="3"/>
      <c r="J233"/>
      <c r="L233" s="3"/>
      <c r="M233"/>
      <c r="AA233">
        <v>229</v>
      </c>
      <c r="AB233">
        <v>1.22</v>
      </c>
    </row>
    <row r="234" spans="7:28" x14ac:dyDescent="0.25">
      <c r="G234" s="5"/>
      <c r="H234" s="3"/>
      <c r="J234"/>
      <c r="L234" s="3"/>
      <c r="M234"/>
      <c r="AA234">
        <v>230</v>
      </c>
      <c r="AB234">
        <v>1.238</v>
      </c>
    </row>
    <row r="235" spans="7:28" x14ac:dyDescent="0.25">
      <c r="G235" s="5"/>
      <c r="H235" s="3"/>
      <c r="J235"/>
      <c r="L235" s="3"/>
      <c r="M235"/>
      <c r="AA235">
        <v>231</v>
      </c>
      <c r="AB235">
        <v>1.2569999999999999</v>
      </c>
    </row>
    <row r="236" spans="7:28" x14ac:dyDescent="0.25">
      <c r="G236" s="5"/>
      <c r="H236" s="3"/>
      <c r="J236"/>
      <c r="L236" s="3"/>
      <c r="M236"/>
      <c r="AA236">
        <v>232</v>
      </c>
      <c r="AB236">
        <v>1.2749999999999999</v>
      </c>
    </row>
    <row r="237" spans="7:28" x14ac:dyDescent="0.25">
      <c r="G237" s="5"/>
      <c r="H237" s="3"/>
      <c r="J237"/>
      <c r="L237" s="3"/>
      <c r="M237"/>
      <c r="AA237">
        <v>233</v>
      </c>
      <c r="AB237">
        <v>1.2929999999999999</v>
      </c>
    </row>
    <row r="238" spans="7:28" x14ac:dyDescent="0.25">
      <c r="G238" s="5"/>
      <c r="H238" s="3"/>
      <c r="J238"/>
      <c r="L238" s="3"/>
      <c r="M238"/>
      <c r="AA238">
        <v>234</v>
      </c>
      <c r="AB238">
        <v>1.3089999999999999</v>
      </c>
    </row>
    <row r="239" spans="7:28" x14ac:dyDescent="0.25">
      <c r="G239" s="5"/>
      <c r="H239" s="3"/>
      <c r="J239"/>
      <c r="L239" s="3"/>
      <c r="M239"/>
      <c r="AA239">
        <v>235</v>
      </c>
      <c r="AB239">
        <v>1.325</v>
      </c>
    </row>
    <row r="240" spans="7:28" x14ac:dyDescent="0.25">
      <c r="G240" s="5"/>
      <c r="H240" s="3"/>
      <c r="J240"/>
      <c r="L240" s="3"/>
      <c r="M240"/>
      <c r="AA240">
        <v>236</v>
      </c>
      <c r="AB240">
        <v>1.34</v>
      </c>
    </row>
    <row r="241" spans="7:28" x14ac:dyDescent="0.25">
      <c r="G241" s="5"/>
      <c r="H241" s="3"/>
      <c r="J241"/>
      <c r="L241" s="3"/>
      <c r="M241"/>
      <c r="AA241">
        <v>237</v>
      </c>
      <c r="AB241">
        <v>1.3540000000000001</v>
      </c>
    </row>
    <row r="242" spans="7:28" x14ac:dyDescent="0.25">
      <c r="G242" s="5"/>
      <c r="H242" s="3"/>
      <c r="J242"/>
      <c r="L242" s="3"/>
      <c r="M242"/>
      <c r="AA242">
        <v>238</v>
      </c>
      <c r="AB242">
        <v>1.3640000000000001</v>
      </c>
    </row>
    <row r="243" spans="7:28" x14ac:dyDescent="0.25">
      <c r="G243" s="5"/>
      <c r="H243" s="3"/>
      <c r="J243"/>
      <c r="L243" s="3"/>
      <c r="M243"/>
      <c r="AA243">
        <v>239</v>
      </c>
      <c r="AB243">
        <v>1.371</v>
      </c>
    </row>
    <row r="244" spans="7:28" x14ac:dyDescent="0.25">
      <c r="G244" s="5"/>
      <c r="H244" s="3"/>
      <c r="J244"/>
      <c r="L244" s="3"/>
      <c r="M244"/>
      <c r="AA244">
        <v>240</v>
      </c>
      <c r="AB244">
        <v>1.373</v>
      </c>
    </row>
    <row r="245" spans="7:28" x14ac:dyDescent="0.25">
      <c r="G245" s="5"/>
      <c r="H245" s="3"/>
      <c r="J245"/>
      <c r="L245" s="3"/>
      <c r="M245"/>
      <c r="AA245">
        <v>241</v>
      </c>
      <c r="AB245">
        <v>1.3680000000000001</v>
      </c>
    </row>
    <row r="246" spans="7:28" x14ac:dyDescent="0.25">
      <c r="G246" s="5"/>
      <c r="H246" s="3"/>
      <c r="J246"/>
      <c r="L246" s="3"/>
      <c r="M246"/>
      <c r="AA246">
        <v>242</v>
      </c>
      <c r="AB246">
        <v>1.3560000000000001</v>
      </c>
    </row>
    <row r="247" spans="7:28" x14ac:dyDescent="0.25">
      <c r="G247" s="5"/>
      <c r="H247" s="3"/>
      <c r="J247"/>
      <c r="L247" s="3"/>
      <c r="M247"/>
      <c r="AA247">
        <v>243</v>
      </c>
      <c r="AB247">
        <v>1.3380000000000001</v>
      </c>
    </row>
    <row r="248" spans="7:28" x14ac:dyDescent="0.25">
      <c r="G248" s="5"/>
      <c r="H248" s="3"/>
      <c r="J248"/>
      <c r="L248" s="3"/>
      <c r="M248"/>
      <c r="AA248">
        <v>244</v>
      </c>
      <c r="AB248">
        <v>1.3149999999999999</v>
      </c>
    </row>
    <row r="249" spans="7:28" x14ac:dyDescent="0.25">
      <c r="G249" s="5"/>
      <c r="H249" s="3"/>
      <c r="J249"/>
      <c r="L249" s="3"/>
      <c r="M249"/>
      <c r="AA249">
        <v>245</v>
      </c>
      <c r="AB249">
        <v>1.29</v>
      </c>
    </row>
    <row r="250" spans="7:28" x14ac:dyDescent="0.25">
      <c r="G250" s="5"/>
      <c r="H250" s="3"/>
      <c r="J250"/>
      <c r="L250" s="3"/>
      <c r="M250"/>
      <c r="AA250">
        <v>246</v>
      </c>
      <c r="AB250">
        <v>1.258</v>
      </c>
    </row>
    <row r="251" spans="7:28" x14ac:dyDescent="0.25">
      <c r="G251" s="5"/>
      <c r="H251" s="3"/>
      <c r="J251"/>
      <c r="L251" s="3"/>
      <c r="M251"/>
      <c r="AA251">
        <v>247</v>
      </c>
      <c r="AB251">
        <v>1.22</v>
      </c>
    </row>
    <row r="252" spans="7:28" x14ac:dyDescent="0.25">
      <c r="G252" s="5"/>
      <c r="H252" s="3"/>
      <c r="J252"/>
      <c r="L252" s="3"/>
      <c r="M252"/>
      <c r="AA252">
        <v>248</v>
      </c>
      <c r="AB252">
        <v>1.177</v>
      </c>
    </row>
    <row r="253" spans="7:28" x14ac:dyDescent="0.25">
      <c r="L253" s="3"/>
      <c r="M253"/>
      <c r="AA253">
        <v>249</v>
      </c>
      <c r="AB253">
        <v>1.129</v>
      </c>
    </row>
    <row r="254" spans="7:28" x14ac:dyDescent="0.25">
      <c r="AA254">
        <v>250</v>
      </c>
      <c r="AB254">
        <v>1.0840000000000001</v>
      </c>
    </row>
    <row r="255" spans="7:28" x14ac:dyDescent="0.25">
      <c r="AA255">
        <v>251</v>
      </c>
      <c r="AB255">
        <v>1.0349999999999999</v>
      </c>
    </row>
    <row r="256" spans="7:28" x14ac:dyDescent="0.25">
      <c r="AA256">
        <v>252</v>
      </c>
      <c r="AB256">
        <v>0.97899999999999998</v>
      </c>
    </row>
    <row r="257" spans="27:28" x14ac:dyDescent="0.25">
      <c r="AA257">
        <v>253</v>
      </c>
      <c r="AB257">
        <v>0.92300000000000004</v>
      </c>
    </row>
    <row r="258" spans="27:28" x14ac:dyDescent="0.25">
      <c r="AA258">
        <v>254</v>
      </c>
      <c r="AB258">
        <v>0.873</v>
      </c>
    </row>
    <row r="259" spans="27:28" x14ac:dyDescent="0.25">
      <c r="AA259">
        <v>255</v>
      </c>
      <c r="AB259">
        <v>0.82099999999999995</v>
      </c>
    </row>
    <row r="260" spans="27:28" x14ac:dyDescent="0.25">
      <c r="AA260">
        <v>256</v>
      </c>
      <c r="AB260">
        <v>0.77</v>
      </c>
    </row>
    <row r="261" spans="27:28" x14ac:dyDescent="0.25">
      <c r="AA261">
        <v>257</v>
      </c>
      <c r="AB261">
        <v>0.72199999999999998</v>
      </c>
    </row>
    <row r="262" spans="27:28" x14ac:dyDescent="0.25">
      <c r="AA262">
        <v>258</v>
      </c>
      <c r="AB262">
        <v>0.67800000000000005</v>
      </c>
    </row>
    <row r="263" spans="27:28" x14ac:dyDescent="0.25">
      <c r="AA263">
        <v>259</v>
      </c>
      <c r="AB263">
        <v>0.63300000000000001</v>
      </c>
    </row>
    <row r="264" spans="27:28" x14ac:dyDescent="0.25">
      <c r="AA264">
        <v>260</v>
      </c>
      <c r="AB264">
        <v>0.58799999999999997</v>
      </c>
    </row>
    <row r="265" spans="27:28" x14ac:dyDescent="0.25">
      <c r="AA265">
        <v>261</v>
      </c>
      <c r="AB265">
        <v>0.55000000000000004</v>
      </c>
    </row>
    <row r="266" spans="27:28" x14ac:dyDescent="0.25">
      <c r="AA266">
        <v>262</v>
      </c>
      <c r="AB266">
        <v>0.51300000000000001</v>
      </c>
    </row>
    <row r="267" spans="27:28" x14ac:dyDescent="0.25">
      <c r="AA267">
        <v>263</v>
      </c>
      <c r="AB267">
        <v>0.47799999999999998</v>
      </c>
    </row>
    <row r="268" spans="27:28" x14ac:dyDescent="0.25">
      <c r="AA268">
        <v>264</v>
      </c>
      <c r="AB268">
        <v>0.44500000000000001</v>
      </c>
    </row>
    <row r="269" spans="27:28" x14ac:dyDescent="0.25">
      <c r="AA269">
        <v>265</v>
      </c>
      <c r="AB269">
        <v>0.41799999999999998</v>
      </c>
    </row>
    <row r="270" spans="27:28" x14ac:dyDescent="0.25">
      <c r="AA270">
        <v>266</v>
      </c>
      <c r="AB270">
        <v>0.39200000000000002</v>
      </c>
    </row>
    <row r="271" spans="27:28" x14ac:dyDescent="0.25">
      <c r="AA271">
        <v>267</v>
      </c>
      <c r="AB271">
        <v>0.36499999999999999</v>
      </c>
    </row>
    <row r="272" spans="27:28" x14ac:dyDescent="0.25">
      <c r="AA272">
        <v>268</v>
      </c>
      <c r="AB272">
        <v>0.34</v>
      </c>
    </row>
    <row r="273" spans="27:28" x14ac:dyDescent="0.25">
      <c r="AA273">
        <v>269</v>
      </c>
      <c r="AB273">
        <v>0.32</v>
      </c>
    </row>
    <row r="274" spans="27:28" x14ac:dyDescent="0.25">
      <c r="AA274">
        <v>270</v>
      </c>
      <c r="AB274">
        <v>0.30099999999999999</v>
      </c>
    </row>
    <row r="275" spans="27:28" x14ac:dyDescent="0.25">
      <c r="AA275">
        <v>271</v>
      </c>
      <c r="AB275">
        <v>0.28299999999999997</v>
      </c>
    </row>
    <row r="276" spans="27:28" x14ac:dyDescent="0.25">
      <c r="AA276">
        <v>272</v>
      </c>
      <c r="AB276">
        <v>0.26500000000000001</v>
      </c>
    </row>
    <row r="277" spans="27:28" x14ac:dyDescent="0.25">
      <c r="AA277">
        <v>273</v>
      </c>
      <c r="AB277">
        <v>0.252</v>
      </c>
    </row>
    <row r="278" spans="27:28" x14ac:dyDescent="0.25">
      <c r="AA278">
        <v>274</v>
      </c>
      <c r="AB278">
        <v>0.23899999999999999</v>
      </c>
    </row>
    <row r="279" spans="27:28" x14ac:dyDescent="0.25">
      <c r="AA279">
        <v>275</v>
      </c>
      <c r="AB279">
        <v>0.22600000000000001</v>
      </c>
    </row>
    <row r="280" spans="27:28" x14ac:dyDescent="0.25">
      <c r="AA280">
        <v>276</v>
      </c>
      <c r="AB280">
        <v>0.21299999999999999</v>
      </c>
    </row>
    <row r="281" spans="27:28" x14ac:dyDescent="0.25">
      <c r="AA281">
        <v>277</v>
      </c>
      <c r="AB281">
        <v>0.20100000000000001</v>
      </c>
    </row>
    <row r="282" spans="27:28" x14ac:dyDescent="0.25">
      <c r="AA282">
        <v>278</v>
      </c>
      <c r="AB282">
        <v>0.193</v>
      </c>
    </row>
    <row r="283" spans="27:28" x14ac:dyDescent="0.25">
      <c r="AA283">
        <v>279</v>
      </c>
      <c r="AB283">
        <v>0.184</v>
      </c>
    </row>
    <row r="284" spans="27:28" x14ac:dyDescent="0.25">
      <c r="AA284">
        <v>280</v>
      </c>
      <c r="AB284">
        <v>0.17599999999999999</v>
      </c>
    </row>
    <row r="285" spans="27:28" x14ac:dyDescent="0.25">
      <c r="AA285">
        <v>281</v>
      </c>
      <c r="AB285">
        <v>0.16800000000000001</v>
      </c>
    </row>
    <row r="286" spans="27:28" x14ac:dyDescent="0.25">
      <c r="AA286">
        <v>282</v>
      </c>
      <c r="AB286">
        <v>0.16</v>
      </c>
    </row>
    <row r="287" spans="27:28" x14ac:dyDescent="0.25">
      <c r="AA287">
        <v>283</v>
      </c>
      <c r="AB287">
        <v>0.154</v>
      </c>
    </row>
    <row r="288" spans="27:28" x14ac:dyDescent="0.25">
      <c r="AA288">
        <v>284</v>
      </c>
      <c r="AB288">
        <v>0.14899999999999999</v>
      </c>
    </row>
    <row r="289" spans="27:28" x14ac:dyDescent="0.25">
      <c r="AA289">
        <v>285</v>
      </c>
      <c r="AB289">
        <v>0.14399999999999999</v>
      </c>
    </row>
    <row r="290" spans="27:28" x14ac:dyDescent="0.25">
      <c r="AA290">
        <v>286</v>
      </c>
      <c r="AB290">
        <v>0.14000000000000001</v>
      </c>
    </row>
    <row r="291" spans="27:28" x14ac:dyDescent="0.25">
      <c r="AA291">
        <v>287</v>
      </c>
      <c r="AB291">
        <v>0.13400000000000001</v>
      </c>
    </row>
    <row r="292" spans="27:28" x14ac:dyDescent="0.25">
      <c r="AA292">
        <v>288</v>
      </c>
      <c r="AB292">
        <v>0.129</v>
      </c>
    </row>
    <row r="293" spans="27:28" x14ac:dyDescent="0.25">
      <c r="AA293">
        <v>289</v>
      </c>
      <c r="AB293">
        <v>0.124</v>
      </c>
    </row>
    <row r="294" spans="27:28" x14ac:dyDescent="0.25">
      <c r="AA294">
        <v>290</v>
      </c>
      <c r="AB294">
        <v>0.12</v>
      </c>
    </row>
    <row r="295" spans="27:28" x14ac:dyDescent="0.25">
      <c r="AA295">
        <v>291</v>
      </c>
      <c r="AB295">
        <v>0.11799999999999999</v>
      </c>
    </row>
    <row r="296" spans="27:28" x14ac:dyDescent="0.25">
      <c r="AA296">
        <v>292</v>
      </c>
      <c r="AB296">
        <v>0.115</v>
      </c>
    </row>
    <row r="297" spans="27:28" x14ac:dyDescent="0.25">
      <c r="AA297">
        <v>293</v>
      </c>
      <c r="AB297">
        <v>0.112</v>
      </c>
    </row>
    <row r="298" spans="27:28" x14ac:dyDescent="0.25">
      <c r="AA298">
        <v>294</v>
      </c>
      <c r="AB298">
        <v>0.109</v>
      </c>
    </row>
    <row r="299" spans="27:28" x14ac:dyDescent="0.25">
      <c r="AA299">
        <v>295</v>
      </c>
      <c r="AB299">
        <v>0.106</v>
      </c>
    </row>
    <row r="300" spans="27:28" x14ac:dyDescent="0.25">
      <c r="AA300">
        <v>296</v>
      </c>
      <c r="AB300">
        <v>0.104</v>
      </c>
    </row>
    <row r="301" spans="27:28" x14ac:dyDescent="0.25">
      <c r="AA301">
        <v>297</v>
      </c>
      <c r="AB301">
        <v>0.10100000000000001</v>
      </c>
    </row>
    <row r="302" spans="27:28" x14ac:dyDescent="0.25">
      <c r="AA302">
        <v>298</v>
      </c>
      <c r="AB302">
        <v>9.8000000000000004E-2</v>
      </c>
    </row>
    <row r="303" spans="27:28" x14ac:dyDescent="0.25">
      <c r="AA303">
        <v>299</v>
      </c>
      <c r="AB303">
        <v>9.7000000000000003E-2</v>
      </c>
    </row>
    <row r="304" spans="27:28" x14ac:dyDescent="0.25">
      <c r="AA304">
        <v>300</v>
      </c>
      <c r="AB304">
        <v>9.5000000000000001E-2</v>
      </c>
    </row>
    <row r="305" spans="27:28" x14ac:dyDescent="0.25">
      <c r="AA305">
        <v>301</v>
      </c>
      <c r="AB305">
        <v>9.4E-2</v>
      </c>
    </row>
    <row r="306" spans="27:28" x14ac:dyDescent="0.25">
      <c r="AA306">
        <v>302</v>
      </c>
      <c r="AB306">
        <v>9.2999999999999999E-2</v>
      </c>
    </row>
    <row r="307" spans="27:28" x14ac:dyDescent="0.25">
      <c r="AA307">
        <v>303</v>
      </c>
      <c r="AB307">
        <v>9.1999999999999998E-2</v>
      </c>
    </row>
    <row r="308" spans="27:28" x14ac:dyDescent="0.25">
      <c r="AA308">
        <v>304</v>
      </c>
      <c r="AB308">
        <v>9.0999999999999998E-2</v>
      </c>
    </row>
    <row r="309" spans="27:28" x14ac:dyDescent="0.25">
      <c r="AA309">
        <v>305</v>
      </c>
      <c r="AB309">
        <v>8.8999999999999996E-2</v>
      </c>
    </row>
    <row r="310" spans="27:28" x14ac:dyDescent="0.25">
      <c r="AA310">
        <v>306</v>
      </c>
      <c r="AB310">
        <v>8.6999999999999994E-2</v>
      </c>
    </row>
    <row r="311" spans="27:28" x14ac:dyDescent="0.25">
      <c r="AA311">
        <v>307</v>
      </c>
      <c r="AB311">
        <v>8.5999999999999993E-2</v>
      </c>
    </row>
    <row r="312" spans="27:28" x14ac:dyDescent="0.25">
      <c r="AA312">
        <v>308</v>
      </c>
      <c r="AB312">
        <v>8.4000000000000005E-2</v>
      </c>
    </row>
    <row r="313" spans="27:28" x14ac:dyDescent="0.25">
      <c r="AA313">
        <v>309</v>
      </c>
      <c r="AB313">
        <v>8.2000000000000003E-2</v>
      </c>
    </row>
    <row r="314" spans="27:28" x14ac:dyDescent="0.25">
      <c r="AA314">
        <v>310</v>
      </c>
      <c r="AB314">
        <v>8.1000000000000003E-2</v>
      </c>
    </row>
    <row r="315" spans="27:28" x14ac:dyDescent="0.25">
      <c r="AA315">
        <v>311</v>
      </c>
      <c r="AB315">
        <v>0.08</v>
      </c>
    </row>
    <row r="316" spans="27:28" x14ac:dyDescent="0.25">
      <c r="AA316">
        <v>312</v>
      </c>
      <c r="AB316">
        <v>0.08</v>
      </c>
    </row>
    <row r="317" spans="27:28" x14ac:dyDescent="0.25">
      <c r="AA317">
        <v>313</v>
      </c>
      <c r="AB317">
        <v>7.9000000000000001E-2</v>
      </c>
    </row>
    <row r="318" spans="27:28" x14ac:dyDescent="0.25">
      <c r="AA318">
        <v>314</v>
      </c>
      <c r="AB318">
        <v>7.8E-2</v>
      </c>
    </row>
    <row r="319" spans="27:28" x14ac:dyDescent="0.25">
      <c r="AA319">
        <v>315</v>
      </c>
      <c r="AB319">
        <v>7.8E-2</v>
      </c>
    </row>
    <row r="320" spans="27:28" x14ac:dyDescent="0.25">
      <c r="AA320">
        <v>316</v>
      </c>
      <c r="AB320">
        <v>7.6999999999999999E-2</v>
      </c>
    </row>
    <row r="321" spans="27:28" x14ac:dyDescent="0.25">
      <c r="AA321">
        <v>317</v>
      </c>
      <c r="AB321">
        <v>7.6999999999999999E-2</v>
      </c>
    </row>
    <row r="322" spans="27:28" x14ac:dyDescent="0.25">
      <c r="AA322">
        <v>318</v>
      </c>
      <c r="AB322">
        <v>7.5999999999999998E-2</v>
      </c>
    </row>
    <row r="323" spans="27:28" x14ac:dyDescent="0.25">
      <c r="AA323">
        <v>319</v>
      </c>
      <c r="AB323">
        <v>7.5999999999999998E-2</v>
      </c>
    </row>
    <row r="324" spans="27:28" x14ac:dyDescent="0.25">
      <c r="AA324">
        <v>320</v>
      </c>
      <c r="AB324">
        <v>7.4999999999999997E-2</v>
      </c>
    </row>
    <row r="325" spans="27:28" x14ac:dyDescent="0.25">
      <c r="AA325">
        <v>321</v>
      </c>
      <c r="AB325">
        <v>7.4999999999999997E-2</v>
      </c>
    </row>
    <row r="326" spans="27:28" x14ac:dyDescent="0.25">
      <c r="AA326">
        <v>322</v>
      </c>
      <c r="AB326">
        <v>7.3999999999999996E-2</v>
      </c>
    </row>
    <row r="327" spans="27:28" x14ac:dyDescent="0.25">
      <c r="AA327">
        <v>323</v>
      </c>
      <c r="AB327">
        <v>7.3999999999999996E-2</v>
      </c>
    </row>
    <row r="328" spans="27:28" x14ac:dyDescent="0.25">
      <c r="AA328">
        <v>324</v>
      </c>
      <c r="AB328">
        <v>7.4999999999999997E-2</v>
      </c>
    </row>
    <row r="329" spans="27:28" x14ac:dyDescent="0.25">
      <c r="AA329">
        <v>325</v>
      </c>
      <c r="AB329">
        <v>7.6999999999999999E-2</v>
      </c>
    </row>
    <row r="330" spans="27:28" x14ac:dyDescent="0.25">
      <c r="AA330">
        <v>326</v>
      </c>
      <c r="AB330">
        <v>8.1000000000000003E-2</v>
      </c>
    </row>
    <row r="331" spans="27:28" x14ac:dyDescent="0.25">
      <c r="AA331">
        <v>327</v>
      </c>
      <c r="AB331">
        <v>8.5000000000000006E-2</v>
      </c>
    </row>
    <row r="332" spans="27:28" x14ac:dyDescent="0.25">
      <c r="AA332">
        <v>328</v>
      </c>
      <c r="AB332">
        <v>9.0999999999999998E-2</v>
      </c>
    </row>
    <row r="333" spans="27:28" x14ac:dyDescent="0.25">
      <c r="AA333">
        <v>329</v>
      </c>
      <c r="AB333">
        <v>0.10199999999999999</v>
      </c>
    </row>
    <row r="334" spans="27:28" x14ac:dyDescent="0.25">
      <c r="AA334">
        <v>330</v>
      </c>
      <c r="AB334">
        <v>0.14199999999999999</v>
      </c>
    </row>
    <row r="335" spans="27:28" x14ac:dyDescent="0.25">
      <c r="AA335">
        <v>331</v>
      </c>
      <c r="AB335">
        <v>0.312</v>
      </c>
    </row>
    <row r="336" spans="27:28" x14ac:dyDescent="0.25">
      <c r="AA336">
        <v>332</v>
      </c>
      <c r="AB336">
        <v>146.69399999999999</v>
      </c>
    </row>
    <row r="337" spans="27:28" x14ac:dyDescent="0.25">
      <c r="AA337">
        <v>333</v>
      </c>
      <c r="AB337">
        <v>20.422999999999998</v>
      </c>
    </row>
    <row r="338" spans="27:28" x14ac:dyDescent="0.25">
      <c r="AA338">
        <v>334</v>
      </c>
      <c r="AB338">
        <v>10.846</v>
      </c>
    </row>
    <row r="339" spans="27:28" x14ac:dyDescent="0.25">
      <c r="AA339">
        <v>335</v>
      </c>
      <c r="AB339">
        <v>7.5190000000000001</v>
      </c>
    </row>
    <row r="340" spans="27:28" x14ac:dyDescent="0.25">
      <c r="AA340">
        <v>336</v>
      </c>
      <c r="AB340">
        <v>6.2380000000000004</v>
      </c>
    </row>
    <row r="341" spans="27:28" x14ac:dyDescent="0.25">
      <c r="AA341">
        <v>337</v>
      </c>
      <c r="AB341">
        <v>5.48</v>
      </c>
    </row>
    <row r="342" spans="27:28" x14ac:dyDescent="0.25">
      <c r="AA342">
        <v>338</v>
      </c>
      <c r="AB342">
        <v>4.78</v>
      </c>
    </row>
    <row r="343" spans="27:28" x14ac:dyDescent="0.25">
      <c r="AA343">
        <v>339</v>
      </c>
      <c r="AB343">
        <v>3.6869999999999998</v>
      </c>
    </row>
    <row r="344" spans="27:28" x14ac:dyDescent="0.25">
      <c r="AA344">
        <v>340</v>
      </c>
      <c r="AB344">
        <v>2.9119999999999999</v>
      </c>
    </row>
    <row r="345" spans="27:28" x14ac:dyDescent="0.25">
      <c r="AA345">
        <v>341</v>
      </c>
      <c r="AB345">
        <v>2.41</v>
      </c>
    </row>
    <row r="346" spans="27:28" x14ac:dyDescent="0.25">
      <c r="AA346">
        <v>342</v>
      </c>
      <c r="AB346">
        <v>2.2269999999999999</v>
      </c>
    </row>
    <row r="347" spans="27:28" x14ac:dyDescent="0.25">
      <c r="AA347">
        <v>343</v>
      </c>
      <c r="AB347">
        <v>2.218</v>
      </c>
    </row>
    <row r="348" spans="27:28" x14ac:dyDescent="0.25">
      <c r="AA348">
        <v>344</v>
      </c>
      <c r="AB348">
        <v>2.3250000000000002</v>
      </c>
    </row>
    <row r="349" spans="27:28" x14ac:dyDescent="0.25">
      <c r="AA349">
        <v>345</v>
      </c>
      <c r="AB349">
        <v>2.423</v>
      </c>
    </row>
    <row r="350" spans="27:28" x14ac:dyDescent="0.25">
      <c r="AA350">
        <v>346</v>
      </c>
      <c r="AB350">
        <v>2.2589999999999999</v>
      </c>
    </row>
    <row r="351" spans="27:28" x14ac:dyDescent="0.25">
      <c r="AA351">
        <v>347</v>
      </c>
      <c r="AB351">
        <v>2.4740000000000002</v>
      </c>
    </row>
    <row r="352" spans="27:28" x14ac:dyDescent="0.25">
      <c r="AA352">
        <v>348</v>
      </c>
      <c r="AB352">
        <v>2.875</v>
      </c>
    </row>
    <row r="353" spans="27:28" x14ac:dyDescent="0.25">
      <c r="AA353">
        <v>349</v>
      </c>
      <c r="AB353">
        <v>3.4769999999999999</v>
      </c>
    </row>
    <row r="354" spans="27:28" x14ac:dyDescent="0.25">
      <c r="AA354">
        <v>350</v>
      </c>
      <c r="AB354">
        <v>3.8319999999999999</v>
      </c>
    </row>
    <row r="355" spans="27:28" x14ac:dyDescent="0.25">
      <c r="AA355">
        <v>351</v>
      </c>
      <c r="AB355">
        <v>4.0289999999999999</v>
      </c>
    </row>
    <row r="356" spans="27:28" x14ac:dyDescent="0.25">
      <c r="AA356">
        <v>352</v>
      </c>
      <c r="AB356">
        <v>4.3070000000000004</v>
      </c>
    </row>
    <row r="357" spans="27:28" x14ac:dyDescent="0.25">
      <c r="AA357">
        <v>353</v>
      </c>
      <c r="AB357">
        <v>4.66</v>
      </c>
    </row>
    <row r="358" spans="27:28" x14ac:dyDescent="0.25">
      <c r="AA358">
        <v>354</v>
      </c>
      <c r="AB358">
        <v>4.9960000000000004</v>
      </c>
    </row>
    <row r="359" spans="27:28" x14ac:dyDescent="0.25">
      <c r="AA359">
        <v>355</v>
      </c>
      <c r="AB359">
        <v>5.3819999999999997</v>
      </c>
    </row>
    <row r="360" spans="27:28" x14ac:dyDescent="0.25">
      <c r="AA360">
        <v>356</v>
      </c>
      <c r="AB360">
        <v>5.7830000000000004</v>
      </c>
    </row>
    <row r="361" spans="27:28" x14ac:dyDescent="0.25">
      <c r="AA361">
        <v>357</v>
      </c>
      <c r="AB361">
        <v>6.1630000000000003</v>
      </c>
    </row>
    <row r="362" spans="27:28" x14ac:dyDescent="0.25">
      <c r="AA362">
        <v>358</v>
      </c>
      <c r="AB362">
        <v>5.7439999999999998</v>
      </c>
    </row>
    <row r="363" spans="27:28" x14ac:dyDescent="0.25">
      <c r="AA363">
        <v>359</v>
      </c>
      <c r="AB363">
        <v>5.3090000000000002</v>
      </c>
    </row>
    <row r="364" spans="27:28" x14ac:dyDescent="0.25">
      <c r="AA364">
        <v>360</v>
      </c>
      <c r="AB364">
        <v>4.8719999999999999</v>
      </c>
    </row>
    <row r="365" spans="27:28" x14ac:dyDescent="0.25">
      <c r="AA365">
        <v>361</v>
      </c>
      <c r="AB365">
        <v>4.516</v>
      </c>
    </row>
    <row r="366" spans="27:28" x14ac:dyDescent="0.25">
      <c r="AA366">
        <v>362</v>
      </c>
      <c r="AB366">
        <v>4.4210000000000003</v>
      </c>
    </row>
    <row r="367" spans="27:28" x14ac:dyDescent="0.25">
      <c r="AA367">
        <v>363</v>
      </c>
      <c r="AB367">
        <v>4.2939999999999996</v>
      </c>
    </row>
    <row r="368" spans="27:28" x14ac:dyDescent="0.25">
      <c r="AA368">
        <v>364</v>
      </c>
      <c r="AB368">
        <v>4.2140000000000004</v>
      </c>
    </row>
    <row r="369" spans="27:28" x14ac:dyDescent="0.25">
      <c r="AA369">
        <v>365</v>
      </c>
      <c r="AB369">
        <v>4.125</v>
      </c>
    </row>
    <row r="370" spans="27:28" x14ac:dyDescent="0.25">
      <c r="AA370">
        <v>366</v>
      </c>
      <c r="AB370">
        <v>4.0250000000000004</v>
      </c>
    </row>
    <row r="371" spans="27:28" x14ac:dyDescent="0.25">
      <c r="AA371">
        <v>367</v>
      </c>
      <c r="AB371">
        <v>3.9169999999999998</v>
      </c>
    </row>
    <row r="372" spans="27:28" x14ac:dyDescent="0.25">
      <c r="AA372">
        <v>368</v>
      </c>
      <c r="AB372">
        <v>4.1740000000000004</v>
      </c>
    </row>
    <row r="373" spans="27:28" x14ac:dyDescent="0.25">
      <c r="AA373">
        <v>369</v>
      </c>
      <c r="AB373">
        <v>4.6619999999999999</v>
      </c>
    </row>
    <row r="374" spans="27:28" x14ac:dyDescent="0.25">
      <c r="AA374">
        <v>370</v>
      </c>
      <c r="AB374">
        <v>5.3520000000000003</v>
      </c>
    </row>
    <row r="375" spans="27:28" x14ac:dyDescent="0.25">
      <c r="AA375">
        <v>371</v>
      </c>
      <c r="AB375">
        <v>6.2640000000000002</v>
      </c>
    </row>
    <row r="376" spans="27:28" x14ac:dyDescent="0.25">
      <c r="AA376">
        <v>372</v>
      </c>
      <c r="AB376">
        <v>6.8079999999999998</v>
      </c>
    </row>
    <row r="377" spans="27:28" x14ac:dyDescent="0.25">
      <c r="AA377">
        <v>373</v>
      </c>
      <c r="AB377">
        <v>7.1829999999999998</v>
      </c>
    </row>
    <row r="378" spans="27:28" x14ac:dyDescent="0.25">
      <c r="AA378">
        <v>374</v>
      </c>
      <c r="AB378">
        <v>7.2690000000000001</v>
      </c>
    </row>
    <row r="379" spans="27:28" x14ac:dyDescent="0.25">
      <c r="AA379">
        <v>375</v>
      </c>
      <c r="AB379">
        <v>7.4459999999999997</v>
      </c>
    </row>
    <row r="380" spans="27:28" x14ac:dyDescent="0.25">
      <c r="AA380">
        <v>376</v>
      </c>
      <c r="AB380">
        <v>7.5709999999999997</v>
      </c>
    </row>
    <row r="381" spans="27:28" x14ac:dyDescent="0.25">
      <c r="AA381">
        <v>377</v>
      </c>
      <c r="AB381">
        <v>7.72</v>
      </c>
    </row>
    <row r="382" spans="27:28" x14ac:dyDescent="0.25">
      <c r="AA382">
        <v>378</v>
      </c>
      <c r="AB382">
        <v>7.4139999999999997</v>
      </c>
    </row>
    <row r="383" spans="27:28" x14ac:dyDescent="0.25">
      <c r="AA383">
        <v>379</v>
      </c>
      <c r="AB383">
        <v>7.1219999999999999</v>
      </c>
    </row>
    <row r="384" spans="27:28" x14ac:dyDescent="0.25">
      <c r="AA384">
        <v>380</v>
      </c>
      <c r="AB384">
        <v>7.0149999999999997</v>
      </c>
    </row>
    <row r="385" spans="27:28" x14ac:dyDescent="0.25">
      <c r="AA385">
        <v>381</v>
      </c>
      <c r="AB385">
        <v>6.48</v>
      </c>
    </row>
    <row r="386" spans="27:28" x14ac:dyDescent="0.25">
      <c r="AA386">
        <v>382</v>
      </c>
      <c r="AB386">
        <v>6.1719999999999997</v>
      </c>
    </row>
    <row r="387" spans="27:28" x14ac:dyDescent="0.25">
      <c r="AA387">
        <v>383</v>
      </c>
      <c r="AB387">
        <v>5.94</v>
      </c>
    </row>
    <row r="388" spans="27:28" x14ac:dyDescent="0.25">
      <c r="AA388">
        <v>384</v>
      </c>
      <c r="AB388">
        <v>5.7030000000000003</v>
      </c>
    </row>
    <row r="389" spans="27:28" x14ac:dyDescent="0.25">
      <c r="AA389">
        <v>385</v>
      </c>
      <c r="AB389">
        <v>5.4779999999999998</v>
      </c>
    </row>
    <row r="390" spans="27:28" x14ac:dyDescent="0.25">
      <c r="AA390">
        <v>386</v>
      </c>
      <c r="AB390">
        <v>5.4450000000000003</v>
      </c>
    </row>
    <row r="391" spans="27:28" x14ac:dyDescent="0.25">
      <c r="AA391">
        <v>387</v>
      </c>
      <c r="AB391">
        <v>5.359</v>
      </c>
    </row>
    <row r="392" spans="27:28" x14ac:dyDescent="0.25">
      <c r="AA392">
        <v>388</v>
      </c>
      <c r="AB392">
        <v>5.4550000000000001</v>
      </c>
    </row>
    <row r="393" spans="27:28" x14ac:dyDescent="0.25">
      <c r="AA393">
        <v>389</v>
      </c>
      <c r="AB393">
        <v>5.9320000000000004</v>
      </c>
    </row>
    <row r="394" spans="27:28" x14ac:dyDescent="0.25">
      <c r="AA394">
        <v>390</v>
      </c>
      <c r="AB394">
        <v>6.6890000000000001</v>
      </c>
    </row>
    <row r="395" spans="27:28" x14ac:dyDescent="0.25">
      <c r="AA395">
        <v>391</v>
      </c>
      <c r="AB395">
        <v>7.1189999999999998</v>
      </c>
    </row>
    <row r="396" spans="27:28" x14ac:dyDescent="0.25">
      <c r="AA396">
        <v>392</v>
      </c>
      <c r="AB396">
        <v>7.4690000000000003</v>
      </c>
    </row>
    <row r="397" spans="27:28" x14ac:dyDescent="0.25">
      <c r="AA397">
        <v>393</v>
      </c>
      <c r="AB397">
        <v>8.34</v>
      </c>
    </row>
    <row r="398" spans="27:28" x14ac:dyDescent="0.25">
      <c r="AA398">
        <v>394</v>
      </c>
      <c r="AB398">
        <v>8.9830000000000005</v>
      </c>
    </row>
    <row r="399" spans="27:28" x14ac:dyDescent="0.25">
      <c r="AA399">
        <v>395</v>
      </c>
      <c r="AB399">
        <v>8.5299999999999994</v>
      </c>
    </row>
    <row r="400" spans="27:28" x14ac:dyDescent="0.25">
      <c r="AA400">
        <v>396</v>
      </c>
      <c r="AB400">
        <v>7.4450000000000003</v>
      </c>
    </row>
    <row r="401" spans="27:28" x14ac:dyDescent="0.25">
      <c r="AA401">
        <v>397</v>
      </c>
      <c r="AB401">
        <v>7.4390000000000001</v>
      </c>
    </row>
    <row r="402" spans="27:28" x14ac:dyDescent="0.25">
      <c r="AA402">
        <v>398</v>
      </c>
      <c r="AB402">
        <v>7.8390000000000004</v>
      </c>
    </row>
    <row r="403" spans="27:28" x14ac:dyDescent="0.25">
      <c r="AA403">
        <v>399</v>
      </c>
      <c r="AB403">
        <v>7.2370000000000001</v>
      </c>
    </row>
    <row r="404" spans="27:28" x14ac:dyDescent="0.25">
      <c r="AA404">
        <v>400</v>
      </c>
      <c r="AB404">
        <v>6.5759999999999996</v>
      </c>
    </row>
    <row r="405" spans="27:28" x14ac:dyDescent="0.25">
      <c r="AA405">
        <v>401</v>
      </c>
      <c r="AB405">
        <v>6.3890000000000002</v>
      </c>
    </row>
    <row r="406" spans="27:28" x14ac:dyDescent="0.25">
      <c r="AA406">
        <v>402</v>
      </c>
      <c r="AB406">
        <v>6.0529999999999999</v>
      </c>
    </row>
    <row r="407" spans="27:28" x14ac:dyDescent="0.25">
      <c r="AA407">
        <v>403</v>
      </c>
      <c r="AB407">
        <v>6.7290000000000001</v>
      </c>
    </row>
    <row r="408" spans="27:28" x14ac:dyDescent="0.25">
      <c r="AA408">
        <v>404</v>
      </c>
      <c r="AB408">
        <v>7.2229999999999999</v>
      </c>
    </row>
    <row r="409" spans="27:28" x14ac:dyDescent="0.25">
      <c r="AA409">
        <v>405</v>
      </c>
      <c r="AB409">
        <v>7.0129999999999999</v>
      </c>
    </row>
    <row r="410" spans="27:28" x14ac:dyDescent="0.25">
      <c r="AA410">
        <v>406</v>
      </c>
      <c r="AB410">
        <v>5.8230000000000004</v>
      </c>
    </row>
    <row r="411" spans="27:28" x14ac:dyDescent="0.25">
      <c r="AA411">
        <v>407</v>
      </c>
      <c r="AB411">
        <v>10.07</v>
      </c>
    </row>
    <row r="412" spans="27:28" x14ac:dyDescent="0.25">
      <c r="AA412">
        <v>408</v>
      </c>
      <c r="AB412">
        <v>10.598000000000001</v>
      </c>
    </row>
    <row r="413" spans="27:28" x14ac:dyDescent="0.25">
      <c r="AA413">
        <v>409</v>
      </c>
      <c r="AB413">
        <v>15.196</v>
      </c>
    </row>
    <row r="414" spans="27:28" x14ac:dyDescent="0.25">
      <c r="AA414">
        <v>410</v>
      </c>
      <c r="AB414">
        <v>1.0860000000000001</v>
      </c>
    </row>
    <row r="415" spans="27:28" x14ac:dyDescent="0.25">
      <c r="AA415">
        <v>411</v>
      </c>
      <c r="AB415">
        <v>8.5540000000000003</v>
      </c>
    </row>
    <row r="416" spans="27:28" x14ac:dyDescent="0.25">
      <c r="AA416">
        <v>412</v>
      </c>
      <c r="AB416">
        <v>11.657</v>
      </c>
    </row>
    <row r="417" spans="27:28" x14ac:dyDescent="0.25">
      <c r="AA417">
        <v>413</v>
      </c>
      <c r="AB417">
        <v>7.5129999999999999</v>
      </c>
    </row>
    <row r="418" spans="27:28" x14ac:dyDescent="0.25">
      <c r="AA418">
        <v>414</v>
      </c>
      <c r="AB418">
        <v>8.0109999999999992</v>
      </c>
    </row>
    <row r="419" spans="27:28" x14ac:dyDescent="0.25">
      <c r="AA419">
        <v>415</v>
      </c>
      <c r="AB419">
        <v>10.222</v>
      </c>
    </row>
    <row r="420" spans="27:28" x14ac:dyDescent="0.25">
      <c r="AA420">
        <v>416</v>
      </c>
      <c r="AB420">
        <v>8.3680000000000003</v>
      </c>
    </row>
    <row r="421" spans="27:28" x14ac:dyDescent="0.25">
      <c r="AA421">
        <v>417</v>
      </c>
      <c r="AB421">
        <v>9.4130000000000003</v>
      </c>
    </row>
    <row r="422" spans="27:28" x14ac:dyDescent="0.25">
      <c r="AA422">
        <v>418</v>
      </c>
      <c r="AB422">
        <v>17.376999999999999</v>
      </c>
    </row>
    <row r="423" spans="27:28" x14ac:dyDescent="0.25">
      <c r="AA423">
        <v>419</v>
      </c>
      <c r="AB423">
        <v>14.644</v>
      </c>
    </row>
    <row r="424" spans="27:28" x14ac:dyDescent="0.25">
      <c r="AA424">
        <v>420</v>
      </c>
      <c r="AB424">
        <v>24.061</v>
      </c>
    </row>
    <row r="425" spans="27:28" x14ac:dyDescent="0.25">
      <c r="AA425">
        <v>421</v>
      </c>
      <c r="AB425">
        <v>22.042000000000002</v>
      </c>
    </row>
    <row r="426" spans="27:28" x14ac:dyDescent="0.25">
      <c r="AA426">
        <v>422</v>
      </c>
      <c r="AB426">
        <v>29.039000000000001</v>
      </c>
    </row>
    <row r="427" spans="27:28" x14ac:dyDescent="0.25">
      <c r="AA427">
        <v>423</v>
      </c>
      <c r="AB427">
        <v>46.173999999999999</v>
      </c>
    </row>
    <row r="428" spans="27:28" x14ac:dyDescent="0.25">
      <c r="AA428">
        <v>424</v>
      </c>
      <c r="AB428">
        <v>132.35300000000001</v>
      </c>
    </row>
    <row r="429" spans="27:28" x14ac:dyDescent="0.25">
      <c r="AA429">
        <v>425</v>
      </c>
      <c r="AB429">
        <v>39.344000000000001</v>
      </c>
    </row>
    <row r="430" spans="27:28" x14ac:dyDescent="0.25">
      <c r="AA430">
        <v>426</v>
      </c>
      <c r="AB430">
        <v>44.777999999999999</v>
      </c>
    </row>
    <row r="431" spans="27:28" x14ac:dyDescent="0.25">
      <c r="AA431">
        <v>427</v>
      </c>
      <c r="AB431">
        <v>15.901</v>
      </c>
    </row>
    <row r="432" spans="27:28" x14ac:dyDescent="0.25">
      <c r="AA432">
        <v>428</v>
      </c>
      <c r="AB432">
        <v>12.391</v>
      </c>
    </row>
    <row r="433" spans="27:28" x14ac:dyDescent="0.25">
      <c r="AA433">
        <v>429</v>
      </c>
      <c r="AB433">
        <v>7.1369999999999996</v>
      </c>
    </row>
    <row r="434" spans="27:28" x14ac:dyDescent="0.25">
      <c r="AA434">
        <v>430</v>
      </c>
      <c r="AB434">
        <v>12.974</v>
      </c>
    </row>
    <row r="435" spans="27:28" x14ac:dyDescent="0.25">
      <c r="AA435">
        <v>431</v>
      </c>
      <c r="AB435">
        <v>8.4060000000000006</v>
      </c>
    </row>
    <row r="436" spans="27:28" x14ac:dyDescent="0.25">
      <c r="AA436">
        <v>432</v>
      </c>
      <c r="AB436">
        <v>15.098000000000001</v>
      </c>
    </row>
    <row r="437" spans="27:28" x14ac:dyDescent="0.25">
      <c r="AA437">
        <v>433</v>
      </c>
      <c r="AB437">
        <v>10.018000000000001</v>
      </c>
    </row>
    <row r="438" spans="27:28" x14ac:dyDescent="0.25">
      <c r="AA438">
        <v>434</v>
      </c>
      <c r="AB438">
        <v>15.813000000000001</v>
      </c>
    </row>
    <row r="439" spans="27:28" x14ac:dyDescent="0.25">
      <c r="AA439">
        <v>435</v>
      </c>
      <c r="AB439">
        <v>12.019</v>
      </c>
    </row>
    <row r="440" spans="27:28" x14ac:dyDescent="0.25">
      <c r="AA440">
        <v>436</v>
      </c>
      <c r="AB440">
        <v>34.661999999999999</v>
      </c>
    </row>
    <row r="441" spans="27:28" x14ac:dyDescent="0.25">
      <c r="AA441">
        <v>437</v>
      </c>
      <c r="AB441">
        <v>23.449000000000002</v>
      </c>
    </row>
    <row r="442" spans="27:28" x14ac:dyDescent="0.25">
      <c r="AA442">
        <v>438</v>
      </c>
      <c r="AB442">
        <v>45.662999999999997</v>
      </c>
    </row>
    <row r="443" spans="27:28" x14ac:dyDescent="0.25">
      <c r="AA443">
        <v>439</v>
      </c>
      <c r="AB443">
        <v>28.701000000000001</v>
      </c>
    </row>
    <row r="444" spans="27:28" x14ac:dyDescent="0.25">
      <c r="AA444">
        <v>440</v>
      </c>
      <c r="AB444">
        <v>19.414999999999999</v>
      </c>
    </row>
    <row r="445" spans="27:28" x14ac:dyDescent="0.25">
      <c r="AA445">
        <v>441</v>
      </c>
      <c r="AB445">
        <v>0</v>
      </c>
    </row>
    <row r="446" spans="27:28" x14ac:dyDescent="0.25">
      <c r="AA446">
        <v>442</v>
      </c>
      <c r="AB446">
        <v>0</v>
      </c>
    </row>
    <row r="447" spans="27:28" x14ac:dyDescent="0.25">
      <c r="AA447">
        <v>443</v>
      </c>
      <c r="AB447">
        <v>0</v>
      </c>
    </row>
    <row r="448" spans="27:28" x14ac:dyDescent="0.25">
      <c r="AA448">
        <v>444</v>
      </c>
      <c r="AB448">
        <v>0</v>
      </c>
    </row>
    <row r="449" spans="27:28" x14ac:dyDescent="0.25">
      <c r="AA449">
        <v>445</v>
      </c>
      <c r="AB449">
        <v>0</v>
      </c>
    </row>
    <row r="450" spans="27:28" x14ac:dyDescent="0.25">
      <c r="AA450">
        <v>446</v>
      </c>
      <c r="AB450">
        <v>0</v>
      </c>
    </row>
    <row r="451" spans="27:28" x14ac:dyDescent="0.25">
      <c r="AA451">
        <v>447</v>
      </c>
      <c r="AB451">
        <v>0</v>
      </c>
    </row>
    <row r="452" spans="27:28" x14ac:dyDescent="0.25">
      <c r="AA452">
        <v>448</v>
      </c>
      <c r="AB452">
        <v>0</v>
      </c>
    </row>
    <row r="453" spans="27:28" x14ac:dyDescent="0.25">
      <c r="AA453">
        <v>449</v>
      </c>
      <c r="AB453">
        <v>0</v>
      </c>
    </row>
    <row r="454" spans="27:28" x14ac:dyDescent="0.25">
      <c r="AA454">
        <v>450</v>
      </c>
      <c r="AB454">
        <v>0</v>
      </c>
    </row>
    <row r="455" spans="27:28" x14ac:dyDescent="0.25">
      <c r="AA455">
        <v>451</v>
      </c>
      <c r="AB455">
        <v>0</v>
      </c>
    </row>
    <row r="456" spans="27:28" x14ac:dyDescent="0.25">
      <c r="AA456">
        <v>452</v>
      </c>
      <c r="AB456">
        <v>0.89800000000000002</v>
      </c>
    </row>
    <row r="457" spans="27:28" x14ac:dyDescent="0.25">
      <c r="AA457">
        <v>453</v>
      </c>
      <c r="AB457">
        <v>2.4430000000000001</v>
      </c>
    </row>
    <row r="458" spans="27:28" x14ac:dyDescent="0.25">
      <c r="AA458">
        <v>454</v>
      </c>
      <c r="AB458">
        <v>1.748</v>
      </c>
    </row>
    <row r="459" spans="27:28" x14ac:dyDescent="0.25">
      <c r="AA459">
        <v>455</v>
      </c>
      <c r="AB459">
        <v>0</v>
      </c>
    </row>
    <row r="460" spans="27:28" x14ac:dyDescent="0.25">
      <c r="AA460">
        <v>456</v>
      </c>
      <c r="AB460">
        <v>0</v>
      </c>
    </row>
    <row r="461" spans="27:28" x14ac:dyDescent="0.25">
      <c r="AA461">
        <v>457</v>
      </c>
      <c r="AB461">
        <v>14.031000000000001</v>
      </c>
    </row>
    <row r="462" spans="27:28" x14ac:dyDescent="0.25">
      <c r="AA462">
        <v>458</v>
      </c>
      <c r="AB462">
        <v>9.4190000000000005</v>
      </c>
    </row>
    <row r="463" spans="27:28" x14ac:dyDescent="0.25">
      <c r="AA463">
        <v>459</v>
      </c>
      <c r="AB463">
        <v>11.428000000000001</v>
      </c>
    </row>
    <row r="464" spans="27:28" x14ac:dyDescent="0.25">
      <c r="AA464">
        <v>460</v>
      </c>
      <c r="AB464">
        <v>7.7539999999999996</v>
      </c>
    </row>
    <row r="465" spans="27:28" x14ac:dyDescent="0.25">
      <c r="AA465">
        <v>461</v>
      </c>
      <c r="AB465">
        <v>0</v>
      </c>
    </row>
    <row r="466" spans="27:28" x14ac:dyDescent="0.25">
      <c r="AA466">
        <v>462</v>
      </c>
      <c r="AB466">
        <v>0</v>
      </c>
    </row>
    <row r="467" spans="27:28" x14ac:dyDescent="0.25">
      <c r="AA467">
        <v>463</v>
      </c>
      <c r="AB467">
        <v>0</v>
      </c>
    </row>
    <row r="468" spans="27:28" x14ac:dyDescent="0.25">
      <c r="AA468">
        <v>464</v>
      </c>
      <c r="AB468">
        <v>0</v>
      </c>
    </row>
    <row r="469" spans="27:28" x14ac:dyDescent="0.25">
      <c r="AA469">
        <v>465</v>
      </c>
      <c r="AB469">
        <v>0</v>
      </c>
    </row>
    <row r="470" spans="27:28" x14ac:dyDescent="0.25">
      <c r="AA470">
        <v>466</v>
      </c>
      <c r="AB470">
        <v>0</v>
      </c>
    </row>
    <row r="471" spans="27:28" x14ac:dyDescent="0.25">
      <c r="AA471">
        <v>467</v>
      </c>
      <c r="AB471">
        <v>0</v>
      </c>
    </row>
    <row r="472" spans="27:28" x14ac:dyDescent="0.25">
      <c r="AA472">
        <v>468</v>
      </c>
      <c r="AB472">
        <v>0</v>
      </c>
    </row>
    <row r="473" spans="27:28" x14ac:dyDescent="0.25">
      <c r="AA473">
        <v>469</v>
      </c>
      <c r="AB473">
        <v>48.707000000000001</v>
      </c>
    </row>
    <row r="474" spans="27:28" x14ac:dyDescent="0.25">
      <c r="AA474">
        <v>470</v>
      </c>
      <c r="AB474">
        <v>19.16</v>
      </c>
    </row>
    <row r="475" spans="27:28" x14ac:dyDescent="0.25">
      <c r="AA475">
        <v>471</v>
      </c>
      <c r="AB475">
        <v>17.82</v>
      </c>
    </row>
    <row r="476" spans="27:28" x14ac:dyDescent="0.25">
      <c r="AA476">
        <v>472</v>
      </c>
      <c r="AB476">
        <v>29.475000000000001</v>
      </c>
    </row>
    <row r="477" spans="27:28" x14ac:dyDescent="0.25">
      <c r="AA477">
        <v>473</v>
      </c>
      <c r="AB477">
        <v>0</v>
      </c>
    </row>
    <row r="478" spans="27:28" x14ac:dyDescent="0.25">
      <c r="AA478">
        <v>474</v>
      </c>
      <c r="AB478">
        <v>0</v>
      </c>
    </row>
    <row r="479" spans="27:28" x14ac:dyDescent="0.25">
      <c r="AA479">
        <v>475</v>
      </c>
      <c r="AB479">
        <v>0</v>
      </c>
    </row>
    <row r="480" spans="27:28" x14ac:dyDescent="0.25">
      <c r="AA480">
        <v>476</v>
      </c>
      <c r="AB480">
        <v>0</v>
      </c>
    </row>
    <row r="481" spans="27:28" x14ac:dyDescent="0.25">
      <c r="AA481">
        <v>477</v>
      </c>
      <c r="AB481">
        <v>0</v>
      </c>
    </row>
    <row r="482" spans="27:28" x14ac:dyDescent="0.25">
      <c r="AA482">
        <v>478</v>
      </c>
      <c r="AB482">
        <v>0</v>
      </c>
    </row>
    <row r="483" spans="27:28" x14ac:dyDescent="0.25">
      <c r="AA483">
        <v>479</v>
      </c>
      <c r="AB483">
        <v>0</v>
      </c>
    </row>
    <row r="484" spans="27:28" x14ac:dyDescent="0.25">
      <c r="AA484">
        <v>480</v>
      </c>
      <c r="AB484">
        <v>0</v>
      </c>
    </row>
    <row r="485" spans="27:28" x14ac:dyDescent="0.25">
      <c r="AA485">
        <v>481</v>
      </c>
      <c r="AB485">
        <v>0</v>
      </c>
    </row>
    <row r="486" spans="27:28" x14ac:dyDescent="0.25">
      <c r="AA486">
        <v>482</v>
      </c>
      <c r="AB486">
        <v>0</v>
      </c>
    </row>
    <row r="487" spans="27:28" x14ac:dyDescent="0.25">
      <c r="AA487">
        <v>483</v>
      </c>
      <c r="AB487">
        <v>0</v>
      </c>
    </row>
    <row r="488" spans="27:28" x14ac:dyDescent="0.25">
      <c r="AA488">
        <v>484</v>
      </c>
      <c r="AB488">
        <v>0</v>
      </c>
    </row>
    <row r="489" spans="27:28" x14ac:dyDescent="0.25">
      <c r="AA489">
        <v>485</v>
      </c>
      <c r="AB489">
        <v>0</v>
      </c>
    </row>
    <row r="490" spans="27:28" x14ac:dyDescent="0.25">
      <c r="AA490">
        <v>486</v>
      </c>
      <c r="AB490">
        <v>0</v>
      </c>
    </row>
    <row r="491" spans="27:28" x14ac:dyDescent="0.25">
      <c r="AA491">
        <v>487</v>
      </c>
      <c r="AB491">
        <v>0</v>
      </c>
    </row>
    <row r="492" spans="27:28" x14ac:dyDescent="0.25">
      <c r="AA492">
        <v>488</v>
      </c>
      <c r="AB492">
        <v>0</v>
      </c>
    </row>
    <row r="493" spans="27:28" x14ac:dyDescent="0.25">
      <c r="AA493">
        <v>489</v>
      </c>
      <c r="AB493">
        <v>0</v>
      </c>
    </row>
    <row r="494" spans="27:28" x14ac:dyDescent="0.25">
      <c r="AA494">
        <v>490</v>
      </c>
      <c r="AB494">
        <v>13.839</v>
      </c>
    </row>
    <row r="495" spans="27:28" x14ac:dyDescent="0.25">
      <c r="AA495">
        <v>491</v>
      </c>
      <c r="AB495">
        <v>13.3</v>
      </c>
    </row>
    <row r="496" spans="27:28" x14ac:dyDescent="0.25">
      <c r="AA496">
        <v>492</v>
      </c>
      <c r="AB496">
        <v>12.382</v>
      </c>
    </row>
    <row r="497" spans="27:28" x14ac:dyDescent="0.25">
      <c r="AA497">
        <v>493</v>
      </c>
      <c r="AB497">
        <v>6.5270000000000001</v>
      </c>
    </row>
    <row r="498" spans="27:28" x14ac:dyDescent="0.25">
      <c r="AA498">
        <v>494</v>
      </c>
      <c r="AB498">
        <v>0</v>
      </c>
    </row>
    <row r="499" spans="27:28" x14ac:dyDescent="0.25">
      <c r="AA499">
        <v>495</v>
      </c>
      <c r="AB499">
        <v>36.155000000000001</v>
      </c>
    </row>
    <row r="500" spans="27:28" x14ac:dyDescent="0.25">
      <c r="AA500">
        <v>496</v>
      </c>
      <c r="AB500">
        <v>26.236000000000001</v>
      </c>
    </row>
    <row r="501" spans="27:28" x14ac:dyDescent="0.25">
      <c r="AA501">
        <v>497</v>
      </c>
      <c r="AB501">
        <v>28.754000000000001</v>
      </c>
    </row>
    <row r="502" spans="27:28" x14ac:dyDescent="0.25">
      <c r="AA502">
        <v>498</v>
      </c>
      <c r="AB502">
        <v>0</v>
      </c>
    </row>
    <row r="503" spans="27:28" x14ac:dyDescent="0.25">
      <c r="AA503">
        <v>499</v>
      </c>
      <c r="AB503">
        <v>0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topLeftCell="C1" workbookViewId="0">
      <selection activeCell="C1"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3.570312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  <col min="18" max="18" width="15.85546875" style="3" customWidth="1"/>
    <col min="19" max="19" width="31" style="3" customWidth="1"/>
    <col min="20" max="20" width="25" customWidth="1"/>
    <col min="21" max="21" width="26.7109375" customWidth="1"/>
    <col min="22" max="22" width="17.140625" customWidth="1"/>
  </cols>
  <sheetData>
    <row r="1" spans="1:28" x14ac:dyDescent="0.25">
      <c r="A1" t="s">
        <v>88</v>
      </c>
      <c r="B1" s="2">
        <v>42537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8.86295360197702E-17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  <c r="R1" s="3" t="s">
        <v>253</v>
      </c>
      <c r="S1" s="3">
        <f>R3/S3</f>
        <v>1.515151515151515E-2</v>
      </c>
      <c r="U1">
        <f>1453-976.74</f>
        <v>476.26</v>
      </c>
    </row>
    <row r="2" spans="1:28" x14ac:dyDescent="0.25">
      <c r="D2" t="s">
        <v>212</v>
      </c>
      <c r="E2" t="s">
        <v>256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2.658886080593106E-2</v>
      </c>
      <c r="M2" s="4">
        <v>1.71255477258472E-14</v>
      </c>
      <c r="Q2" t="s">
        <v>206</v>
      </c>
      <c r="R2" s="3" t="s">
        <v>251</v>
      </c>
      <c r="S2" s="3" t="s">
        <v>252</v>
      </c>
      <c r="U2">
        <f>500-U1</f>
        <v>23.740000000000009</v>
      </c>
      <c r="W2" t="s">
        <v>319</v>
      </c>
    </row>
    <row r="3" spans="1:28" ht="34.5" customHeight="1" x14ac:dyDescent="0.25">
      <c r="A3" t="s">
        <v>89</v>
      </c>
      <c r="B3" s="87" t="s">
        <v>257</v>
      </c>
      <c r="C3" s="87"/>
      <c r="D3" s="87"/>
      <c r="E3">
        <f>1.5*26/30</f>
        <v>1.3</v>
      </c>
      <c r="G3">
        <f>15*SQRT(650/675)</f>
        <v>14.719601443879744</v>
      </c>
      <c r="Q3" t="s">
        <v>207</v>
      </c>
      <c r="R3" s="3">
        <f>$C$24*$G$18</f>
        <v>3.3333333333333331E-3</v>
      </c>
      <c r="S3" s="3">
        <v>0.22</v>
      </c>
      <c r="T3" s="1"/>
      <c r="W3">
        <v>0.1</v>
      </c>
      <c r="Y3">
        <v>-0.35</v>
      </c>
    </row>
    <row r="4" spans="1:28" x14ac:dyDescent="0.25">
      <c r="B4" t="s">
        <v>95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220</v>
      </c>
      <c r="R4" s="3" t="s">
        <v>250</v>
      </c>
      <c r="S4" s="3" t="s">
        <v>246</v>
      </c>
      <c r="T4" s="3" t="s">
        <v>247</v>
      </c>
      <c r="U4" s="3" t="s">
        <v>248</v>
      </c>
      <c r="V4" s="3" t="s">
        <v>249</v>
      </c>
      <c r="W4" s="3" t="s">
        <v>318</v>
      </c>
      <c r="Y4" s="3">
        <v>0.27599000000000001</v>
      </c>
      <c r="AA4">
        <v>0</v>
      </c>
      <c r="AB4">
        <v>1.002</v>
      </c>
    </row>
    <row r="5" spans="1:28" x14ac:dyDescent="0.25">
      <c r="B5" t="s">
        <v>90</v>
      </c>
      <c r="C5" s="75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-3.4384000667976307</v>
      </c>
      <c r="Q5" s="13">
        <f t="shared" ref="Q5:Q68" si="0">P5*$G$18</f>
        <v>-0.35</v>
      </c>
      <c r="R5" s="13">
        <f>$S$3*O5</f>
        <v>0</v>
      </c>
      <c r="S5">
        <f t="shared" ref="S5:S68" si="1">ABS(Q5-$K$38)</f>
        <v>0.35</v>
      </c>
      <c r="T5" s="8">
        <f>$K$34/(1+EXP(($S5-$L$34)/$M$34))+$K$35/(1+EXP(($S5-$L$35)/$M$35))+$K$36/(1+EXP(($S5-$L$36)/$M$36))+$K$37/(1+EXP(($S5-$L$37)/$M$37))</f>
        <v>1.5305329673921217E-2</v>
      </c>
      <c r="U5" s="8">
        <f t="shared" ref="U5:U68" si="2">$K$39/(1+EXP(($S5-$L$39)/$M$39))+$K$40/(1+EXP(($S5-$L$40)/$M$40))+$K$41/(1+EXP(($S5-$L$41)/$M$41))+$K$42/(1+EXP(($S5-$L$42)/$M$42))</f>
        <v>1.7918983831162101E-10</v>
      </c>
      <c r="V5">
        <f t="shared" ref="V5:V68" si="3">IF(Q5-$K$38&gt;0,U5,T5)</f>
        <v>1.5305329673921217E-2</v>
      </c>
      <c r="W5" s="71">
        <f>(Q5+W$3)*10000</f>
        <v>-2499.9999999999995</v>
      </c>
      <c r="Y5">
        <v>-9.4E-2</v>
      </c>
      <c r="AA5">
        <v>1</v>
      </c>
      <c r="AB5">
        <v>1.002</v>
      </c>
    </row>
    <row r="6" spans="1:28" x14ac:dyDescent="0.25">
      <c r="A6" t="s">
        <v>0</v>
      </c>
      <c r="C6" s="75"/>
      <c r="E6">
        <f>25*0.05</f>
        <v>1.25</v>
      </c>
      <c r="G6" s="5" t="s">
        <v>153</v>
      </c>
      <c r="H6" s="4">
        <v>4E+18</v>
      </c>
      <c r="I6" s="3" t="s">
        <v>155</v>
      </c>
      <c r="J6" s="17" t="s">
        <v>97</v>
      </c>
      <c r="K6" s="3">
        <f>C7+5</f>
        <v>605</v>
      </c>
      <c r="M6"/>
      <c r="O6" s="3">
        <f>O5+1</f>
        <v>1</v>
      </c>
      <c r="P6" s="13">
        <f t="shared" ref="P6:P69" si="4">$C$24*O6+$C$21</f>
        <v>-3.405653399494796</v>
      </c>
      <c r="Q6" s="13">
        <f t="shared" si="0"/>
        <v>-0.34666666666666662</v>
      </c>
      <c r="R6" s="13">
        <f t="shared" ref="R6:R69" si="5">$S$3*O6</f>
        <v>0.22</v>
      </c>
      <c r="S6">
        <f t="shared" si="1"/>
        <v>0.34666666666666662</v>
      </c>
      <c r="T6" s="8">
        <f t="shared" ref="T6:T69" si="6">$K$34/(1+EXP(($S6-$L$34)/$M$34))+$K$35/(1+EXP(($S6-$L$35)/$M$35))+$K$36/(1+EXP(($S6-$L$36)/$M$36))+$K$37/(1+EXP(($S6-$L$37)/$M$37))</f>
        <v>1.6588322042050328E-2</v>
      </c>
      <c r="U6" s="8">
        <f t="shared" si="2"/>
        <v>2.315639435419262E-10</v>
      </c>
      <c r="V6">
        <f t="shared" si="3"/>
        <v>1.6588322042050328E-2</v>
      </c>
      <c r="W6" s="71">
        <f t="shared" ref="W6:W69" si="7">(Q6+W$3)*10000</f>
        <v>-2466.6666666666661</v>
      </c>
      <c r="Y6">
        <f>Y4-Y3</f>
        <v>0.62599000000000005</v>
      </c>
      <c r="AA6">
        <v>2</v>
      </c>
      <c r="AB6">
        <v>1.002</v>
      </c>
    </row>
    <row r="7" spans="1:28" x14ac:dyDescent="0.25">
      <c r="B7" t="s">
        <v>1</v>
      </c>
      <c r="C7" s="75">
        <v>600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4"/>
        <v>-3.3729067321919617</v>
      </c>
      <c r="Q7" s="13">
        <f t="shared" si="0"/>
        <v>-0.34333333333333332</v>
      </c>
      <c r="R7" s="13">
        <f t="shared" si="5"/>
        <v>0.44</v>
      </c>
      <c r="S7">
        <f t="shared" si="1"/>
        <v>0.34333333333333332</v>
      </c>
      <c r="T7" s="8">
        <f t="shared" si="6"/>
        <v>1.7989558122912534E-2</v>
      </c>
      <c r="U7" s="8">
        <f t="shared" si="2"/>
        <v>2.9924609817342155E-10</v>
      </c>
      <c r="V7">
        <f t="shared" si="3"/>
        <v>1.7989558122912534E-2</v>
      </c>
      <c r="W7" s="71">
        <f t="shared" si="7"/>
        <v>-2433.333333333333</v>
      </c>
      <c r="Y7">
        <f>Y5-Y3</f>
        <v>0.25600000000000001</v>
      </c>
      <c r="AA7">
        <v>3</v>
      </c>
      <c r="AB7">
        <v>1.002</v>
      </c>
    </row>
    <row r="8" spans="1:28" x14ac:dyDescent="0.25">
      <c r="B8" t="s">
        <v>2</v>
      </c>
      <c r="C8" s="75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8">O7+1</f>
        <v>3</v>
      </c>
      <c r="P8" s="13">
        <f t="shared" si="4"/>
        <v>-3.340160064889127</v>
      </c>
      <c r="Q8" s="13">
        <f t="shared" si="0"/>
        <v>-0.33999999999999997</v>
      </c>
      <c r="R8" s="13">
        <f t="shared" si="5"/>
        <v>0.66</v>
      </c>
      <c r="S8">
        <f t="shared" si="1"/>
        <v>0.33999999999999997</v>
      </c>
      <c r="T8" s="8">
        <f t="shared" si="6"/>
        <v>1.9520894259672222E-2</v>
      </c>
      <c r="U8" s="8">
        <f t="shared" si="2"/>
        <v>3.8671058153028165E-10</v>
      </c>
      <c r="V8">
        <f t="shared" si="3"/>
        <v>1.9520894259672222E-2</v>
      </c>
      <c r="W8" s="71">
        <f t="shared" si="7"/>
        <v>-2399.9999999999995</v>
      </c>
      <c r="Y8">
        <f>3*Y7/Y6</f>
        <v>1.2268566590520615</v>
      </c>
      <c r="AA8">
        <v>4</v>
      </c>
      <c r="AB8">
        <v>1.002</v>
      </c>
    </row>
    <row r="9" spans="1:28" x14ac:dyDescent="0.25">
      <c r="B9" t="s">
        <v>3</v>
      </c>
      <c r="C9" s="75">
        <v>150</v>
      </c>
      <c r="E9" s="14">
        <f>E10*1000000000/I1</f>
        <v>1.3205775822989467</v>
      </c>
      <c r="F9" s="5" t="s">
        <v>209</v>
      </c>
      <c r="G9" s="6">
        <f>SQRT(G8/H6)</f>
        <v>20.868355978610293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8"/>
        <v>4</v>
      </c>
      <c r="P9" s="13">
        <f t="shared" si="4"/>
        <v>-3.3074133975862923</v>
      </c>
      <c r="Q9" s="13">
        <f t="shared" si="0"/>
        <v>-0.33666666666666667</v>
      </c>
      <c r="R9" s="13">
        <f t="shared" si="5"/>
        <v>0.88</v>
      </c>
      <c r="S9">
        <f t="shared" si="1"/>
        <v>0.33666666666666667</v>
      </c>
      <c r="T9" s="8">
        <f t="shared" si="6"/>
        <v>2.119548597734814E-2</v>
      </c>
      <c r="U9" s="8">
        <f t="shared" si="2"/>
        <v>4.9973942775797484E-10</v>
      </c>
      <c r="V9">
        <f t="shared" si="3"/>
        <v>2.119548597734814E-2</v>
      </c>
      <c r="W9" s="71">
        <f t="shared" si="7"/>
        <v>-2366.6666666666665</v>
      </c>
      <c r="Y9">
        <f>1.9-Y8</f>
        <v>0.67314334094793837</v>
      </c>
      <c r="AA9">
        <v>5</v>
      </c>
      <c r="AB9">
        <v>1.002</v>
      </c>
    </row>
    <row r="10" spans="1:28" x14ac:dyDescent="0.25">
      <c r="B10" t="s">
        <v>4</v>
      </c>
      <c r="C10" s="75">
        <v>250</v>
      </c>
      <c r="E10" s="14">
        <f>0.149/E16</f>
        <v>0.39589919937709855</v>
      </c>
      <c r="F10" s="5" t="s">
        <v>156</v>
      </c>
      <c r="G10" s="6">
        <f xml:space="preserve"> 56414.602*SQRT(H6)</f>
        <v>112829204000000</v>
      </c>
      <c r="H10" s="3" t="s">
        <v>189</v>
      </c>
      <c r="I10"/>
      <c r="J10" s="17" t="s">
        <v>101</v>
      </c>
      <c r="K10" s="3">
        <v>100</v>
      </c>
      <c r="M10"/>
      <c r="O10" s="3">
        <f t="shared" si="8"/>
        <v>5</v>
      </c>
      <c r="P10" s="13">
        <f t="shared" si="4"/>
        <v>-3.2746667302834576</v>
      </c>
      <c r="Q10" s="13">
        <f t="shared" si="0"/>
        <v>-0.33333333333333331</v>
      </c>
      <c r="R10" s="13">
        <f t="shared" si="5"/>
        <v>1.1000000000000001</v>
      </c>
      <c r="S10">
        <f t="shared" si="1"/>
        <v>0.33333333333333331</v>
      </c>
      <c r="T10" s="8">
        <f t="shared" si="6"/>
        <v>2.3027981900228648E-2</v>
      </c>
      <c r="U10" s="8">
        <f t="shared" si="2"/>
        <v>6.4580466004169999E-10</v>
      </c>
      <c r="V10">
        <f t="shared" si="3"/>
        <v>2.3027981900228648E-2</v>
      </c>
      <c r="W10" s="71">
        <f t="shared" si="7"/>
        <v>-2333.333333333333</v>
      </c>
      <c r="AA10">
        <v>6</v>
      </c>
      <c r="AB10">
        <v>1.002</v>
      </c>
    </row>
    <row r="11" spans="1:28" x14ac:dyDescent="0.25">
      <c r="B11" t="s">
        <v>5</v>
      </c>
      <c r="C11" s="75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8"/>
        <v>6</v>
      </c>
      <c r="P11" s="13">
        <f t="shared" si="4"/>
        <v>-3.2419200629806233</v>
      </c>
      <c r="Q11" s="13">
        <f t="shared" si="0"/>
        <v>-0.33</v>
      </c>
      <c r="R11" s="13">
        <f t="shared" si="5"/>
        <v>1.32</v>
      </c>
      <c r="S11">
        <f t="shared" si="1"/>
        <v>0.33</v>
      </c>
      <c r="T11" s="8">
        <f t="shared" si="6"/>
        <v>2.5034776784699002E-2</v>
      </c>
      <c r="U11" s="8">
        <f t="shared" si="2"/>
        <v>8.3456224530405705E-10</v>
      </c>
      <c r="V11">
        <f t="shared" si="3"/>
        <v>2.5034776784699002E-2</v>
      </c>
      <c r="W11" s="71">
        <f t="shared" si="7"/>
        <v>-2300</v>
      </c>
      <c r="AA11">
        <v>7</v>
      </c>
      <c r="AB11">
        <v>1.002</v>
      </c>
    </row>
    <row r="12" spans="1:28" x14ac:dyDescent="0.25">
      <c r="B12" t="s">
        <v>6</v>
      </c>
      <c r="C12" s="75">
        <v>5</v>
      </c>
      <c r="F12" s="5" t="s">
        <v>160</v>
      </c>
      <c r="G12" s="7">
        <f>SQRT(H6/G8)</f>
        <v>4.7919443248187969E-2</v>
      </c>
      <c r="H12" s="3" t="s">
        <v>87</v>
      </c>
      <c r="I12"/>
      <c r="J12" s="17" t="s">
        <v>218</v>
      </c>
      <c r="K12" s="3">
        <v>4</v>
      </c>
      <c r="M12"/>
      <c r="O12" s="3">
        <f t="shared" si="8"/>
        <v>7</v>
      </c>
      <c r="P12" s="13">
        <f t="shared" si="4"/>
        <v>-3.2091733956777886</v>
      </c>
      <c r="Q12" s="13">
        <f t="shared" si="0"/>
        <v>-0.32666666666666666</v>
      </c>
      <c r="R12" s="13">
        <f t="shared" si="5"/>
        <v>1.54</v>
      </c>
      <c r="S12">
        <f t="shared" si="1"/>
        <v>0.32666666666666666</v>
      </c>
      <c r="T12" s="8">
        <f t="shared" si="6"/>
        <v>2.7234351195829235E-2</v>
      </c>
      <c r="U12" s="8">
        <f t="shared" si="2"/>
        <v>1.0784904233528386E-9</v>
      </c>
      <c r="V12">
        <f t="shared" si="3"/>
        <v>2.7234351195829235E-2</v>
      </c>
      <c r="W12" s="71">
        <f t="shared" si="7"/>
        <v>-2266.6666666666665</v>
      </c>
      <c r="AA12">
        <v>8</v>
      </c>
      <c r="AB12">
        <v>1.002</v>
      </c>
    </row>
    <row r="13" spans="1:28" x14ac:dyDescent="0.25">
      <c r="B13" t="s">
        <v>7</v>
      </c>
      <c r="C13" s="75">
        <v>2</v>
      </c>
      <c r="F13" s="5" t="s">
        <v>161</v>
      </c>
      <c r="G13" s="6">
        <f>0.0001*G7*SQRT(G8/H6)</f>
        <v>1.6694684782888236E-3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8"/>
        <v>8</v>
      </c>
      <c r="P13" s="13">
        <f t="shared" si="4"/>
        <v>-3.1764267283749539</v>
      </c>
      <c r="Q13" s="13">
        <f t="shared" si="0"/>
        <v>-0.32333333333333331</v>
      </c>
      <c r="R13" s="13">
        <f t="shared" si="5"/>
        <v>1.76</v>
      </c>
      <c r="S13">
        <f t="shared" si="1"/>
        <v>0.32333333333333331</v>
      </c>
      <c r="T13" s="8">
        <f t="shared" si="6"/>
        <v>2.9647738237692407E-2</v>
      </c>
      <c r="U13" s="8">
        <f t="shared" si="2"/>
        <v>1.3937146086418199E-9</v>
      </c>
      <c r="V13">
        <f t="shared" si="3"/>
        <v>2.9647738237692407E-2</v>
      </c>
      <c r="W13" s="71">
        <f t="shared" si="7"/>
        <v>-2233.333333333333</v>
      </c>
      <c r="AA13">
        <v>9</v>
      </c>
      <c r="AB13">
        <v>1.002</v>
      </c>
    </row>
    <row r="14" spans="1:28" x14ac:dyDescent="0.25">
      <c r="B14" t="s">
        <v>8</v>
      </c>
      <c r="C14" s="21">
        <f>G24</f>
        <v>2.6831924746576368</v>
      </c>
      <c r="D14" t="s">
        <v>139</v>
      </c>
      <c r="E14" s="14">
        <f>0.5*G14</f>
        <v>8.3473423914441174</v>
      </c>
      <c r="F14" s="5" t="s">
        <v>181</v>
      </c>
      <c r="G14" s="6">
        <f>10000*G13</f>
        <v>16.694684782888235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8"/>
        <v>9</v>
      </c>
      <c r="P14" s="13">
        <f t="shared" si="4"/>
        <v>-3.1436800610721196</v>
      </c>
      <c r="Q14" s="13">
        <f t="shared" si="0"/>
        <v>-0.32</v>
      </c>
      <c r="R14" s="13">
        <f t="shared" si="5"/>
        <v>1.98</v>
      </c>
      <c r="S14">
        <f t="shared" si="1"/>
        <v>0.32</v>
      </c>
      <c r="T14" s="8">
        <f t="shared" si="6"/>
        <v>3.2299175975529934E-2</v>
      </c>
      <c r="U14" s="8">
        <f t="shared" si="2"/>
        <v>1.8010733966018772E-9</v>
      </c>
      <c r="V14">
        <f t="shared" si="3"/>
        <v>3.2299175975529934E-2</v>
      </c>
      <c r="W14" s="71">
        <f t="shared" si="7"/>
        <v>-2200</v>
      </c>
      <c r="AA14">
        <v>10</v>
      </c>
      <c r="AB14">
        <v>1.002</v>
      </c>
    </row>
    <row r="15" spans="1:28" x14ac:dyDescent="0.25">
      <c r="B15" t="s">
        <v>9</v>
      </c>
      <c r="C15" s="75">
        <v>10</v>
      </c>
      <c r="D15" t="s">
        <v>138</v>
      </c>
      <c r="E15" s="14">
        <f>E14/16.7</f>
        <v>0.49984086176312081</v>
      </c>
      <c r="F15" s="5" t="s">
        <v>190</v>
      </c>
      <c r="G15" s="6">
        <f>2*PI()*1000000000000000/G10</f>
        <v>55.687579850156403</v>
      </c>
      <c r="H15" s="3" t="s">
        <v>169</v>
      </c>
      <c r="I15"/>
      <c r="J15" s="17" t="s">
        <v>105</v>
      </c>
      <c r="K15" s="3">
        <v>150</v>
      </c>
      <c r="M15"/>
      <c r="O15" s="3">
        <f t="shared" si="8"/>
        <v>10</v>
      </c>
      <c r="P15" s="13">
        <f t="shared" si="4"/>
        <v>-3.1109333937692849</v>
      </c>
      <c r="Q15" s="13">
        <f t="shared" si="0"/>
        <v>-0.31666666666666665</v>
      </c>
      <c r="R15" s="13">
        <f t="shared" si="5"/>
        <v>2.2000000000000002</v>
      </c>
      <c r="S15">
        <f t="shared" si="1"/>
        <v>0.31666666666666665</v>
      </c>
      <c r="T15" s="8">
        <f t="shared" si="6"/>
        <v>3.5217029564135992E-2</v>
      </c>
      <c r="U15" s="8">
        <f t="shared" si="2"/>
        <v>2.3274961452480547E-9</v>
      </c>
      <c r="V15">
        <f t="shared" si="3"/>
        <v>3.5217029564135992E-2</v>
      </c>
      <c r="W15" s="71">
        <f t="shared" si="7"/>
        <v>-2166.6666666666665</v>
      </c>
      <c r="AA15">
        <v>11</v>
      </c>
      <c r="AB15">
        <v>1.002</v>
      </c>
    </row>
    <row r="16" spans="1:28" x14ac:dyDescent="0.25">
      <c r="B16" t="s">
        <v>10</v>
      </c>
      <c r="C16" s="75">
        <f>15</f>
        <v>15</v>
      </c>
      <c r="D16" t="s">
        <v>255</v>
      </c>
      <c r="E16" s="14">
        <f>0.0001*G16</f>
        <v>0.37635842718155077</v>
      </c>
      <c r="F16" s="5" t="s">
        <v>163</v>
      </c>
      <c r="G16" s="6">
        <f>2*PI()/G13</f>
        <v>3763.5842718155077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8"/>
        <v>11</v>
      </c>
      <c r="P16" s="13">
        <f t="shared" si="4"/>
        <v>-3.0781867264664502</v>
      </c>
      <c r="Q16" s="13">
        <f t="shared" si="0"/>
        <v>-0.3133333333333333</v>
      </c>
      <c r="R16" s="13">
        <f t="shared" si="5"/>
        <v>2.42</v>
      </c>
      <c r="S16">
        <f t="shared" si="1"/>
        <v>0.3133333333333333</v>
      </c>
      <c r="T16" s="8">
        <f t="shared" si="6"/>
        <v>3.8435101742373211E-2</v>
      </c>
      <c r="U16" s="8">
        <f t="shared" si="2"/>
        <v>3.0077832001355521E-9</v>
      </c>
      <c r="V16">
        <f t="shared" si="3"/>
        <v>3.8435101742373211E-2</v>
      </c>
      <c r="W16" s="71">
        <f t="shared" si="7"/>
        <v>-2133.333333333333</v>
      </c>
      <c r="AA16">
        <v>12</v>
      </c>
      <c r="AB16">
        <v>1.002</v>
      </c>
    </row>
    <row r="17" spans="2:28" x14ac:dyDescent="0.25">
      <c r="B17" t="s">
        <v>11</v>
      </c>
      <c r="C17" s="22">
        <f>G20</f>
        <v>6.0593706776229688</v>
      </c>
      <c r="D17" t="s">
        <v>140</v>
      </c>
      <c r="E17">
        <f>1/G17</f>
        <v>6.2111801242236017E-2</v>
      </c>
      <c r="F17" s="5" t="s">
        <v>165</v>
      </c>
      <c r="G17" s="3">
        <v>16.100000000000001</v>
      </c>
      <c r="H17" s="3" t="s">
        <v>166</v>
      </c>
      <c r="I17" s="1">
        <f>100*I16*G16</f>
        <v>-93.096020547628399</v>
      </c>
      <c r="J17" s="17" t="s">
        <v>107</v>
      </c>
      <c r="K17" s="3">
        <v>18</v>
      </c>
      <c r="M17">
        <f>1.8*1.8</f>
        <v>3.24</v>
      </c>
      <c r="O17" s="3">
        <f t="shared" si="8"/>
        <v>12</v>
      </c>
      <c r="P17" s="13">
        <f t="shared" si="4"/>
        <v>-3.0454400591636155</v>
      </c>
      <c r="Q17" s="13">
        <f t="shared" si="0"/>
        <v>-0.30999999999999994</v>
      </c>
      <c r="R17" s="13">
        <f t="shared" si="5"/>
        <v>2.64</v>
      </c>
      <c r="S17">
        <f t="shared" si="1"/>
        <v>0.30999999999999994</v>
      </c>
      <c r="T17" s="8">
        <f t="shared" si="6"/>
        <v>4.1994496496446924E-2</v>
      </c>
      <c r="U17" s="8">
        <f t="shared" si="2"/>
        <v>3.8869064483569144E-9</v>
      </c>
      <c r="V17">
        <f t="shared" si="3"/>
        <v>4.1994496496446924E-2</v>
      </c>
      <c r="W17" s="71">
        <f t="shared" si="7"/>
        <v>-2099.9999999999995</v>
      </c>
      <c r="AA17">
        <v>13</v>
      </c>
      <c r="AB17">
        <v>1.002</v>
      </c>
    </row>
    <row r="18" spans="2:28" x14ac:dyDescent="0.25">
      <c r="B18" t="s">
        <v>110</v>
      </c>
      <c r="C18" s="75">
        <v>8</v>
      </c>
      <c r="D18" t="s">
        <v>141</v>
      </c>
      <c r="E18" s="14">
        <f>10000*G18</f>
        <v>1017.9152896712628</v>
      </c>
      <c r="F18" s="5" t="s">
        <v>195</v>
      </c>
      <c r="G18" s="3">
        <f>0.0001*PI()*G17*G17/G7</f>
        <v>0.10179152896712629</v>
      </c>
      <c r="H18" s="3" t="s">
        <v>162</v>
      </c>
      <c r="I18">
        <f>0.5*100/G18</f>
        <v>491.20000954251867</v>
      </c>
      <c r="J18" s="17" t="s">
        <v>108</v>
      </c>
      <c r="K18" s="3">
        <v>4</v>
      </c>
      <c r="M18"/>
      <c r="O18" s="3">
        <f t="shared" si="8"/>
        <v>13</v>
      </c>
      <c r="P18" s="13">
        <f t="shared" si="4"/>
        <v>-3.0126933918607812</v>
      </c>
      <c r="Q18" s="13">
        <f t="shared" si="0"/>
        <v>-0.30666666666666664</v>
      </c>
      <c r="R18" s="13">
        <f t="shared" si="5"/>
        <v>2.86</v>
      </c>
      <c r="S18">
        <f t="shared" si="1"/>
        <v>0.30666666666666664</v>
      </c>
      <c r="T18" s="8">
        <f t="shared" si="6"/>
        <v>4.5946260100589414E-2</v>
      </c>
      <c r="U18" s="8">
        <f t="shared" si="2"/>
        <v>5.0229822847557039E-9</v>
      </c>
      <c r="V18">
        <f t="shared" si="3"/>
        <v>4.5946260100589414E-2</v>
      </c>
      <c r="W18" s="71">
        <f t="shared" si="7"/>
        <v>-2066.6666666666665</v>
      </c>
      <c r="AA18">
        <v>14</v>
      </c>
      <c r="AB18">
        <v>1.002</v>
      </c>
    </row>
    <row r="19" spans="2:28" x14ac:dyDescent="0.25">
      <c r="B19" t="s">
        <v>12</v>
      </c>
      <c r="C19" s="23">
        <f>G34/2</f>
        <v>0.75000217919683421</v>
      </c>
      <c r="D19" t="s">
        <v>142</v>
      </c>
      <c r="F19" s="5" t="s">
        <v>196</v>
      </c>
      <c r="G19" s="6">
        <f>G18*G16</f>
        <v>383.10099742472914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8"/>
        <v>14</v>
      </c>
      <c r="P19" s="13">
        <f t="shared" si="4"/>
        <v>-2.9799467245579465</v>
      </c>
      <c r="Q19" s="13">
        <f t="shared" si="0"/>
        <v>-0.30333333333333329</v>
      </c>
      <c r="R19" s="13">
        <f t="shared" si="5"/>
        <v>3.08</v>
      </c>
      <c r="S19">
        <f t="shared" si="1"/>
        <v>0.30333333333333329</v>
      </c>
      <c r="T19" s="8">
        <f t="shared" si="6"/>
        <v>5.0355096440011189E-2</v>
      </c>
      <c r="U19" s="8">
        <f t="shared" si="2"/>
        <v>6.4911135247950125E-9</v>
      </c>
      <c r="V19">
        <f t="shared" si="3"/>
        <v>5.0355096440011189E-2</v>
      </c>
      <c r="W19" s="71">
        <f t="shared" si="7"/>
        <v>-2033.3333333333328</v>
      </c>
      <c r="AA19">
        <v>15</v>
      </c>
      <c r="AB19">
        <v>1.002</v>
      </c>
    </row>
    <row r="20" spans="2:28" x14ac:dyDescent="0.25">
      <c r="B20" t="s">
        <v>254</v>
      </c>
      <c r="C20" s="75">
        <v>2</v>
      </c>
      <c r="D20" t="s">
        <v>143</v>
      </c>
      <c r="E20">
        <v>7.1294579999999996</v>
      </c>
      <c r="F20" s="5" t="s">
        <v>11</v>
      </c>
      <c r="G20" s="7">
        <f>0.0001*G17*G16</f>
        <v>6.0593706776229688</v>
      </c>
      <c r="H20" s="3" t="s">
        <v>167</v>
      </c>
      <c r="I20"/>
      <c r="J20"/>
      <c r="K20" s="3"/>
      <c r="M20"/>
      <c r="O20" s="3">
        <f t="shared" si="8"/>
        <v>15</v>
      </c>
      <c r="P20" s="13">
        <f t="shared" si="4"/>
        <v>-2.9472000572551122</v>
      </c>
      <c r="Q20" s="13">
        <f t="shared" si="0"/>
        <v>-0.3</v>
      </c>
      <c r="R20" s="13">
        <f t="shared" si="5"/>
        <v>3.3</v>
      </c>
      <c r="S20">
        <f t="shared" si="1"/>
        <v>0.3</v>
      </c>
      <c r="T20" s="8">
        <f t="shared" si="6"/>
        <v>5.5304535162371403E-2</v>
      </c>
      <c r="U20" s="8">
        <f t="shared" si="2"/>
        <v>8.3883542421002266E-9</v>
      </c>
      <c r="V20">
        <f t="shared" si="3"/>
        <v>5.5304535162371403E-2</v>
      </c>
      <c r="W20" s="71">
        <f t="shared" si="7"/>
        <v>-1999.9999999999998</v>
      </c>
      <c r="AA20">
        <v>16</v>
      </c>
      <c r="AB20">
        <v>1.002</v>
      </c>
    </row>
    <row r="21" spans="2:28" x14ac:dyDescent="0.25">
      <c r="B21" t="s">
        <v>13</v>
      </c>
      <c r="C21" s="22">
        <f>-0.35/G$18</f>
        <v>-3.4384000667976307</v>
      </c>
      <c r="D21" t="s">
        <v>144</v>
      </c>
      <c r="E21" s="20">
        <f>10000*E20/G16</f>
        <v>18.943266538205709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8"/>
        <v>16</v>
      </c>
      <c r="P21" s="13">
        <f t="shared" si="4"/>
        <v>-2.9144533899522775</v>
      </c>
      <c r="Q21" s="13">
        <f t="shared" si="0"/>
        <v>-0.29666666666666669</v>
      </c>
      <c r="R21" s="13">
        <f t="shared" si="5"/>
        <v>3.52</v>
      </c>
      <c r="S21">
        <f t="shared" si="1"/>
        <v>0.29666666666666669</v>
      </c>
      <c r="T21" s="8">
        <f t="shared" si="6"/>
        <v>6.0904007960779855E-2</v>
      </c>
      <c r="U21" s="8">
        <f t="shared" si="2"/>
        <v>1.084012574201201E-8</v>
      </c>
      <c r="V21">
        <f t="shared" si="3"/>
        <v>6.0904007960779855E-2</v>
      </c>
      <c r="W21" s="71">
        <f t="shared" si="7"/>
        <v>-1966.6666666666667</v>
      </c>
      <c r="AA21">
        <v>17</v>
      </c>
      <c r="AB21">
        <v>1.002</v>
      </c>
    </row>
    <row r="22" spans="2:28" x14ac:dyDescent="0.25">
      <c r="B22" t="s">
        <v>14</v>
      </c>
      <c r="C22" s="75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8"/>
        <v>17</v>
      </c>
      <c r="P22" s="13">
        <f t="shared" si="4"/>
        <v>-2.8817067226494428</v>
      </c>
      <c r="Q22" s="13">
        <f t="shared" si="0"/>
        <v>-0.29333333333333333</v>
      </c>
      <c r="R22" s="13">
        <f t="shared" si="5"/>
        <v>3.74</v>
      </c>
      <c r="S22">
        <f t="shared" si="1"/>
        <v>0.29333333333333333</v>
      </c>
      <c r="T22" s="8">
        <f t="shared" si="6"/>
        <v>6.7298327439297576E-2</v>
      </c>
      <c r="U22" s="8">
        <f t="shared" si="2"/>
        <v>1.4008507812862376E-8</v>
      </c>
      <c r="V22">
        <f t="shared" si="3"/>
        <v>6.7298327439297576E-2</v>
      </c>
      <c r="W22" s="71">
        <f t="shared" si="7"/>
        <v>-1933.3333333333333</v>
      </c>
      <c r="AA22">
        <v>18</v>
      </c>
      <c r="AB22">
        <v>1.002</v>
      </c>
    </row>
    <row r="23" spans="2:28" x14ac:dyDescent="0.25">
      <c r="B23" t="s">
        <v>15</v>
      </c>
      <c r="C23" s="22">
        <f>0.15/G$18</f>
        <v>1.4736000286275559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8"/>
        <v>18</v>
      </c>
      <c r="P23" s="13">
        <f t="shared" si="4"/>
        <v>-2.8489600553466081</v>
      </c>
      <c r="Q23" s="13">
        <f t="shared" si="0"/>
        <v>-0.28999999999999998</v>
      </c>
      <c r="R23" s="13">
        <f t="shared" si="5"/>
        <v>3.96</v>
      </c>
      <c r="S23">
        <f t="shared" si="1"/>
        <v>0.28999999999999998</v>
      </c>
      <c r="T23" s="8">
        <f t="shared" si="6"/>
        <v>7.4679996687001218E-2</v>
      </c>
      <c r="U23" s="8">
        <f t="shared" si="2"/>
        <v>1.8102953365767135E-8</v>
      </c>
      <c r="V23">
        <f t="shared" si="3"/>
        <v>7.4679996687001218E-2</v>
      </c>
      <c r="W23" s="71">
        <f t="shared" si="7"/>
        <v>-1899.9999999999998</v>
      </c>
      <c r="AA23">
        <v>19</v>
      </c>
      <c r="AB23">
        <v>1.002</v>
      </c>
    </row>
    <row r="24" spans="2:28" x14ac:dyDescent="0.25">
      <c r="B24" t="s">
        <v>16</v>
      </c>
      <c r="C24" s="75">
        <f>(C23-C21)/150</f>
        <v>3.2746667302834577E-2</v>
      </c>
      <c r="D24" t="s">
        <v>146</v>
      </c>
      <c r="F24" s="5" t="s">
        <v>8</v>
      </c>
      <c r="G24" s="11">
        <f>0.000000000000001*G22*G10</f>
        <v>2.6831924746576368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8"/>
        <v>19</v>
      </c>
      <c r="P24" s="13">
        <f t="shared" si="4"/>
        <v>-2.8162133880437739</v>
      </c>
      <c r="Q24" s="13">
        <f t="shared" si="0"/>
        <v>-0.28666666666666668</v>
      </c>
      <c r="R24" s="13">
        <f t="shared" si="5"/>
        <v>4.18</v>
      </c>
      <c r="S24">
        <f t="shared" si="1"/>
        <v>0.28666666666666668</v>
      </c>
      <c r="T24" s="8">
        <f t="shared" si="6"/>
        <v>8.3304477353580597E-2</v>
      </c>
      <c r="U24" s="8">
        <f t="shared" si="2"/>
        <v>2.3394134776670017E-8</v>
      </c>
      <c r="V24">
        <f t="shared" si="3"/>
        <v>8.3304477353580597E-2</v>
      </c>
      <c r="W24" s="71">
        <f t="shared" si="7"/>
        <v>-1866.6666666666667</v>
      </c>
      <c r="AA24">
        <v>20</v>
      </c>
      <c r="AB24">
        <v>1.002</v>
      </c>
    </row>
    <row r="25" spans="2:28" x14ac:dyDescent="0.25">
      <c r="B25" t="s">
        <v>17</v>
      </c>
      <c r="C25" s="75">
        <v>300</v>
      </c>
      <c r="E25">
        <f>G25*375/600</f>
        <v>17.301995296661023</v>
      </c>
      <c r="F25" s="5" t="s">
        <v>175</v>
      </c>
      <c r="G25" s="11">
        <f>C14+C15+C16</f>
        <v>27.683192474657638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8"/>
        <v>20</v>
      </c>
      <c r="P25" s="13">
        <f t="shared" si="4"/>
        <v>-2.7834667207409391</v>
      </c>
      <c r="Q25" s="13">
        <f t="shared" si="0"/>
        <v>-0.28333333333333333</v>
      </c>
      <c r="R25" s="13">
        <f t="shared" si="5"/>
        <v>4.4000000000000004</v>
      </c>
      <c r="S25">
        <f t="shared" si="1"/>
        <v>0.28333333333333333</v>
      </c>
      <c r="T25" s="8">
        <f t="shared" si="6"/>
        <v>9.3507786710374241E-2</v>
      </c>
      <c r="U25" s="8">
        <f t="shared" si="2"/>
        <v>3.0231837271609949E-8</v>
      </c>
      <c r="V25">
        <f t="shared" si="3"/>
        <v>9.3507786710374241E-2</v>
      </c>
      <c r="W25" s="71">
        <f t="shared" si="7"/>
        <v>-1833.3333333333333</v>
      </c>
      <c r="AA25">
        <v>21</v>
      </c>
      <c r="AB25">
        <v>1.002</v>
      </c>
    </row>
    <row r="26" spans="2:28" x14ac:dyDescent="0.25">
      <c r="B26" t="s">
        <v>18</v>
      </c>
      <c r="C26" s="75">
        <v>6</v>
      </c>
      <c r="E26" s="12"/>
      <c r="F26" s="5" t="s">
        <v>178</v>
      </c>
      <c r="G26" s="11">
        <f>G20*C18</f>
        <v>48.47496542098375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8"/>
        <v>21</v>
      </c>
      <c r="P26" s="13">
        <f t="shared" si="4"/>
        <v>-2.7507200534381044</v>
      </c>
      <c r="Q26" s="13">
        <f t="shared" si="0"/>
        <v>-0.27999999999999997</v>
      </c>
      <c r="R26" s="13">
        <f t="shared" si="5"/>
        <v>4.62</v>
      </c>
      <c r="S26">
        <f t="shared" si="1"/>
        <v>0.27999999999999997</v>
      </c>
      <c r="T26" s="8">
        <f t="shared" si="6"/>
        <v>0.10572423486108323</v>
      </c>
      <c r="U26" s="8">
        <f t="shared" si="2"/>
        <v>3.9068082233458138E-8</v>
      </c>
      <c r="V26">
        <f t="shared" si="3"/>
        <v>0.10572423486108323</v>
      </c>
      <c r="W26" s="71">
        <f t="shared" si="7"/>
        <v>-1799.9999999999995</v>
      </c>
      <c r="AA26">
        <v>22</v>
      </c>
      <c r="AB26">
        <v>1.002</v>
      </c>
    </row>
    <row r="27" spans="2:28" x14ac:dyDescent="0.25">
      <c r="B27" t="s">
        <v>19</v>
      </c>
      <c r="C27" s="75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73.555394207510602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8"/>
        <v>22</v>
      </c>
      <c r="P27" s="13">
        <f t="shared" si="4"/>
        <v>-2.7179733861352702</v>
      </c>
      <c r="Q27" s="13">
        <f t="shared" si="0"/>
        <v>-0.27666666666666667</v>
      </c>
      <c r="R27" s="13">
        <f t="shared" si="5"/>
        <v>4.84</v>
      </c>
      <c r="S27">
        <f t="shared" si="1"/>
        <v>0.27666666666666667</v>
      </c>
      <c r="T27" s="8">
        <f t="shared" si="6"/>
        <v>0.1204993130804273</v>
      </c>
      <c r="U27" s="8">
        <f t="shared" si="2"/>
        <v>5.0487009041431459E-8</v>
      </c>
      <c r="V27">
        <f t="shared" si="3"/>
        <v>0.1204993130804273</v>
      </c>
      <c r="W27" s="71">
        <f t="shared" si="7"/>
        <v>-1766.6666666666667</v>
      </c>
      <c r="AA27">
        <v>23</v>
      </c>
      <c r="AB27">
        <v>1.002</v>
      </c>
    </row>
    <row r="28" spans="2:28" x14ac:dyDescent="0.25">
      <c r="B28" t="s">
        <v>20</v>
      </c>
      <c r="C28" s="75">
        <v>20</v>
      </c>
      <c r="D28">
        <f>2.142311</f>
        <v>2.1423109999999999</v>
      </c>
      <c r="F28" s="5" t="s">
        <v>179</v>
      </c>
      <c r="G28" s="6">
        <f>G26*10000/G16</f>
        <v>128.80000000000004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8"/>
        <v>23</v>
      </c>
      <c r="P28" s="13">
        <f t="shared" si="4"/>
        <v>-2.6852267188324355</v>
      </c>
      <c r="Q28" s="13">
        <f t="shared" si="0"/>
        <v>-0.27333333333333332</v>
      </c>
      <c r="R28" s="13">
        <f t="shared" si="5"/>
        <v>5.0599999999999996</v>
      </c>
      <c r="S28">
        <f t="shared" si="1"/>
        <v>0.27333333333333332</v>
      </c>
      <c r="T28" s="8">
        <f t="shared" si="6"/>
        <v>0.13848837651815396</v>
      </c>
      <c r="U28" s="8">
        <f t="shared" si="2"/>
        <v>6.5243490838304618E-8</v>
      </c>
      <c r="V28">
        <f t="shared" si="3"/>
        <v>0.13848837651815396</v>
      </c>
      <c r="W28" s="71">
        <f t="shared" si="7"/>
        <v>-1733.333333333333</v>
      </c>
      <c r="AA28">
        <v>24</v>
      </c>
      <c r="AB28">
        <v>1.002</v>
      </c>
    </row>
    <row r="29" spans="2:28" x14ac:dyDescent="0.25">
      <c r="B29" t="s">
        <v>21</v>
      </c>
      <c r="C29" s="75">
        <v>100</v>
      </c>
      <c r="D29">
        <f>D27/D28</f>
        <v>1.0559008472626059</v>
      </c>
      <c r="E29">
        <f>C14/G29</f>
        <v>58.15497928096142</v>
      </c>
      <c r="F29" s="5" t="s">
        <v>177</v>
      </c>
      <c r="G29" s="3">
        <f>G25/C7</f>
        <v>4.6138654124429399E-2</v>
      </c>
      <c r="H29" s="3" t="s">
        <v>167</v>
      </c>
      <c r="I29"/>
      <c r="J29"/>
      <c r="K29" s="3"/>
      <c r="M29"/>
      <c r="O29" s="3">
        <f t="shared" si="8"/>
        <v>24</v>
      </c>
      <c r="P29" s="13">
        <f t="shared" si="4"/>
        <v>-2.6524800515296008</v>
      </c>
      <c r="Q29" s="13">
        <f t="shared" si="0"/>
        <v>-0.26999999999999996</v>
      </c>
      <c r="R29" s="13">
        <f t="shared" si="5"/>
        <v>5.28</v>
      </c>
      <c r="S29">
        <f t="shared" si="1"/>
        <v>0.26999999999999996</v>
      </c>
      <c r="T29" s="8">
        <f t="shared" si="6"/>
        <v>0.16042621689712758</v>
      </c>
      <c r="U29" s="8">
        <f t="shared" si="2"/>
        <v>8.4313036988896335E-8</v>
      </c>
      <c r="V29">
        <f t="shared" si="3"/>
        <v>0.16042621689712758</v>
      </c>
      <c r="W29" s="71">
        <f t="shared" si="7"/>
        <v>-1699.9999999999995</v>
      </c>
      <c r="AA29">
        <v>25</v>
      </c>
      <c r="AB29">
        <v>1.002</v>
      </c>
    </row>
    <row r="30" spans="2:28" x14ac:dyDescent="0.25">
      <c r="B30" t="s">
        <v>22</v>
      </c>
      <c r="C30" s="22">
        <f>G12</f>
        <v>4.7919443248187969E-2</v>
      </c>
      <c r="D30" t="s">
        <v>147</v>
      </c>
      <c r="F30" s="5" t="s">
        <v>180</v>
      </c>
      <c r="G30" s="6">
        <f>10000*G29/G16</f>
        <v>0.12259232367918434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8"/>
        <v>25</v>
      </c>
      <c r="P30" s="13">
        <f t="shared" si="4"/>
        <v>-2.619733384226766</v>
      </c>
      <c r="Q30" s="13">
        <f t="shared" si="0"/>
        <v>-0.26666666666666666</v>
      </c>
      <c r="R30" s="13">
        <f t="shared" si="5"/>
        <v>5.5</v>
      </c>
      <c r="S30">
        <f t="shared" si="1"/>
        <v>0.26666666666666666</v>
      </c>
      <c r="T30" s="8">
        <f t="shared" si="6"/>
        <v>0.18704820126894114</v>
      </c>
      <c r="U30" s="8">
        <f t="shared" si="2"/>
        <v>1.0895628111345401E-7</v>
      </c>
      <c r="V30">
        <f t="shared" si="3"/>
        <v>0.18704820126894114</v>
      </c>
      <c r="W30" s="71">
        <f t="shared" si="7"/>
        <v>-1666.6666666666665</v>
      </c>
      <c r="AA30">
        <v>26</v>
      </c>
      <c r="AB30">
        <v>1.002</v>
      </c>
    </row>
    <row r="31" spans="2:28" x14ac:dyDescent="0.25">
      <c r="B31" t="s">
        <v>23</v>
      </c>
      <c r="C31" s="75">
        <v>2</v>
      </c>
      <c r="D31">
        <f>D29^2</f>
        <v>1.1149265992498891</v>
      </c>
      <c r="E31" s="8">
        <f>C17/G31</f>
        <v>50</v>
      </c>
      <c r="F31" s="5" t="s">
        <v>182</v>
      </c>
      <c r="G31" s="3">
        <f>G26/C8</f>
        <v>0.12118741355245938</v>
      </c>
      <c r="H31" s="3" t="s">
        <v>167</v>
      </c>
      <c r="I31"/>
      <c r="J31"/>
      <c r="K31" s="3"/>
      <c r="M31"/>
      <c r="O31" s="3">
        <f t="shared" si="8"/>
        <v>26</v>
      </c>
      <c r="P31" s="13">
        <f t="shared" si="4"/>
        <v>-2.5869867169239318</v>
      </c>
      <c r="Q31" s="13">
        <f t="shared" si="0"/>
        <v>-0.26333333333333336</v>
      </c>
      <c r="R31" s="13">
        <f t="shared" si="5"/>
        <v>5.72</v>
      </c>
      <c r="S31">
        <f t="shared" si="1"/>
        <v>0.26333333333333336</v>
      </c>
      <c r="T31" s="8">
        <f t="shared" si="6"/>
        <v>0.21894607969832131</v>
      </c>
      <c r="U31" s="8">
        <f t="shared" si="2"/>
        <v>1.4080231777174771E-7</v>
      </c>
      <c r="V31">
        <f t="shared" si="3"/>
        <v>0.21894607969832131</v>
      </c>
      <c r="W31" s="71">
        <f t="shared" si="7"/>
        <v>-1633.3333333333335</v>
      </c>
      <c r="AA31">
        <v>27</v>
      </c>
      <c r="AB31">
        <v>1.002</v>
      </c>
    </row>
    <row r="32" spans="2:28" x14ac:dyDescent="0.25">
      <c r="B32" t="s">
        <v>24</v>
      </c>
      <c r="C32" s="75">
        <v>0.5</v>
      </c>
      <c r="D32">
        <f>D31*0.6</f>
        <v>0.66895595954993348</v>
      </c>
      <c r="F32" s="5" t="s">
        <v>183</v>
      </c>
      <c r="G32" s="6">
        <f>G31*10000/G16</f>
        <v>0.32200000000000012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8"/>
        <v>27</v>
      </c>
      <c r="P32" s="13">
        <f t="shared" si="4"/>
        <v>-2.5542400496210971</v>
      </c>
      <c r="Q32" s="13">
        <f t="shared" si="0"/>
        <v>-0.26</v>
      </c>
      <c r="R32" s="13">
        <f t="shared" si="5"/>
        <v>5.94</v>
      </c>
      <c r="S32">
        <f t="shared" si="1"/>
        <v>0.26</v>
      </c>
      <c r="T32" s="8">
        <f t="shared" si="6"/>
        <v>0.25635978297889894</v>
      </c>
      <c r="U32" s="8">
        <f t="shared" si="2"/>
        <v>1.8195639687279492E-7</v>
      </c>
      <c r="V32">
        <f t="shared" si="3"/>
        <v>0.25635978297889894</v>
      </c>
      <c r="W32" s="71">
        <f t="shared" si="7"/>
        <v>-1600</v>
      </c>
      <c r="AA32">
        <v>28</v>
      </c>
      <c r="AB32">
        <v>1.002</v>
      </c>
    </row>
    <row r="33" spans="2:28" x14ac:dyDescent="0.25">
      <c r="B33" t="s">
        <v>25</v>
      </c>
      <c r="C33" s="75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8"/>
        <v>28</v>
      </c>
      <c r="P33" s="13">
        <f t="shared" si="4"/>
        <v>-2.5214933823182624</v>
      </c>
      <c r="Q33" s="13">
        <f t="shared" si="0"/>
        <v>-0.25666666666666665</v>
      </c>
      <c r="R33" s="13">
        <f t="shared" si="5"/>
        <v>6.16</v>
      </c>
      <c r="S33">
        <f t="shared" si="1"/>
        <v>0.25666666666666665</v>
      </c>
      <c r="T33" s="8">
        <f t="shared" si="6"/>
        <v>0.2989466709460844</v>
      </c>
      <c r="U33" s="8">
        <f t="shared" si="2"/>
        <v>2.3513909505188513E-7</v>
      </c>
      <c r="V33">
        <f t="shared" si="3"/>
        <v>0.2989466709460844</v>
      </c>
      <c r="W33" s="71">
        <f t="shared" si="7"/>
        <v>-1566.6666666666665</v>
      </c>
      <c r="AA33">
        <v>29</v>
      </c>
      <c r="AB33">
        <v>1.002</v>
      </c>
    </row>
    <row r="34" spans="2:28" x14ac:dyDescent="0.25">
      <c r="B34" t="s">
        <v>26</v>
      </c>
      <c r="C34" s="75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8"/>
        <v>29</v>
      </c>
      <c r="P34" s="13">
        <f t="shared" si="4"/>
        <v>-2.4887467150154281</v>
      </c>
      <c r="Q34" s="13">
        <f t="shared" si="0"/>
        <v>-0.25333333333333335</v>
      </c>
      <c r="R34" s="13">
        <f t="shared" si="5"/>
        <v>6.38</v>
      </c>
      <c r="S34">
        <f t="shared" si="1"/>
        <v>0.25333333333333335</v>
      </c>
      <c r="T34" s="8">
        <f t="shared" si="6"/>
        <v>0.34562079900273246</v>
      </c>
      <c r="U34" s="8">
        <f t="shared" si="2"/>
        <v>3.0386616401986879E-7</v>
      </c>
      <c r="V34">
        <f t="shared" si="3"/>
        <v>0.34562079900273246</v>
      </c>
      <c r="W34" s="71">
        <f t="shared" si="7"/>
        <v>-1533.3333333333335</v>
      </c>
      <c r="AA34">
        <v>30</v>
      </c>
      <c r="AB34">
        <v>1.002</v>
      </c>
    </row>
    <row r="35" spans="2:28" x14ac:dyDescent="0.25">
      <c r="B35" t="s">
        <v>27</v>
      </c>
      <c r="C35" s="75">
        <v>3</v>
      </c>
      <c r="D35" t="s">
        <v>129</v>
      </c>
      <c r="F35" s="5" t="s">
        <v>187</v>
      </c>
      <c r="G35" s="13">
        <f>G22*G17*G17*0.000000000000000001*G33/(225.38*225.38)</f>
        <v>0.58361190764528992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8"/>
        <v>30</v>
      </c>
      <c r="P35" s="13">
        <f t="shared" si="4"/>
        <v>-2.4560000477125934</v>
      </c>
      <c r="Q35" s="13">
        <f t="shared" si="0"/>
        <v>-0.25</v>
      </c>
      <c r="R35" s="13">
        <f t="shared" si="5"/>
        <v>6.6</v>
      </c>
      <c r="S35">
        <f t="shared" si="1"/>
        <v>0.25</v>
      </c>
      <c r="T35" s="8">
        <f t="shared" si="6"/>
        <v>0.39457739523103913</v>
      </c>
      <c r="U35" s="8">
        <f t="shared" si="2"/>
        <v>3.9268094477834522E-7</v>
      </c>
      <c r="V35">
        <f t="shared" si="3"/>
        <v>0.39457739523103913</v>
      </c>
      <c r="W35" s="71">
        <f t="shared" si="7"/>
        <v>-1500</v>
      </c>
      <c r="AA35">
        <v>31</v>
      </c>
      <c r="AB35">
        <v>1.002</v>
      </c>
    </row>
    <row r="36" spans="2:28" x14ac:dyDescent="0.25">
      <c r="B36" t="s">
        <v>28</v>
      </c>
      <c r="C36" s="75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8"/>
        <v>31</v>
      </c>
      <c r="P36" s="13">
        <f t="shared" si="4"/>
        <v>-2.4232533804097587</v>
      </c>
      <c r="Q36" s="13">
        <f t="shared" si="0"/>
        <v>-0.24666666666666665</v>
      </c>
      <c r="R36" s="13">
        <f t="shared" si="5"/>
        <v>6.82</v>
      </c>
      <c r="S36">
        <f t="shared" si="1"/>
        <v>0.24666666666666665</v>
      </c>
      <c r="T36" s="8">
        <f t="shared" si="6"/>
        <v>0.44356384248842201</v>
      </c>
      <c r="U36" s="8">
        <f t="shared" si="2"/>
        <v>5.0745471132227989E-7</v>
      </c>
      <c r="V36">
        <f t="shared" si="3"/>
        <v>0.44356384248842201</v>
      </c>
      <c r="W36" s="71">
        <f t="shared" si="7"/>
        <v>-1466.6666666666663</v>
      </c>
      <c r="AA36">
        <v>32</v>
      </c>
      <c r="AB36">
        <v>1.002</v>
      </c>
    </row>
    <row r="37" spans="2:28" x14ac:dyDescent="0.25">
      <c r="B37" t="s">
        <v>29</v>
      </c>
      <c r="C37" s="75">
        <v>10</v>
      </c>
      <c r="F37" s="5" t="s">
        <v>192</v>
      </c>
      <c r="G37" s="6">
        <f>0.000000000000001*G36*G10</f>
        <v>11.2829204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8"/>
        <v>32</v>
      </c>
      <c r="P37" s="13">
        <f t="shared" si="4"/>
        <v>-2.390506713106924</v>
      </c>
      <c r="Q37" s="13">
        <f t="shared" si="0"/>
        <v>-0.24333333333333329</v>
      </c>
      <c r="R37" s="13">
        <f t="shared" si="5"/>
        <v>7.04</v>
      </c>
      <c r="S37">
        <f t="shared" si="1"/>
        <v>0.24333333333333329</v>
      </c>
      <c r="T37" s="8">
        <f t="shared" si="6"/>
        <v>0.49033083795197663</v>
      </c>
      <c r="U37" s="8">
        <f t="shared" si="2"/>
        <v>6.5577479765467524E-7</v>
      </c>
      <c r="V37">
        <f t="shared" si="3"/>
        <v>0.49033083795197663</v>
      </c>
      <c r="W37" s="71">
        <f t="shared" si="7"/>
        <v>-1433.3333333333328</v>
      </c>
      <c r="AA37">
        <v>33</v>
      </c>
      <c r="AB37">
        <v>1.002</v>
      </c>
    </row>
    <row r="38" spans="2:28" x14ac:dyDescent="0.25">
      <c r="B38" t="s">
        <v>30</v>
      </c>
      <c r="C38" s="75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8"/>
        <v>33</v>
      </c>
      <c r="P38" s="13">
        <f t="shared" si="4"/>
        <v>-2.3577600458040897</v>
      </c>
      <c r="Q38" s="13">
        <f t="shared" si="0"/>
        <v>-0.24</v>
      </c>
      <c r="R38" s="13">
        <f t="shared" si="5"/>
        <v>7.26</v>
      </c>
      <c r="S38">
        <f t="shared" si="1"/>
        <v>0.24</v>
      </c>
      <c r="T38" s="8">
        <f t="shared" si="6"/>
        <v>0.53308333394118357</v>
      </c>
      <c r="U38" s="8">
        <f t="shared" si="2"/>
        <v>8.474461643362096E-7</v>
      </c>
      <c r="V38">
        <f t="shared" si="3"/>
        <v>0.53308333394118357</v>
      </c>
      <c r="W38" s="71">
        <f t="shared" si="7"/>
        <v>-1399.9999999999998</v>
      </c>
      <c r="AA38">
        <v>34</v>
      </c>
      <c r="AB38">
        <v>1.002</v>
      </c>
    </row>
    <row r="39" spans="2:28" x14ac:dyDescent="0.25">
      <c r="B39" t="s">
        <v>31</v>
      </c>
      <c r="C39" s="75">
        <v>0.125</v>
      </c>
      <c r="F39" s="5" t="s">
        <v>194</v>
      </c>
      <c r="G39" s="6">
        <f>0.0001*G38*G16</f>
        <v>3.7635842718155077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8"/>
        <v>34</v>
      </c>
      <c r="P39" s="13">
        <f t="shared" si="4"/>
        <v>-2.325013378501255</v>
      </c>
      <c r="Q39" s="13">
        <f t="shared" si="0"/>
        <v>-0.23666666666666666</v>
      </c>
      <c r="R39" s="13">
        <f t="shared" si="5"/>
        <v>7.48</v>
      </c>
      <c r="S39">
        <f t="shared" si="1"/>
        <v>0.23666666666666666</v>
      </c>
      <c r="T39" s="8">
        <f t="shared" si="6"/>
        <v>0.57075088256080275</v>
      </c>
      <c r="U39" s="8">
        <f t="shared" si="2"/>
        <v>1.0951395587753581E-6</v>
      </c>
      <c r="V39">
        <f t="shared" si="3"/>
        <v>0.57075088256080275</v>
      </c>
      <c r="W39" s="71">
        <f t="shared" si="7"/>
        <v>-1366.6666666666665</v>
      </c>
      <c r="AA39">
        <v>35</v>
      </c>
      <c r="AB39">
        <v>1.002</v>
      </c>
    </row>
    <row r="40" spans="2:28" x14ac:dyDescent="0.25">
      <c r="B40" t="s">
        <v>32</v>
      </c>
      <c r="C40" s="75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8"/>
        <v>35</v>
      </c>
      <c r="P40" s="13">
        <f t="shared" si="4"/>
        <v>-2.2922667111984207</v>
      </c>
      <c r="Q40" s="13">
        <f t="shared" si="0"/>
        <v>-0.23333333333333336</v>
      </c>
      <c r="R40" s="13">
        <f t="shared" si="5"/>
        <v>7.7</v>
      </c>
      <c r="S40">
        <f t="shared" si="1"/>
        <v>0.23333333333333336</v>
      </c>
      <c r="T40" s="8">
        <f t="shared" si="6"/>
        <v>0.60301111079392955</v>
      </c>
      <c r="U40" s="8">
        <f t="shared" si="2"/>
        <v>1.4152291123820006E-6</v>
      </c>
      <c r="V40">
        <f t="shared" si="3"/>
        <v>0.60301111079392955</v>
      </c>
      <c r="W40" s="71">
        <f t="shared" si="7"/>
        <v>-1333.3333333333335</v>
      </c>
      <c r="AA40">
        <v>36</v>
      </c>
      <c r="AB40">
        <v>1.002</v>
      </c>
    </row>
    <row r="41" spans="2:28" x14ac:dyDescent="0.25">
      <c r="B41" t="s">
        <v>33</v>
      </c>
      <c r="C41" s="75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8"/>
        <v>36</v>
      </c>
      <c r="P41" s="13">
        <f t="shared" si="4"/>
        <v>-2.259520043895586</v>
      </c>
      <c r="Q41" s="13">
        <f t="shared" si="0"/>
        <v>-0.23</v>
      </c>
      <c r="R41" s="13">
        <f t="shared" si="5"/>
        <v>7.92</v>
      </c>
      <c r="S41">
        <f t="shared" si="1"/>
        <v>0.23</v>
      </c>
      <c r="T41" s="8">
        <f t="shared" si="6"/>
        <v>0.63012770432629905</v>
      </c>
      <c r="U41" s="8">
        <f t="shared" si="2"/>
        <v>1.8288747375335081E-6</v>
      </c>
      <c r="V41">
        <f t="shared" si="3"/>
        <v>0.63012770432629905</v>
      </c>
      <c r="W41" s="71">
        <f t="shared" si="7"/>
        <v>-1300</v>
      </c>
      <c r="AA41">
        <v>37</v>
      </c>
      <c r="AB41">
        <v>1.002</v>
      </c>
    </row>
    <row r="42" spans="2:28" x14ac:dyDescent="0.25">
      <c r="B42" t="s">
        <v>34</v>
      </c>
      <c r="C42" s="75">
        <v>1000</v>
      </c>
      <c r="F42" s="5" t="s">
        <v>201</v>
      </c>
      <c r="G42" s="6">
        <f>2*G41*G41*(0.5*PI()+C15-C89)/G19</f>
        <v>-6.6358476579840806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8"/>
        <v>37</v>
      </c>
      <c r="P42" s="13">
        <f t="shared" si="4"/>
        <v>-2.2267733765927513</v>
      </c>
      <c r="Q42" s="13">
        <f t="shared" si="0"/>
        <v>-0.22666666666666666</v>
      </c>
      <c r="R42" s="13">
        <f t="shared" si="5"/>
        <v>8.14</v>
      </c>
      <c r="S42">
        <f t="shared" si="1"/>
        <v>0.22666666666666666</v>
      </c>
      <c r="T42" s="8">
        <f t="shared" si="6"/>
        <v>0.65271819713940316</v>
      </c>
      <c r="U42" s="8">
        <f t="shared" si="2"/>
        <v>2.3634208647950556E-6</v>
      </c>
      <c r="V42">
        <f t="shared" si="3"/>
        <v>0.65271819713940316</v>
      </c>
      <c r="W42" s="71">
        <f t="shared" si="7"/>
        <v>-1266.6666666666665</v>
      </c>
      <c r="AA42">
        <v>38</v>
      </c>
      <c r="AB42">
        <v>1.002</v>
      </c>
    </row>
    <row r="43" spans="2:28" x14ac:dyDescent="0.25">
      <c r="B43" t="s">
        <v>35</v>
      </c>
      <c r="C43" s="75">
        <v>1</v>
      </c>
      <c r="F43" s="5" t="s">
        <v>203</v>
      </c>
      <c r="G43" s="6">
        <f>0.5*G41*G41*G13</f>
        <v>0.1258755479916287</v>
      </c>
      <c r="H43" s="3" t="s">
        <v>162</v>
      </c>
      <c r="I43"/>
      <c r="J43"/>
      <c r="K43" s="3"/>
      <c r="L43">
        <v>0.06</v>
      </c>
      <c r="M43"/>
      <c r="O43" s="3">
        <f t="shared" si="8"/>
        <v>38</v>
      </c>
      <c r="P43" s="13">
        <f t="shared" si="4"/>
        <v>-2.1940267092899166</v>
      </c>
      <c r="Q43" s="13">
        <f t="shared" si="0"/>
        <v>-0.2233333333333333</v>
      </c>
      <c r="R43" s="13">
        <f t="shared" si="5"/>
        <v>8.36</v>
      </c>
      <c r="S43">
        <f t="shared" si="1"/>
        <v>0.2233333333333333</v>
      </c>
      <c r="T43" s="8">
        <f t="shared" si="6"/>
        <v>0.67154424878116437</v>
      </c>
      <c r="U43" s="8">
        <f t="shared" si="2"/>
        <v>3.0542039639552486E-6</v>
      </c>
      <c r="V43">
        <f t="shared" si="3"/>
        <v>0.67154424878116437</v>
      </c>
      <c r="W43" s="71">
        <f t="shared" si="7"/>
        <v>-1233.333333333333</v>
      </c>
      <c r="AA43">
        <v>39</v>
      </c>
      <c r="AB43">
        <v>1.002</v>
      </c>
    </row>
    <row r="44" spans="2:28" x14ac:dyDescent="0.25">
      <c r="B44" t="s">
        <v>36</v>
      </c>
      <c r="C44" s="75">
        <v>1</v>
      </c>
      <c r="F44" s="5" t="s">
        <v>203</v>
      </c>
      <c r="G44" s="6">
        <f>G43/G18</f>
        <v>1.2366014074931557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8"/>
        <v>39</v>
      </c>
      <c r="P44" s="13">
        <f t="shared" si="4"/>
        <v>-2.1612800419870819</v>
      </c>
      <c r="Q44" s="13">
        <f t="shared" si="0"/>
        <v>-0.21999999999999997</v>
      </c>
      <c r="R44" s="13">
        <f t="shared" si="5"/>
        <v>8.58</v>
      </c>
      <c r="S44">
        <f t="shared" si="1"/>
        <v>0.21999999999999997</v>
      </c>
      <c r="T44" s="8">
        <f t="shared" si="6"/>
        <v>0.68736598182104158</v>
      </c>
      <c r="U44" s="8">
        <f t="shared" si="2"/>
        <v>3.9468883005428251E-6</v>
      </c>
      <c r="V44">
        <f t="shared" si="3"/>
        <v>0.68736598182104158</v>
      </c>
      <c r="W44" s="71">
        <f t="shared" si="7"/>
        <v>-1199.9999999999998</v>
      </c>
      <c r="AA44">
        <v>40</v>
      </c>
      <c r="AB44">
        <v>1.002</v>
      </c>
    </row>
    <row r="45" spans="2:28" x14ac:dyDescent="0.25">
      <c r="B45" t="s">
        <v>213</v>
      </c>
      <c r="C45" s="75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8"/>
        <v>40</v>
      </c>
      <c r="P45" s="13">
        <f t="shared" si="4"/>
        <v>-2.1285333746842476</v>
      </c>
      <c r="Q45" s="13">
        <f t="shared" si="0"/>
        <v>-0.21666666666666667</v>
      </c>
      <c r="R45" s="13">
        <f t="shared" si="5"/>
        <v>8.8000000000000007</v>
      </c>
      <c r="S45">
        <f t="shared" si="1"/>
        <v>0.21666666666666667</v>
      </c>
      <c r="T45" s="8">
        <f t="shared" si="6"/>
        <v>0.70086179899476075</v>
      </c>
      <c r="U45" s="8">
        <f t="shared" si="2"/>
        <v>5.100484273856577E-6</v>
      </c>
      <c r="V45">
        <f t="shared" si="3"/>
        <v>0.70086179899476075</v>
      </c>
      <c r="W45" s="71">
        <f t="shared" si="7"/>
        <v>-1166.6666666666667</v>
      </c>
      <c r="AA45">
        <v>41</v>
      </c>
      <c r="AB45">
        <v>1.002</v>
      </c>
    </row>
    <row r="46" spans="2:28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1.2366014074931559</v>
      </c>
      <c r="H46" s="3"/>
      <c r="I46"/>
      <c r="J46"/>
      <c r="K46" s="3"/>
      <c r="M46"/>
      <c r="O46" s="3">
        <f t="shared" si="8"/>
        <v>41</v>
      </c>
      <c r="P46" s="13">
        <f t="shared" si="4"/>
        <v>-2.0957867073814129</v>
      </c>
      <c r="Q46" s="13">
        <f t="shared" si="0"/>
        <v>-0.21333333333333332</v>
      </c>
      <c r="R46" s="13">
        <f t="shared" si="5"/>
        <v>9.02</v>
      </c>
      <c r="S46">
        <f t="shared" si="1"/>
        <v>0.21333333333333332</v>
      </c>
      <c r="T46" s="8">
        <f t="shared" si="6"/>
        <v>0.712596858946694</v>
      </c>
      <c r="U46" s="8">
        <f t="shared" si="2"/>
        <v>6.5912487630005375E-6</v>
      </c>
      <c r="V46">
        <f t="shared" si="3"/>
        <v>0.712596858946694</v>
      </c>
      <c r="W46" s="71">
        <f t="shared" si="7"/>
        <v>-1133.333333333333</v>
      </c>
      <c r="AA46">
        <v>42</v>
      </c>
      <c r="AB46">
        <v>1.002</v>
      </c>
    </row>
    <row r="47" spans="2:28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8"/>
        <v>42</v>
      </c>
      <c r="P47" s="13">
        <f t="shared" si="4"/>
        <v>-2.0630400400785787</v>
      </c>
      <c r="Q47" s="13">
        <f t="shared" si="0"/>
        <v>-0.21000000000000002</v>
      </c>
      <c r="R47" s="13">
        <f t="shared" si="5"/>
        <v>9.24</v>
      </c>
      <c r="S47">
        <f t="shared" si="1"/>
        <v>0.21000000000000002</v>
      </c>
      <c r="T47" s="8">
        <f t="shared" si="6"/>
        <v>0.72302093499827957</v>
      </c>
      <c r="U47" s="8">
        <f t="shared" si="2"/>
        <v>8.5177251425285279E-6</v>
      </c>
      <c r="V47">
        <f t="shared" si="3"/>
        <v>0.72302093499827957</v>
      </c>
      <c r="W47" s="71">
        <f t="shared" si="7"/>
        <v>-1100.0000000000002</v>
      </c>
      <c r="AA47">
        <v>43</v>
      </c>
      <c r="AB47">
        <v>1.002</v>
      </c>
    </row>
    <row r="48" spans="2:28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8"/>
        <v>43</v>
      </c>
      <c r="P48" s="13">
        <f t="shared" si="4"/>
        <v>-2.030293372775744</v>
      </c>
      <c r="Q48" s="13">
        <f t="shared" si="0"/>
        <v>-0.20666666666666667</v>
      </c>
      <c r="R48" s="13">
        <f t="shared" si="5"/>
        <v>9.4600000000000009</v>
      </c>
      <c r="S48">
        <f t="shared" si="1"/>
        <v>0.20666666666666667</v>
      </c>
      <c r="T48" s="8">
        <f t="shared" si="6"/>
        <v>0.73248077197051642</v>
      </c>
      <c r="U48" s="8">
        <f t="shared" si="2"/>
        <v>1.1007255849483228E-5</v>
      </c>
      <c r="V48">
        <f t="shared" si="3"/>
        <v>0.73248077197051642</v>
      </c>
      <c r="W48" s="71">
        <f t="shared" si="7"/>
        <v>-1066.6666666666665</v>
      </c>
      <c r="AA48">
        <v>44</v>
      </c>
      <c r="AB48">
        <v>1.002</v>
      </c>
    </row>
    <row r="49" spans="1:28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8"/>
        <v>44</v>
      </c>
      <c r="P49" s="13">
        <f t="shared" si="4"/>
        <v>-1.9975467054729092</v>
      </c>
      <c r="Q49" s="13">
        <f t="shared" si="0"/>
        <v>-0.20333333333333334</v>
      </c>
      <c r="R49" s="13">
        <f t="shared" si="5"/>
        <v>9.68</v>
      </c>
      <c r="S49">
        <f t="shared" si="1"/>
        <v>0.20333333333333334</v>
      </c>
      <c r="T49" s="8">
        <f t="shared" si="6"/>
        <v>0.74123757718070671</v>
      </c>
      <c r="U49" s="8">
        <f t="shared" si="2"/>
        <v>1.4224397529158669E-5</v>
      </c>
      <c r="V49">
        <f t="shared" si="3"/>
        <v>0.74123757718070671</v>
      </c>
      <c r="W49" s="71">
        <f t="shared" si="7"/>
        <v>-1033.3333333333333</v>
      </c>
      <c r="AA49">
        <v>45</v>
      </c>
      <c r="AB49">
        <v>1.002</v>
      </c>
    </row>
    <row r="50" spans="1:28" x14ac:dyDescent="0.25">
      <c r="B50" t="s">
        <v>37</v>
      </c>
      <c r="C50" s="75">
        <v>0</v>
      </c>
      <c r="F50" s="5"/>
      <c r="G50" s="3"/>
      <c r="H50" s="3"/>
      <c r="I50"/>
      <c r="J50"/>
      <c r="K50" s="3"/>
      <c r="M50"/>
      <c r="O50" s="3">
        <f t="shared" si="8"/>
        <v>45</v>
      </c>
      <c r="P50" s="13">
        <f t="shared" si="4"/>
        <v>-1.9648000381700748</v>
      </c>
      <c r="Q50" s="13">
        <f t="shared" si="0"/>
        <v>-0.2</v>
      </c>
      <c r="R50" s="13">
        <f t="shared" si="5"/>
        <v>9.9</v>
      </c>
      <c r="S50">
        <f t="shared" si="1"/>
        <v>0.2</v>
      </c>
      <c r="T50" s="8">
        <f t="shared" si="6"/>
        <v>0.74948462824224882</v>
      </c>
      <c r="U50" s="8">
        <f t="shared" si="2"/>
        <v>1.8381794225912067E-5</v>
      </c>
      <c r="V50">
        <f t="shared" si="3"/>
        <v>0.74948462824224882</v>
      </c>
      <c r="W50" s="71">
        <f t="shared" si="7"/>
        <v>-1000</v>
      </c>
      <c r="AA50">
        <v>46</v>
      </c>
      <c r="AB50">
        <v>1.002</v>
      </c>
    </row>
    <row r="51" spans="1:28" x14ac:dyDescent="0.25">
      <c r="B51" t="s">
        <v>38</v>
      </c>
      <c r="C51" s="75">
        <v>1000000000</v>
      </c>
      <c r="F51" s="5"/>
      <c r="G51" s="3"/>
      <c r="H51" s="3"/>
      <c r="I51"/>
      <c r="J51"/>
      <c r="K51" s="3"/>
      <c r="M51"/>
      <c r="O51" s="3">
        <f t="shared" si="8"/>
        <v>46</v>
      </c>
      <c r="P51" s="13">
        <f t="shared" si="4"/>
        <v>-1.93205337086724</v>
      </c>
      <c r="Q51" s="13">
        <f t="shared" si="0"/>
        <v>-0.19666666666666666</v>
      </c>
      <c r="R51" s="13">
        <f t="shared" si="5"/>
        <v>10.119999999999999</v>
      </c>
      <c r="S51">
        <f t="shared" si="1"/>
        <v>0.19666666666666666</v>
      </c>
      <c r="T51" s="8">
        <f t="shared" si="6"/>
        <v>0.7573627660995581</v>
      </c>
      <c r="U51" s="8">
        <f t="shared" si="2"/>
        <v>2.3754226020171115E-5</v>
      </c>
      <c r="V51">
        <f t="shared" si="3"/>
        <v>0.7573627660995581</v>
      </c>
      <c r="W51" s="71">
        <f t="shared" si="7"/>
        <v>-966.66666666666652</v>
      </c>
      <c r="AA51">
        <v>47</v>
      </c>
      <c r="AB51">
        <v>1.002</v>
      </c>
    </row>
    <row r="52" spans="1:28" x14ac:dyDescent="0.25">
      <c r="B52" t="s">
        <v>39</v>
      </c>
      <c r="C52" s="75">
        <v>0</v>
      </c>
      <c r="F52" s="5"/>
      <c r="G52" s="3"/>
      <c r="H52" s="3"/>
      <c r="I52"/>
      <c r="J52"/>
      <c r="K52" s="3"/>
      <c r="M52"/>
      <c r="O52" s="3">
        <f t="shared" si="8"/>
        <v>47</v>
      </c>
      <c r="P52" s="13">
        <f t="shared" si="4"/>
        <v>-1.8993067035644056</v>
      </c>
      <c r="Q52" s="13">
        <f t="shared" si="0"/>
        <v>-0.19333333333333333</v>
      </c>
      <c r="R52" s="13">
        <f t="shared" si="5"/>
        <v>10.34</v>
      </c>
      <c r="S52">
        <f t="shared" si="1"/>
        <v>0.19333333333333333</v>
      </c>
      <c r="T52" s="8">
        <f t="shared" si="6"/>
        <v>0.76497309377768552</v>
      </c>
      <c r="U52" s="8">
        <f t="shared" si="2"/>
        <v>3.0696759498151408E-5</v>
      </c>
      <c r="V52">
        <f t="shared" si="3"/>
        <v>0.76497309377768552</v>
      </c>
      <c r="W52" s="71">
        <f t="shared" si="7"/>
        <v>-933.33333333333326</v>
      </c>
      <c r="AA52">
        <v>48</v>
      </c>
      <c r="AB52">
        <v>1.002</v>
      </c>
    </row>
    <row r="53" spans="1:28" x14ac:dyDescent="0.25">
      <c r="B53" t="s">
        <v>40</v>
      </c>
      <c r="C53" s="75">
        <v>0.75</v>
      </c>
      <c r="F53" s="5"/>
      <c r="G53" s="7"/>
      <c r="H53" s="3"/>
      <c r="I53"/>
      <c r="J53"/>
      <c r="K53" s="3"/>
      <c r="M53"/>
      <c r="O53" s="3">
        <f t="shared" si="8"/>
        <v>48</v>
      </c>
      <c r="P53" s="13">
        <f t="shared" si="4"/>
        <v>-1.8665600362615709</v>
      </c>
      <c r="Q53" s="13">
        <f t="shared" si="0"/>
        <v>-0.18999999999999997</v>
      </c>
      <c r="R53" s="13">
        <f t="shared" si="5"/>
        <v>10.56</v>
      </c>
      <c r="S53">
        <f t="shared" si="1"/>
        <v>0.18999999999999997</v>
      </c>
      <c r="T53" s="8">
        <f t="shared" si="6"/>
        <v>0.77238695766961363</v>
      </c>
      <c r="U53" s="8">
        <f t="shared" si="2"/>
        <v>3.9668196041189948E-5</v>
      </c>
      <c r="V53">
        <f t="shared" si="3"/>
        <v>0.77238695766961363</v>
      </c>
      <c r="W53" s="71">
        <f t="shared" si="7"/>
        <v>-899.99999999999966</v>
      </c>
      <c r="AA53">
        <v>49</v>
      </c>
      <c r="AB53">
        <v>1.002</v>
      </c>
    </row>
    <row r="54" spans="1:28" x14ac:dyDescent="0.25">
      <c r="B54" t="s">
        <v>41</v>
      </c>
      <c r="C54" s="75">
        <v>0</v>
      </c>
      <c r="F54" s="5"/>
      <c r="G54" s="7"/>
      <c r="H54" s="3"/>
      <c r="I54"/>
      <c r="J54"/>
      <c r="K54" s="3"/>
      <c r="M54"/>
      <c r="O54" s="3">
        <f t="shared" si="8"/>
        <v>49</v>
      </c>
      <c r="P54" s="13">
        <f t="shared" si="4"/>
        <v>-1.8338133689587364</v>
      </c>
      <c r="Q54" s="13">
        <f t="shared" si="0"/>
        <v>-0.18666666666666665</v>
      </c>
      <c r="R54" s="13">
        <f t="shared" si="5"/>
        <v>10.78</v>
      </c>
      <c r="S54">
        <f t="shared" si="1"/>
        <v>0.18666666666666665</v>
      </c>
      <c r="T54" s="8">
        <f t="shared" si="6"/>
        <v>0.77965359238356491</v>
      </c>
      <c r="U54" s="8">
        <f t="shared" si="2"/>
        <v>5.126136154063491E-5</v>
      </c>
      <c r="V54">
        <f t="shared" si="3"/>
        <v>0.77965359238356491</v>
      </c>
      <c r="W54" s="71">
        <f t="shared" si="7"/>
        <v>-866.6666666666664</v>
      </c>
      <c r="AA54">
        <v>50</v>
      </c>
      <c r="AB54">
        <v>1.002</v>
      </c>
    </row>
    <row r="55" spans="1:28" x14ac:dyDescent="0.25">
      <c r="B55" t="s">
        <v>42</v>
      </c>
      <c r="C55" s="75">
        <v>2.25</v>
      </c>
      <c r="F55" s="5"/>
      <c r="G55" s="7"/>
      <c r="H55" s="3"/>
      <c r="I55"/>
      <c r="J55"/>
      <c r="K55" s="3"/>
      <c r="M55"/>
      <c r="O55" s="3">
        <f t="shared" si="8"/>
        <v>50</v>
      </c>
      <c r="P55" s="13">
        <f t="shared" si="4"/>
        <v>-1.8010667016559019</v>
      </c>
      <c r="Q55" s="13">
        <f t="shared" si="0"/>
        <v>-0.18333333333333335</v>
      </c>
      <c r="R55" s="13">
        <f t="shared" si="5"/>
        <v>11</v>
      </c>
      <c r="S55">
        <f t="shared" si="1"/>
        <v>0.18333333333333335</v>
      </c>
      <c r="T55" s="8">
        <f t="shared" si="6"/>
        <v>0.78680588346927904</v>
      </c>
      <c r="U55" s="8">
        <f t="shared" si="2"/>
        <v>6.6242229062913284E-5</v>
      </c>
      <c r="V55">
        <f t="shared" si="3"/>
        <v>0.78680588346927904</v>
      </c>
      <c r="W55" s="71">
        <f t="shared" si="7"/>
        <v>-833.33333333333337</v>
      </c>
      <c r="AA55">
        <v>51</v>
      </c>
      <c r="AB55">
        <v>1.002</v>
      </c>
    </row>
    <row r="56" spans="1:28" x14ac:dyDescent="0.25">
      <c r="A56" t="s">
        <v>43</v>
      </c>
      <c r="C56" s="75"/>
      <c r="F56" s="5"/>
      <c r="G56" s="3"/>
      <c r="H56" s="3"/>
      <c r="I56"/>
      <c r="J56"/>
      <c r="K56" s="3"/>
      <c r="M56"/>
      <c r="O56" s="3">
        <f t="shared" si="8"/>
        <v>51</v>
      </c>
      <c r="P56" s="13">
        <f t="shared" si="4"/>
        <v>-1.7683200343530672</v>
      </c>
      <c r="Q56" s="13">
        <f t="shared" si="0"/>
        <v>-0.18</v>
      </c>
      <c r="R56" s="13">
        <f t="shared" si="5"/>
        <v>11.22</v>
      </c>
      <c r="S56">
        <f t="shared" si="1"/>
        <v>0.18</v>
      </c>
      <c r="T56" s="8">
        <f t="shared" si="6"/>
        <v>0.79386467163752483</v>
      </c>
      <c r="U56" s="8">
        <f t="shared" si="2"/>
        <v>8.5600442651804067E-5</v>
      </c>
      <c r="V56">
        <f t="shared" si="3"/>
        <v>0.79386467163752483</v>
      </c>
      <c r="W56" s="71">
        <f t="shared" si="7"/>
        <v>-799.99999999999989</v>
      </c>
      <c r="AA56">
        <v>52</v>
      </c>
      <c r="AB56">
        <v>1.002</v>
      </c>
    </row>
    <row r="57" spans="1:28" x14ac:dyDescent="0.25">
      <c r="C57" s="75"/>
      <c r="F57" s="5"/>
      <c r="G57" s="3"/>
      <c r="H57" s="3"/>
      <c r="I57"/>
      <c r="J57"/>
      <c r="K57" s="3"/>
      <c r="M57"/>
      <c r="O57" s="3">
        <f t="shared" si="8"/>
        <v>52</v>
      </c>
      <c r="P57" s="13">
        <f t="shared" si="4"/>
        <v>-1.7355733670502327</v>
      </c>
      <c r="Q57" s="13">
        <f t="shared" si="0"/>
        <v>-0.17666666666666667</v>
      </c>
      <c r="R57" s="13">
        <f t="shared" si="5"/>
        <v>11.44</v>
      </c>
      <c r="S57">
        <f t="shared" si="1"/>
        <v>0.17666666666666667</v>
      </c>
      <c r="T57" s="8">
        <f t="shared" si="6"/>
        <v>0.80084195392396629</v>
      </c>
      <c r="U57" s="8">
        <f t="shared" si="2"/>
        <v>1.1061455203652224E-4</v>
      </c>
      <c r="V57">
        <f t="shared" si="3"/>
        <v>0.80084195392396629</v>
      </c>
      <c r="W57" s="71">
        <f t="shared" si="7"/>
        <v>-766.66666666666663</v>
      </c>
      <c r="AA57">
        <v>53</v>
      </c>
      <c r="AB57">
        <v>1.002</v>
      </c>
    </row>
    <row r="58" spans="1:28" x14ac:dyDescent="0.25">
      <c r="A58" t="s">
        <v>44</v>
      </c>
      <c r="C58" s="75"/>
      <c r="F58" s="5"/>
      <c r="G58" s="3"/>
      <c r="H58" s="3"/>
      <c r="I58"/>
      <c r="J58"/>
      <c r="K58" s="3"/>
      <c r="M58"/>
      <c r="O58" s="3">
        <f t="shared" si="8"/>
        <v>53</v>
      </c>
      <c r="P58" s="13">
        <f t="shared" si="4"/>
        <v>-1.702826699747398</v>
      </c>
      <c r="Q58" s="13">
        <f t="shared" si="0"/>
        <v>-0.17333333333333331</v>
      </c>
      <c r="R58" s="13">
        <f t="shared" si="5"/>
        <v>11.66</v>
      </c>
      <c r="S58">
        <f t="shared" si="1"/>
        <v>0.17333333333333331</v>
      </c>
      <c r="T58" s="8">
        <f t="shared" si="6"/>
        <v>0.8077432634353412</v>
      </c>
      <c r="U58" s="8">
        <f t="shared" si="2"/>
        <v>1.4293622029338632E-4</v>
      </c>
      <c r="V58">
        <f t="shared" si="3"/>
        <v>0.8077432634353412</v>
      </c>
      <c r="W58" s="71">
        <f t="shared" si="7"/>
        <v>-733.33333333333303</v>
      </c>
      <c r="AA58">
        <v>54</v>
      </c>
      <c r="AB58">
        <v>1.002</v>
      </c>
    </row>
    <row r="59" spans="1:28" x14ac:dyDescent="0.25">
      <c r="B59" t="s">
        <v>45</v>
      </c>
      <c r="C59" s="75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8"/>
        <v>54</v>
      </c>
      <c r="P59" s="13">
        <f t="shared" si="4"/>
        <v>-1.6700800324445635</v>
      </c>
      <c r="Q59" s="13">
        <f t="shared" si="0"/>
        <v>-0.16999999999999998</v>
      </c>
      <c r="R59" s="13">
        <f t="shared" si="5"/>
        <v>11.88</v>
      </c>
      <c r="S59">
        <f t="shared" si="1"/>
        <v>0.16999999999999998</v>
      </c>
      <c r="T59" s="8">
        <f t="shared" si="6"/>
        <v>0.81456944316482582</v>
      </c>
      <c r="U59" s="8">
        <f t="shared" si="2"/>
        <v>1.846988870277981E-4</v>
      </c>
      <c r="V59">
        <f t="shared" si="3"/>
        <v>0.81456944316482582</v>
      </c>
      <c r="W59" s="71">
        <f t="shared" si="7"/>
        <v>-699.99999999999977</v>
      </c>
      <c r="AA59">
        <v>55</v>
      </c>
      <c r="AB59">
        <v>1.002</v>
      </c>
    </row>
    <row r="60" spans="1:28" x14ac:dyDescent="0.25">
      <c r="B60" t="s">
        <v>210</v>
      </c>
      <c r="C60" s="75" t="s">
        <v>47</v>
      </c>
      <c r="F60" s="5"/>
      <c r="G60" s="3"/>
      <c r="H60" s="3"/>
      <c r="I60"/>
      <c r="J60"/>
      <c r="K60" s="3"/>
      <c r="M60"/>
      <c r="O60" s="3">
        <f t="shared" si="8"/>
        <v>55</v>
      </c>
      <c r="P60" s="13">
        <f t="shared" si="4"/>
        <v>-1.637333365141729</v>
      </c>
      <c r="Q60" s="13">
        <f t="shared" si="0"/>
        <v>-0.16666666666666669</v>
      </c>
      <c r="R60" s="13">
        <f t="shared" si="5"/>
        <v>12.1</v>
      </c>
      <c r="S60">
        <f t="shared" si="1"/>
        <v>0.16666666666666669</v>
      </c>
      <c r="T60" s="8">
        <f t="shared" si="6"/>
        <v>0.82131797503039983</v>
      </c>
      <c r="U60" s="8">
        <f t="shared" si="2"/>
        <v>2.3865793007286833E-4</v>
      </c>
      <c r="V60">
        <f t="shared" si="3"/>
        <v>0.82131797503039983</v>
      </c>
      <c r="W60" s="71">
        <f t="shared" si="7"/>
        <v>-666.66666666666674</v>
      </c>
      <c r="AA60">
        <v>56</v>
      </c>
      <c r="AB60">
        <v>1.002</v>
      </c>
    </row>
    <row r="61" spans="1:28" x14ac:dyDescent="0.25">
      <c r="B61" t="s">
        <v>48</v>
      </c>
      <c r="C61" s="75" t="s">
        <v>46</v>
      </c>
      <c r="F61" s="5"/>
      <c r="G61" s="3"/>
      <c r="H61" s="3"/>
      <c r="I61"/>
      <c r="J61"/>
      <c r="K61" s="3"/>
      <c r="M61"/>
      <c r="O61" s="3">
        <f t="shared" si="8"/>
        <v>56</v>
      </c>
      <c r="P61" s="13">
        <f t="shared" si="4"/>
        <v>-1.6045866978388943</v>
      </c>
      <c r="Q61" s="13">
        <f t="shared" si="0"/>
        <v>-0.16333333333333333</v>
      </c>
      <c r="R61" s="13">
        <f t="shared" si="5"/>
        <v>12.32</v>
      </c>
      <c r="S61">
        <f t="shared" si="1"/>
        <v>0.16333333333333333</v>
      </c>
      <c r="T61" s="8">
        <f t="shared" si="6"/>
        <v>0.82798398279307606</v>
      </c>
      <c r="U61" s="8">
        <f t="shared" si="2"/>
        <v>3.0837135718789763E-4</v>
      </c>
      <c r="V61">
        <f t="shared" si="3"/>
        <v>0.82798398279307606</v>
      </c>
      <c r="W61" s="71">
        <f t="shared" si="7"/>
        <v>-633.33333333333326</v>
      </c>
      <c r="AA61">
        <v>57</v>
      </c>
      <c r="AB61">
        <v>1.002</v>
      </c>
    </row>
    <row r="62" spans="1:28" x14ac:dyDescent="0.25">
      <c r="B62" t="s">
        <v>214</v>
      </c>
      <c r="C62" s="75">
        <v>4</v>
      </c>
      <c r="F62" s="5"/>
      <c r="G62" s="3"/>
      <c r="H62" s="3"/>
      <c r="I62"/>
      <c r="J62"/>
      <c r="K62" s="3"/>
      <c r="M62"/>
      <c r="O62" s="3">
        <f t="shared" si="8"/>
        <v>57</v>
      </c>
      <c r="P62" s="13">
        <f t="shared" si="4"/>
        <v>-1.5718400305360598</v>
      </c>
      <c r="Q62" s="13">
        <f t="shared" si="0"/>
        <v>-0.16</v>
      </c>
      <c r="R62" s="13">
        <f t="shared" si="5"/>
        <v>12.540000000000001</v>
      </c>
      <c r="S62">
        <f t="shared" si="1"/>
        <v>0.16</v>
      </c>
      <c r="T62" s="8">
        <f t="shared" si="6"/>
        <v>0.83456099527054906</v>
      </c>
      <c r="U62" s="8">
        <f t="shared" si="2"/>
        <v>3.9843258226931045E-4</v>
      </c>
      <c r="V62">
        <f t="shared" si="3"/>
        <v>0.83456099527054906</v>
      </c>
      <c r="W62" s="71">
        <f t="shared" si="7"/>
        <v>-600</v>
      </c>
      <c r="AA62">
        <v>58</v>
      </c>
      <c r="AB62">
        <v>1.002</v>
      </c>
    </row>
    <row r="63" spans="1:28" x14ac:dyDescent="0.25">
      <c r="B63" t="s">
        <v>49</v>
      </c>
      <c r="C63" s="75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8"/>
        <v>58</v>
      </c>
      <c r="P63" s="13">
        <f t="shared" si="4"/>
        <v>-1.5390933632332251</v>
      </c>
      <c r="Q63" s="13">
        <f t="shared" si="0"/>
        <v>-0.15666666666666665</v>
      </c>
      <c r="R63" s="13">
        <f t="shared" si="5"/>
        <v>12.76</v>
      </c>
      <c r="S63">
        <f t="shared" si="1"/>
        <v>0.15666666666666665</v>
      </c>
      <c r="T63" s="8">
        <f t="shared" si="6"/>
        <v>0.84104153229739576</v>
      </c>
      <c r="U63" s="8">
        <f t="shared" si="2"/>
        <v>5.1477002346049538E-4</v>
      </c>
      <c r="V63">
        <f t="shared" si="3"/>
        <v>0.84104153229739576</v>
      </c>
      <c r="W63" s="71">
        <f t="shared" si="7"/>
        <v>-566.6666666666664</v>
      </c>
      <c r="AA63">
        <v>59</v>
      </c>
      <c r="AB63">
        <v>1.002</v>
      </c>
    </row>
    <row r="64" spans="1:28" x14ac:dyDescent="0.25">
      <c r="B64" t="s">
        <v>50</v>
      </c>
      <c r="C64" s="75" t="s">
        <v>46</v>
      </c>
      <c r="F64" s="5"/>
      <c r="G64" s="3"/>
      <c r="H64" s="3"/>
      <c r="I64"/>
      <c r="J64"/>
      <c r="K64" s="3"/>
      <c r="M64"/>
      <c r="O64" s="3">
        <f t="shared" si="8"/>
        <v>59</v>
      </c>
      <c r="P64" s="13">
        <f t="shared" si="4"/>
        <v>-1.5063466959303906</v>
      </c>
      <c r="Q64" s="13">
        <f t="shared" si="0"/>
        <v>-0.15333333333333332</v>
      </c>
      <c r="R64" s="13">
        <f t="shared" si="5"/>
        <v>12.98</v>
      </c>
      <c r="S64">
        <f t="shared" si="1"/>
        <v>0.15333333333333332</v>
      </c>
      <c r="T64" s="8">
        <f t="shared" si="6"/>
        <v>0.84741755833194887</v>
      </c>
      <c r="U64" s="8">
        <f t="shared" si="2"/>
        <v>6.6503224483852768E-4</v>
      </c>
      <c r="V64">
        <f t="shared" si="3"/>
        <v>0.84741755833194887</v>
      </c>
      <c r="W64" s="71">
        <f t="shared" si="7"/>
        <v>-533.33333333333314</v>
      </c>
      <c r="AA64">
        <v>60</v>
      </c>
      <c r="AB64">
        <v>1.002</v>
      </c>
    </row>
    <row r="65" spans="1:28" x14ac:dyDescent="0.25">
      <c r="B65" t="s">
        <v>51</v>
      </c>
      <c r="C65" s="75" t="s">
        <v>46</v>
      </c>
      <c r="F65" s="5"/>
      <c r="G65" s="3"/>
      <c r="H65" s="3"/>
      <c r="I65"/>
      <c r="J65"/>
      <c r="K65" s="3"/>
      <c r="M65"/>
      <c r="O65" s="3">
        <f t="shared" si="8"/>
        <v>60</v>
      </c>
      <c r="P65" s="13">
        <f t="shared" si="4"/>
        <v>-1.4736000286275561</v>
      </c>
      <c r="Q65" s="13">
        <f t="shared" si="0"/>
        <v>-0.15</v>
      </c>
      <c r="R65" s="13">
        <f t="shared" si="5"/>
        <v>13.2</v>
      </c>
      <c r="S65">
        <f t="shared" si="1"/>
        <v>0.15</v>
      </c>
      <c r="T65" s="8">
        <f t="shared" si="6"/>
        <v>0.85368083590304733</v>
      </c>
      <c r="U65" s="8">
        <f t="shared" si="2"/>
        <v>8.5908229845959715E-4</v>
      </c>
      <c r="V65">
        <f t="shared" si="3"/>
        <v>0.85368083590304733</v>
      </c>
      <c r="W65" s="71">
        <f t="shared" si="7"/>
        <v>-499.99999999999989</v>
      </c>
      <c r="AA65">
        <v>61</v>
      </c>
      <c r="AB65">
        <v>1.002</v>
      </c>
    </row>
    <row r="66" spans="1:28" x14ac:dyDescent="0.25">
      <c r="B66" t="s">
        <v>52</v>
      </c>
      <c r="C66" s="75" t="s">
        <v>47</v>
      </c>
      <c r="F66" s="5"/>
      <c r="G66" s="3"/>
      <c r="H66" s="3"/>
      <c r="I66"/>
      <c r="J66"/>
      <c r="K66" s="3"/>
      <c r="M66"/>
      <c r="O66" s="3">
        <f t="shared" si="8"/>
        <v>61</v>
      </c>
      <c r="P66" s="13">
        <f t="shared" si="4"/>
        <v>-1.4408533613247214</v>
      </c>
      <c r="Q66" s="13">
        <f t="shared" si="0"/>
        <v>-0.14666666666666667</v>
      </c>
      <c r="R66" s="13">
        <f t="shared" si="5"/>
        <v>13.42</v>
      </c>
      <c r="S66">
        <f t="shared" si="1"/>
        <v>0.14666666666666667</v>
      </c>
      <c r="T66" s="8">
        <f t="shared" si="6"/>
        <v>0.85982320197940132</v>
      </c>
      <c r="U66" s="8">
        <f t="shared" si="2"/>
        <v>1.1096309474006659E-3</v>
      </c>
      <c r="V66">
        <f t="shared" si="3"/>
        <v>0.85982320197940132</v>
      </c>
      <c r="W66" s="71">
        <f t="shared" si="7"/>
        <v>-466.66666666666663</v>
      </c>
      <c r="AA66">
        <v>62</v>
      </c>
      <c r="AB66">
        <v>1.002</v>
      </c>
    </row>
    <row r="67" spans="1:28" x14ac:dyDescent="0.25">
      <c r="B67" t="s">
        <v>53</v>
      </c>
      <c r="C67" s="75" t="s">
        <v>47</v>
      </c>
      <c r="F67" s="5"/>
      <c r="G67" s="3"/>
      <c r="H67" s="3"/>
      <c r="I67"/>
      <c r="J67"/>
      <c r="K67" s="3"/>
      <c r="M67"/>
      <c r="O67" s="3">
        <f t="shared" si="8"/>
        <v>62</v>
      </c>
      <c r="P67" s="13">
        <f t="shared" si="4"/>
        <v>-1.4081066940218867</v>
      </c>
      <c r="Q67" s="13">
        <f t="shared" si="0"/>
        <v>-0.14333333333333331</v>
      </c>
      <c r="R67" s="13">
        <f t="shared" si="5"/>
        <v>13.64</v>
      </c>
      <c r="S67">
        <f t="shared" si="1"/>
        <v>0.14333333333333331</v>
      </c>
      <c r="T67" s="8">
        <f t="shared" si="6"/>
        <v>0.86583678387084095</v>
      </c>
      <c r="U67" s="8">
        <f t="shared" si="2"/>
        <v>1.4330456512218232E-3</v>
      </c>
      <c r="V67">
        <f t="shared" si="3"/>
        <v>0.86583678387084095</v>
      </c>
      <c r="W67" s="71">
        <f t="shared" si="7"/>
        <v>-433.33333333333309</v>
      </c>
      <c r="AA67">
        <v>63</v>
      </c>
      <c r="AB67">
        <v>1.002</v>
      </c>
    </row>
    <row r="68" spans="1:28" x14ac:dyDescent="0.25">
      <c r="B68" t="s">
        <v>54</v>
      </c>
      <c r="C68" s="75" t="s">
        <v>47</v>
      </c>
      <c r="F68" s="5"/>
      <c r="G68" s="3"/>
      <c r="H68" s="3"/>
      <c r="I68"/>
      <c r="J68"/>
      <c r="K68" s="3"/>
      <c r="M68"/>
      <c r="O68" s="3">
        <f t="shared" si="8"/>
        <v>63</v>
      </c>
      <c r="P68" s="13">
        <f t="shared" si="4"/>
        <v>-1.3753600267190524</v>
      </c>
      <c r="Q68" s="13">
        <f t="shared" si="0"/>
        <v>-0.14000000000000001</v>
      </c>
      <c r="R68" s="13">
        <f t="shared" si="5"/>
        <v>13.86</v>
      </c>
      <c r="S68">
        <f t="shared" si="1"/>
        <v>0.14000000000000001</v>
      </c>
      <c r="T68" s="8">
        <f t="shared" si="6"/>
        <v>0.87171416671145008</v>
      </c>
      <c r="U68" s="8">
        <f t="shared" si="2"/>
        <v>1.8503805407251216E-3</v>
      </c>
      <c r="V68">
        <f t="shared" si="3"/>
        <v>0.87171416671145008</v>
      </c>
      <c r="W68" s="71">
        <f t="shared" si="7"/>
        <v>-400.00000000000006</v>
      </c>
      <c r="AA68">
        <v>64</v>
      </c>
      <c r="AB68">
        <v>1.002</v>
      </c>
    </row>
    <row r="69" spans="1:28" x14ac:dyDescent="0.25">
      <c r="B69" t="s">
        <v>55</v>
      </c>
      <c r="C69" s="75" t="s">
        <v>46</v>
      </c>
      <c r="F69" s="5"/>
      <c r="G69" s="3"/>
      <c r="H69" s="3"/>
      <c r="I69"/>
      <c r="J69"/>
      <c r="K69" s="3"/>
      <c r="M69"/>
      <c r="O69" s="3">
        <f t="shared" si="8"/>
        <v>64</v>
      </c>
      <c r="P69" s="13">
        <f t="shared" si="4"/>
        <v>-1.3426133594162177</v>
      </c>
      <c r="Q69" s="13">
        <f t="shared" ref="Q69:Q132" si="9">P69*$G$18</f>
        <v>-0.13666666666666666</v>
      </c>
      <c r="R69" s="13">
        <f t="shared" si="5"/>
        <v>14.08</v>
      </c>
      <c r="S69">
        <f t="shared" ref="S69:S132" si="10">ABS(Q69-$K$38)</f>
        <v>0.13666666666666666</v>
      </c>
      <c r="T69" s="8">
        <f t="shared" si="6"/>
        <v>0.87744852139212126</v>
      </c>
      <c r="U69" s="8">
        <f t="shared" ref="U69:U132" si="11">$K$39/(1+EXP(($S69-$L$39)/$M$39))+$K$40/(1+EXP(($S69-$L$40)/$M$40))+$K$41/(1+EXP(($S69-$L$41)/$M$41))+$K$42/(1+EXP(($S69-$L$42)/$M$42))</f>
        <v>2.3886818220834848E-3</v>
      </c>
      <c r="V69">
        <f t="shared" ref="V69:V132" si="12">IF(Q69-$K$38&gt;0,U69,T69)</f>
        <v>0.87744852139212126</v>
      </c>
      <c r="W69" s="71">
        <f t="shared" si="7"/>
        <v>-366.66666666666652</v>
      </c>
      <c r="AA69">
        <v>65</v>
      </c>
      <c r="AB69">
        <v>1.002</v>
      </c>
    </row>
    <row r="70" spans="1:28" x14ac:dyDescent="0.25">
      <c r="B70" t="s">
        <v>56</v>
      </c>
      <c r="C70" s="75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8"/>
        <v>65</v>
      </c>
      <c r="P70" s="13">
        <f t="shared" ref="P70:P133" si="13">$C$24*O70+$C$21</f>
        <v>-1.309866692113383</v>
      </c>
      <c r="Q70" s="13">
        <f t="shared" si="9"/>
        <v>-0.13333333333333333</v>
      </c>
      <c r="R70" s="13">
        <f t="shared" ref="R70:R133" si="14">$S$3*O70</f>
        <v>14.3</v>
      </c>
      <c r="S70">
        <f t="shared" si="10"/>
        <v>0.13333333333333333</v>
      </c>
      <c r="T70" s="8">
        <f t="shared" ref="T70:T133" si="15">$K$34/(1+EXP(($S70-$L$34)/$M$34))+$K$35/(1+EXP(($S70-$L$35)/$M$35))+$K$36/(1+EXP(($S70-$L$36)/$M$36))+$K$37/(1+EXP(($S70-$L$37)/$M$37))</f>
        <v>0.88303369960846523</v>
      </c>
      <c r="U70" s="8">
        <f t="shared" si="11"/>
        <v>3.0826323997059043E-3</v>
      </c>
      <c r="V70">
        <f t="shared" si="12"/>
        <v>0.88303369960846523</v>
      </c>
      <c r="W70" s="71">
        <f t="shared" ref="W70:W133" si="16">(Q70+W$3)*10000</f>
        <v>-333.33333333333326</v>
      </c>
      <c r="AA70">
        <v>66</v>
      </c>
      <c r="AB70">
        <v>1.002</v>
      </c>
    </row>
    <row r="71" spans="1:28" x14ac:dyDescent="0.25">
      <c r="B71" t="s">
        <v>57</v>
      </c>
      <c r="C71" s="75" t="s">
        <v>46</v>
      </c>
      <c r="F71" s="5"/>
      <c r="G71" s="3"/>
      <c r="H71" s="3"/>
      <c r="I71"/>
      <c r="J71"/>
      <c r="K71" s="3"/>
      <c r="M71"/>
      <c r="O71" s="3">
        <f t="shared" si="8"/>
        <v>66</v>
      </c>
      <c r="P71" s="13">
        <f t="shared" si="13"/>
        <v>-1.2771200248105488</v>
      </c>
      <c r="Q71" s="13">
        <f t="shared" si="9"/>
        <v>-0.13</v>
      </c>
      <c r="R71" s="13">
        <f t="shared" si="14"/>
        <v>14.52</v>
      </c>
      <c r="S71">
        <f t="shared" si="10"/>
        <v>0.13</v>
      </c>
      <c r="T71" s="8">
        <f t="shared" si="15"/>
        <v>0.88846430117943953</v>
      </c>
      <c r="U71" s="8">
        <f t="shared" si="11"/>
        <v>3.9766074630823269E-3</v>
      </c>
      <c r="V71">
        <f t="shared" si="12"/>
        <v>0.88846430117943953</v>
      </c>
      <c r="W71" s="71">
        <f t="shared" si="16"/>
        <v>-300</v>
      </c>
      <c r="AA71">
        <v>67</v>
      </c>
      <c r="AB71">
        <v>1.002</v>
      </c>
    </row>
    <row r="72" spans="1:28" x14ac:dyDescent="0.25">
      <c r="B72" t="s">
        <v>58</v>
      </c>
      <c r="C72" s="75" t="s">
        <v>46</v>
      </c>
      <c r="F72" s="5"/>
      <c r="G72" s="3"/>
      <c r="H72" s="3"/>
      <c r="I72"/>
      <c r="J72"/>
      <c r="K72" s="3"/>
      <c r="M72"/>
      <c r="O72" s="3">
        <f t="shared" ref="O72:O135" si="17">O71+1</f>
        <v>67</v>
      </c>
      <c r="P72" s="13">
        <f t="shared" si="13"/>
        <v>-1.2443733575077141</v>
      </c>
      <c r="Q72" s="13">
        <f t="shared" si="9"/>
        <v>-0.12666666666666668</v>
      </c>
      <c r="R72" s="13">
        <f t="shared" si="14"/>
        <v>14.74</v>
      </c>
      <c r="S72">
        <f t="shared" si="10"/>
        <v>0.12666666666666668</v>
      </c>
      <c r="T72" s="8">
        <f t="shared" si="15"/>
        <v>0.89373571776176397</v>
      </c>
      <c r="U72" s="8">
        <f t="shared" si="11"/>
        <v>5.127216478221292E-3</v>
      </c>
      <c r="V72">
        <f t="shared" si="12"/>
        <v>0.89373571776176397</v>
      </c>
      <c r="W72" s="71">
        <f t="shared" si="16"/>
        <v>-266.66666666666674</v>
      </c>
      <c r="AA72">
        <v>68</v>
      </c>
      <c r="AB72">
        <v>1.002</v>
      </c>
    </row>
    <row r="73" spans="1:28" x14ac:dyDescent="0.25">
      <c r="B73" t="s">
        <v>59</v>
      </c>
      <c r="C73" s="75" t="s">
        <v>46</v>
      </c>
      <c r="F73" s="5"/>
      <c r="G73" s="3"/>
      <c r="H73" s="3"/>
      <c r="I73"/>
      <c r="J73"/>
      <c r="K73" s="3"/>
      <c r="M73"/>
      <c r="O73" s="3">
        <f t="shared" si="17"/>
        <v>68</v>
      </c>
      <c r="P73" s="13">
        <f t="shared" si="13"/>
        <v>-1.2116266902048793</v>
      </c>
      <c r="Q73" s="13">
        <f t="shared" si="9"/>
        <v>-0.12333333333333332</v>
      </c>
      <c r="R73" s="13">
        <f t="shared" si="14"/>
        <v>14.96</v>
      </c>
      <c r="S73">
        <f t="shared" si="10"/>
        <v>0.12333333333333332</v>
      </c>
      <c r="T73" s="8">
        <f t="shared" si="15"/>
        <v>0.8988441563828109</v>
      </c>
      <c r="U73" s="8">
        <f t="shared" si="11"/>
        <v>6.6064014451352911E-3</v>
      </c>
      <c r="V73">
        <f t="shared" si="12"/>
        <v>0.8988441563828109</v>
      </c>
      <c r="W73" s="71">
        <f t="shared" si="16"/>
        <v>-233.33333333333317</v>
      </c>
      <c r="AA73">
        <v>69</v>
      </c>
      <c r="AB73">
        <v>1.002</v>
      </c>
    </row>
    <row r="74" spans="1:28" x14ac:dyDescent="0.25">
      <c r="A74" t="s">
        <v>43</v>
      </c>
      <c r="C74" s="75"/>
      <c r="F74" s="5"/>
      <c r="G74" s="3">
        <f>1/1.1^2</f>
        <v>0.82644628099173545</v>
      </c>
      <c r="H74" s="3"/>
      <c r="I74"/>
      <c r="J74"/>
      <c r="K74" s="3"/>
      <c r="M74"/>
      <c r="O74" s="3">
        <f t="shared" si="17"/>
        <v>69</v>
      </c>
      <c r="P74" s="13">
        <f t="shared" si="13"/>
        <v>-1.1788800229020446</v>
      </c>
      <c r="Q74" s="13">
        <f t="shared" si="9"/>
        <v>-0.11999999999999998</v>
      </c>
      <c r="R74" s="13">
        <f t="shared" si="14"/>
        <v>15.18</v>
      </c>
      <c r="S74">
        <f t="shared" si="10"/>
        <v>0.11999999999999998</v>
      </c>
      <c r="T74" s="8">
        <f t="shared" si="15"/>
        <v>0.90378664573107659</v>
      </c>
      <c r="U74" s="8">
        <f t="shared" si="11"/>
        <v>8.5051381391064631E-3</v>
      </c>
      <c r="V74">
        <f t="shared" si="12"/>
        <v>0.90378664573107659</v>
      </c>
      <c r="W74" s="71">
        <f t="shared" si="16"/>
        <v>-199.99999999999977</v>
      </c>
      <c r="AA74">
        <v>70</v>
      </c>
      <c r="AB74">
        <v>1.002</v>
      </c>
    </row>
    <row r="75" spans="1:28" x14ac:dyDescent="0.25">
      <c r="C75" s="75"/>
      <c r="F75" s="5"/>
      <c r="G75" s="3">
        <f>1/0.9^2</f>
        <v>1.2345679012345678</v>
      </c>
      <c r="H75" s="3"/>
      <c r="I75"/>
      <c r="J75"/>
      <c r="K75" s="3"/>
      <c r="M75"/>
      <c r="O75" s="3">
        <f t="shared" si="17"/>
        <v>70</v>
      </c>
      <c r="P75" s="13">
        <f t="shared" si="13"/>
        <v>-1.1461333555992104</v>
      </c>
      <c r="Q75" s="13">
        <f t="shared" si="9"/>
        <v>-0.11666666666666668</v>
      </c>
      <c r="R75" s="13">
        <f t="shared" si="14"/>
        <v>15.4</v>
      </c>
      <c r="S75">
        <f t="shared" si="10"/>
        <v>0.11666666666666668</v>
      </c>
      <c r="T75" s="8">
        <f t="shared" si="15"/>
        <v>0.90856102780131798</v>
      </c>
      <c r="U75" s="8">
        <f t="shared" si="11"/>
        <v>1.0937733406928635E-2</v>
      </c>
      <c r="V75">
        <f t="shared" si="12"/>
        <v>0.90856102780131798</v>
      </c>
      <c r="W75" s="71">
        <f t="shared" si="16"/>
        <v>-166.66666666666677</v>
      </c>
      <c r="AA75">
        <v>71</v>
      </c>
      <c r="AB75">
        <v>1.002</v>
      </c>
    </row>
    <row r="76" spans="1:28" x14ac:dyDescent="0.25">
      <c r="A76" t="s">
        <v>60</v>
      </c>
      <c r="C76" s="75"/>
      <c r="F76" s="5"/>
      <c r="G76" s="3">
        <f>G75-G74</f>
        <v>0.40812162024283238</v>
      </c>
      <c r="H76" s="3"/>
      <c r="I76"/>
      <c r="J76"/>
      <c r="K76" s="3"/>
      <c r="M76"/>
      <c r="O76" s="3">
        <f t="shared" si="17"/>
        <v>71</v>
      </c>
      <c r="P76" s="13">
        <f t="shared" si="13"/>
        <v>-1.1133866882963757</v>
      </c>
      <c r="Q76" s="13">
        <f t="shared" si="9"/>
        <v>-0.11333333333333333</v>
      </c>
      <c r="R76" s="13">
        <f t="shared" si="14"/>
        <v>15.62</v>
      </c>
      <c r="S76">
        <f t="shared" si="10"/>
        <v>0.11333333333333333</v>
      </c>
      <c r="T76" s="8">
        <f t="shared" si="15"/>
        <v>0.91316593723720119</v>
      </c>
      <c r="U76" s="8">
        <f t="shared" si="11"/>
        <v>1.4046608746504166E-2</v>
      </c>
      <c r="V76">
        <f t="shared" si="12"/>
        <v>0.91316593723720119</v>
      </c>
      <c r="W76" s="71">
        <f t="shared" si="16"/>
        <v>-133.33333333333323</v>
      </c>
      <c r="AA76">
        <v>72</v>
      </c>
      <c r="AB76">
        <v>1.002</v>
      </c>
    </row>
    <row r="77" spans="1:28" x14ac:dyDescent="0.25">
      <c r="B77" t="s">
        <v>136</v>
      </c>
      <c r="C77" s="75">
        <v>0.8</v>
      </c>
      <c r="F77" s="5"/>
      <c r="G77" s="3"/>
      <c r="H77" s="3"/>
      <c r="I77"/>
      <c r="J77"/>
      <c r="K77" s="3"/>
      <c r="M77"/>
      <c r="O77" s="3">
        <f t="shared" si="17"/>
        <v>72</v>
      </c>
      <c r="P77" s="13">
        <f t="shared" si="13"/>
        <v>-1.080640020993541</v>
      </c>
      <c r="Q77" s="13">
        <f t="shared" si="9"/>
        <v>-0.10999999999999999</v>
      </c>
      <c r="R77" s="13">
        <f t="shared" si="14"/>
        <v>15.84</v>
      </c>
      <c r="S77">
        <f t="shared" si="10"/>
        <v>0.10999999999999999</v>
      </c>
      <c r="T77" s="8">
        <f t="shared" si="15"/>
        <v>0.91760077051132671</v>
      </c>
      <c r="U77" s="8">
        <f t="shared" si="11"/>
        <v>1.8007284916110304E-2</v>
      </c>
      <c r="V77">
        <f t="shared" si="12"/>
        <v>0.91760077051132671</v>
      </c>
      <c r="W77" s="71">
        <f t="shared" si="16"/>
        <v>-99.999999999999815</v>
      </c>
      <c r="AA77">
        <v>73</v>
      </c>
      <c r="AB77">
        <v>1.002</v>
      </c>
    </row>
    <row r="78" spans="1:28" x14ac:dyDescent="0.25">
      <c r="A78" t="s">
        <v>43</v>
      </c>
      <c r="C78" s="75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17"/>
        <v>73</v>
      </c>
      <c r="P78" s="13">
        <f t="shared" si="13"/>
        <v>-1.0478933536907067</v>
      </c>
      <c r="Q78" s="13">
        <f t="shared" si="9"/>
        <v>-0.10666666666666669</v>
      </c>
      <c r="R78" s="13">
        <f t="shared" si="14"/>
        <v>16.059999999999999</v>
      </c>
      <c r="S78">
        <f t="shared" si="10"/>
        <v>0.10666666666666669</v>
      </c>
      <c r="T78" s="8">
        <f t="shared" si="15"/>
        <v>0.92186564690685235</v>
      </c>
      <c r="U78" s="8">
        <f t="shared" si="11"/>
        <v>2.3033015173521888E-2</v>
      </c>
      <c r="V78">
        <f t="shared" si="12"/>
        <v>0.92186564690685235</v>
      </c>
      <c r="W78" s="71">
        <f t="shared" si="16"/>
        <v>-66.666666666666814</v>
      </c>
      <c r="AA78">
        <v>74</v>
      </c>
      <c r="AB78">
        <v>1.002</v>
      </c>
    </row>
    <row r="79" spans="1:28" x14ac:dyDescent="0.25">
      <c r="C79" s="75"/>
      <c r="F79" s="5"/>
      <c r="G79" s="3"/>
      <c r="H79" s="3"/>
      <c r="I79"/>
      <c r="J79"/>
      <c r="K79" s="3"/>
      <c r="M79"/>
      <c r="O79" s="3">
        <f t="shared" si="17"/>
        <v>74</v>
      </c>
      <c r="P79" s="13">
        <f t="shared" si="13"/>
        <v>-1.015146686387872</v>
      </c>
      <c r="Q79" s="13">
        <f t="shared" si="9"/>
        <v>-0.10333333333333333</v>
      </c>
      <c r="R79" s="13">
        <f t="shared" si="14"/>
        <v>16.28</v>
      </c>
      <c r="S79">
        <f t="shared" si="10"/>
        <v>0.10333333333333333</v>
      </c>
      <c r="T79" s="8">
        <f t="shared" si="15"/>
        <v>0.92596136310174915</v>
      </c>
      <c r="U79" s="8">
        <f t="shared" si="11"/>
        <v>2.9378178583521274E-2</v>
      </c>
      <c r="V79">
        <f t="shared" si="12"/>
        <v>0.92596136310174915</v>
      </c>
      <c r="W79" s="71">
        <f t="shared" si="16"/>
        <v>-33.333333333333272</v>
      </c>
      <c r="AA79">
        <v>75</v>
      </c>
      <c r="AB79">
        <v>1.002</v>
      </c>
    </row>
    <row r="80" spans="1:28" x14ac:dyDescent="0.25">
      <c r="A80" t="s">
        <v>61</v>
      </c>
      <c r="C80" s="75"/>
      <c r="F80" s="5"/>
      <c r="G80" s="3"/>
      <c r="H80" s="3"/>
      <c r="I80"/>
      <c r="J80"/>
      <c r="K80" s="3"/>
      <c r="M80"/>
      <c r="O80" s="3">
        <f t="shared" si="17"/>
        <v>75</v>
      </c>
      <c r="P80" s="13">
        <f t="shared" si="13"/>
        <v>-0.98240001908503727</v>
      </c>
      <c r="Q80" s="13">
        <f t="shared" si="9"/>
        <v>-9.9999999999999992E-2</v>
      </c>
      <c r="R80" s="13">
        <f t="shared" si="14"/>
        <v>16.5</v>
      </c>
      <c r="S80">
        <f t="shared" si="10"/>
        <v>9.9999999999999992E-2</v>
      </c>
      <c r="T80" s="8">
        <f t="shared" si="15"/>
        <v>0.92988934299762882</v>
      </c>
      <c r="U80" s="8">
        <f t="shared" si="11"/>
        <v>3.7339337685023802E-2</v>
      </c>
      <c r="V80">
        <f t="shared" si="12"/>
        <v>0.92988934299762882</v>
      </c>
      <c r="W80" s="71">
        <f t="shared" si="16"/>
        <v>1.3877787807814457E-13</v>
      </c>
      <c r="AA80">
        <v>76</v>
      </c>
      <c r="AB80">
        <v>1.002</v>
      </c>
    </row>
    <row r="81" spans="2:28" x14ac:dyDescent="0.25">
      <c r="C81" s="75"/>
      <c r="F81" s="5"/>
      <c r="G81" s="3"/>
      <c r="H81" s="3"/>
      <c r="I81"/>
      <c r="J81"/>
      <c r="K81" s="3"/>
      <c r="M81"/>
      <c r="O81" s="3">
        <f t="shared" si="17"/>
        <v>76</v>
      </c>
      <c r="P81" s="13">
        <f t="shared" si="13"/>
        <v>-0.949653351782203</v>
      </c>
      <c r="Q81" s="13">
        <f t="shared" si="9"/>
        <v>-9.6666666666666692E-2</v>
      </c>
      <c r="R81" s="13">
        <f t="shared" si="14"/>
        <v>16.72</v>
      </c>
      <c r="S81">
        <f t="shared" si="10"/>
        <v>9.6666666666666692E-2</v>
      </c>
      <c r="T81" s="8">
        <f t="shared" si="15"/>
        <v>0.93365158427610084</v>
      </c>
      <c r="U81" s="8">
        <f t="shared" si="11"/>
        <v>4.7253634493099411E-2</v>
      </c>
      <c r="V81">
        <f t="shared" si="12"/>
        <v>0.93365158427610084</v>
      </c>
      <c r="W81" s="71">
        <f t="shared" si="16"/>
        <v>33.33333333333313</v>
      </c>
      <c r="AA81">
        <v>77</v>
      </c>
      <c r="AB81">
        <v>1.002</v>
      </c>
    </row>
    <row r="82" spans="2:28" x14ac:dyDescent="0.25">
      <c r="B82" t="s">
        <v>62</v>
      </c>
      <c r="C82" s="75" t="s">
        <v>47</v>
      </c>
      <c r="F82" s="5"/>
      <c r="G82" s="3"/>
      <c r="H82" s="3"/>
      <c r="I82"/>
      <c r="J82"/>
      <c r="K82" s="3"/>
      <c r="M82"/>
      <c r="O82" s="3">
        <f t="shared" si="17"/>
        <v>77</v>
      </c>
      <c r="P82" s="13">
        <f t="shared" si="13"/>
        <v>-0.91690668447936829</v>
      </c>
      <c r="Q82" s="13">
        <f t="shared" si="9"/>
        <v>-9.3333333333333338E-2</v>
      </c>
      <c r="R82" s="13">
        <f t="shared" si="14"/>
        <v>16.940000000000001</v>
      </c>
      <c r="S82">
        <f t="shared" si="10"/>
        <v>9.3333333333333338E-2</v>
      </c>
      <c r="T82" s="8">
        <f t="shared" si="15"/>
        <v>0.93725060300579477</v>
      </c>
      <c r="U82" s="8">
        <f t="shared" si="11"/>
        <v>5.949914927333598E-2</v>
      </c>
      <c r="V82">
        <f t="shared" si="12"/>
        <v>0.93725060300579477</v>
      </c>
      <c r="W82" s="71">
        <f t="shared" si="16"/>
        <v>66.666666666666686</v>
      </c>
      <c r="AA82">
        <v>78</v>
      </c>
      <c r="AB82">
        <v>1.002</v>
      </c>
    </row>
    <row r="83" spans="2:28" x14ac:dyDescent="0.25">
      <c r="B83" t="s">
        <v>63</v>
      </c>
      <c r="C83" s="75" t="s">
        <v>46</v>
      </c>
      <c r="F83" s="5"/>
      <c r="G83" s="3"/>
      <c r="H83" s="3"/>
      <c r="I83"/>
      <c r="J83"/>
      <c r="K83" s="3"/>
      <c r="M83"/>
      <c r="O83" s="3">
        <f t="shared" si="17"/>
        <v>78</v>
      </c>
      <c r="P83" s="13">
        <f t="shared" si="13"/>
        <v>-0.88416001717653359</v>
      </c>
      <c r="Q83" s="13">
        <f t="shared" si="9"/>
        <v>-0.09</v>
      </c>
      <c r="R83" s="13">
        <f t="shared" si="14"/>
        <v>17.16</v>
      </c>
      <c r="S83">
        <f t="shared" si="10"/>
        <v>0.09</v>
      </c>
      <c r="T83" s="8">
        <f t="shared" si="15"/>
        <v>0.94068937746336467</v>
      </c>
      <c r="U83" s="8">
        <f t="shared" si="11"/>
        <v>7.4522663241630677E-2</v>
      </c>
      <c r="V83">
        <f t="shared" si="12"/>
        <v>0.94068937746336467</v>
      </c>
      <c r="W83" s="71">
        <f t="shared" si="16"/>
        <v>100.00000000000009</v>
      </c>
      <c r="AA83">
        <v>79</v>
      </c>
      <c r="AB83">
        <v>1.002</v>
      </c>
    </row>
    <row r="84" spans="2:28" x14ac:dyDescent="0.25">
      <c r="B84" t="s">
        <v>64</v>
      </c>
      <c r="C84" s="75" t="s">
        <v>46</v>
      </c>
      <c r="F84" s="5"/>
      <c r="G84" s="3"/>
      <c r="H84" s="3"/>
      <c r="I84"/>
      <c r="J84"/>
      <c r="K84" s="3"/>
      <c r="M84"/>
      <c r="O84" s="3">
        <f t="shared" si="17"/>
        <v>79</v>
      </c>
      <c r="P84" s="13">
        <f t="shared" si="13"/>
        <v>-0.85141334987369888</v>
      </c>
      <c r="Q84" s="13">
        <f t="shared" si="9"/>
        <v>-8.6666666666666642E-2</v>
      </c>
      <c r="R84" s="13">
        <f t="shared" si="14"/>
        <v>17.38</v>
      </c>
      <c r="S84">
        <f t="shared" si="10"/>
        <v>8.6666666666666642E-2</v>
      </c>
      <c r="T84" s="8">
        <f t="shared" si="15"/>
        <v>0.94397129217386988</v>
      </c>
      <c r="U84" s="8">
        <f t="shared" si="11"/>
        <v>9.2997421265244989E-2</v>
      </c>
      <c r="V84">
        <f t="shared" si="12"/>
        <v>0.94397129217386988</v>
      </c>
      <c r="W84" s="71">
        <f t="shared" si="16"/>
        <v>133.33333333333363</v>
      </c>
      <c r="AA84">
        <v>80</v>
      </c>
      <c r="AB84">
        <v>1.002</v>
      </c>
    </row>
    <row r="85" spans="2:28" x14ac:dyDescent="0.25">
      <c r="B85" t="s">
        <v>65</v>
      </c>
      <c r="C85" s="75" t="s">
        <v>46</v>
      </c>
      <c r="F85" s="5"/>
      <c r="G85" s="3"/>
      <c r="H85" s="3"/>
      <c r="I85"/>
      <c r="J85"/>
      <c r="K85" s="3"/>
      <c r="M85"/>
      <c r="O85" s="3">
        <f t="shared" si="17"/>
        <v>80</v>
      </c>
      <c r="P85" s="13">
        <f t="shared" si="13"/>
        <v>-0.81866668257086461</v>
      </c>
      <c r="Q85" s="13">
        <f t="shared" si="9"/>
        <v>-8.3333333333333343E-2</v>
      </c>
      <c r="R85" s="13">
        <f t="shared" si="14"/>
        <v>17.600000000000001</v>
      </c>
      <c r="S85">
        <f t="shared" si="10"/>
        <v>8.3333333333333343E-2</v>
      </c>
      <c r="T85" s="8">
        <f t="shared" si="15"/>
        <v>0.94710008302220994</v>
      </c>
      <c r="U85" s="8">
        <f t="shared" si="11"/>
        <v>0.11645674354992214</v>
      </c>
      <c r="V85">
        <f t="shared" si="12"/>
        <v>0.94710008302220994</v>
      </c>
      <c r="W85" s="71">
        <f t="shared" si="16"/>
        <v>166.66666666666663</v>
      </c>
      <c r="AA85">
        <v>81</v>
      </c>
      <c r="AB85">
        <v>1.002</v>
      </c>
    </row>
    <row r="86" spans="2:28" x14ac:dyDescent="0.25">
      <c r="B86" t="s">
        <v>211</v>
      </c>
      <c r="C86" s="75">
        <v>2</v>
      </c>
      <c r="F86" s="5"/>
      <c r="G86" s="3"/>
      <c r="H86" s="3"/>
      <c r="I86"/>
      <c r="J86"/>
      <c r="K86" s="3"/>
      <c r="M86"/>
      <c r="O86" s="3">
        <f t="shared" si="17"/>
        <v>81</v>
      </c>
      <c r="P86" s="13">
        <f t="shared" si="13"/>
        <v>-0.7859200152680299</v>
      </c>
      <c r="Q86" s="13">
        <f t="shared" si="9"/>
        <v>-0.08</v>
      </c>
      <c r="R86" s="13">
        <f t="shared" si="14"/>
        <v>17.82</v>
      </c>
      <c r="S86">
        <f t="shared" si="10"/>
        <v>0.08</v>
      </c>
      <c r="T86" s="8">
        <f t="shared" si="15"/>
        <v>0.95007978414013894</v>
      </c>
      <c r="U86" s="8">
        <f t="shared" si="11"/>
        <v>0.14908057028752739</v>
      </c>
      <c r="V86">
        <f t="shared" si="12"/>
        <v>0.95007978414013894</v>
      </c>
      <c r="W86" s="71">
        <f t="shared" si="16"/>
        <v>200.00000000000003</v>
      </c>
      <c r="AA86">
        <v>82</v>
      </c>
      <c r="AB86">
        <v>1.002</v>
      </c>
    </row>
    <row r="87" spans="2:28" x14ac:dyDescent="0.25">
      <c r="B87" t="s">
        <v>66</v>
      </c>
      <c r="C87" s="75" t="s">
        <v>46</v>
      </c>
      <c r="F87" s="5"/>
      <c r="G87" s="3"/>
      <c r="H87" s="3"/>
      <c r="I87"/>
      <c r="J87"/>
      <c r="K87" s="3"/>
      <c r="M87"/>
      <c r="O87" s="3">
        <f t="shared" si="17"/>
        <v>82</v>
      </c>
      <c r="P87" s="13">
        <f t="shared" si="13"/>
        <v>-0.75317334796519519</v>
      </c>
      <c r="Q87" s="13">
        <f t="shared" si="9"/>
        <v>-7.6666666666666661E-2</v>
      </c>
      <c r="R87" s="13">
        <f t="shared" si="14"/>
        <v>18.04</v>
      </c>
      <c r="S87">
        <f t="shared" si="10"/>
        <v>7.6666666666666661E-2</v>
      </c>
      <c r="T87" s="8">
        <f t="shared" si="15"/>
        <v>0.95291467713489908</v>
      </c>
      <c r="U87" s="8">
        <f t="shared" si="11"/>
        <v>0.19825674472735866</v>
      </c>
      <c r="V87">
        <f t="shared" si="12"/>
        <v>0.95291467713489908</v>
      </c>
      <c r="W87" s="71">
        <f t="shared" si="16"/>
        <v>233.33333333333346</v>
      </c>
      <c r="AA87">
        <v>83</v>
      </c>
      <c r="AB87">
        <v>1.002</v>
      </c>
    </row>
    <row r="88" spans="2:28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17"/>
        <v>83</v>
      </c>
      <c r="P88" s="13">
        <f t="shared" si="13"/>
        <v>-0.72042668066236093</v>
      </c>
      <c r="Q88" s="13">
        <f t="shared" si="9"/>
        <v>-7.3333333333333348E-2</v>
      </c>
      <c r="R88" s="13">
        <f t="shared" si="14"/>
        <v>18.260000000000002</v>
      </c>
      <c r="S88">
        <f t="shared" si="10"/>
        <v>7.3333333333333348E-2</v>
      </c>
      <c r="T88" s="8">
        <f t="shared" si="15"/>
        <v>0.9556092430974239</v>
      </c>
      <c r="U88" s="8">
        <f t="shared" si="11"/>
        <v>0.26016114681223101</v>
      </c>
      <c r="V88">
        <f t="shared" si="12"/>
        <v>0.9556092430974239</v>
      </c>
      <c r="W88" s="71">
        <f t="shared" si="16"/>
        <v>266.66666666666657</v>
      </c>
      <c r="AA88">
        <v>84</v>
      </c>
      <c r="AB88">
        <v>1.002</v>
      </c>
    </row>
    <row r="89" spans="2:28" x14ac:dyDescent="0.25">
      <c r="B89" t="s">
        <v>68</v>
      </c>
      <c r="C89" s="75">
        <v>20</v>
      </c>
      <c r="F89" s="5"/>
      <c r="G89" s="3"/>
      <c r="H89" s="3"/>
      <c r="I89"/>
      <c r="J89"/>
      <c r="K89" s="3"/>
      <c r="M89"/>
      <c r="O89" s="3">
        <f t="shared" si="17"/>
        <v>84</v>
      </c>
      <c r="P89" s="13">
        <f t="shared" si="13"/>
        <v>-0.68768001335952622</v>
      </c>
      <c r="Q89" s="13">
        <f t="shared" si="9"/>
        <v>-7.0000000000000007E-2</v>
      </c>
      <c r="R89" s="13">
        <f t="shared" si="14"/>
        <v>18.48</v>
      </c>
      <c r="S89">
        <f t="shared" si="10"/>
        <v>7.0000000000000007E-2</v>
      </c>
      <c r="T89" s="8">
        <f t="shared" si="15"/>
        <v>0.95816811771164256</v>
      </c>
      <c r="U89" s="8">
        <f t="shared" si="11"/>
        <v>0.3137883811998744</v>
      </c>
      <c r="V89">
        <f t="shared" si="12"/>
        <v>0.95816811771164256</v>
      </c>
      <c r="W89" s="71">
        <f t="shared" si="16"/>
        <v>300</v>
      </c>
      <c r="AA89">
        <v>85</v>
      </c>
      <c r="AB89">
        <v>1.002</v>
      </c>
    </row>
    <row r="90" spans="2:28" x14ac:dyDescent="0.25">
      <c r="B90" t="s">
        <v>69</v>
      </c>
      <c r="C90" s="75">
        <v>-1E-4</v>
      </c>
      <c r="F90" s="5"/>
      <c r="G90" s="3"/>
      <c r="H90" s="3"/>
      <c r="I90"/>
      <c r="J90"/>
      <c r="K90" s="3"/>
      <c r="M90"/>
      <c r="O90" s="3">
        <f t="shared" si="17"/>
        <v>85</v>
      </c>
      <c r="P90" s="13">
        <f t="shared" si="13"/>
        <v>-0.65493334605669151</v>
      </c>
      <c r="Q90" s="13">
        <f t="shared" si="9"/>
        <v>-6.6666666666666666E-2</v>
      </c>
      <c r="R90" s="13">
        <f t="shared" si="14"/>
        <v>18.7</v>
      </c>
      <c r="S90">
        <f t="shared" si="10"/>
        <v>6.6666666666666666E-2</v>
      </c>
      <c r="T90" s="8">
        <f t="shared" si="15"/>
        <v>0.96059604968242651</v>
      </c>
      <c r="U90" s="8">
        <f t="shared" si="11"/>
        <v>0.35482882612230687</v>
      </c>
      <c r="V90">
        <f t="shared" si="12"/>
        <v>0.96059604968242651</v>
      </c>
      <c r="W90" s="71">
        <f t="shared" si="16"/>
        <v>333.33333333333337</v>
      </c>
      <c r="AA90">
        <v>86</v>
      </c>
      <c r="AB90">
        <v>1.002</v>
      </c>
    </row>
    <row r="91" spans="2:28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17"/>
        <v>86</v>
      </c>
      <c r="P91" s="13">
        <f t="shared" si="13"/>
        <v>-0.62218667875385725</v>
      </c>
      <c r="Q91" s="13">
        <f t="shared" si="9"/>
        <v>-6.3333333333333353E-2</v>
      </c>
      <c r="R91" s="13">
        <f t="shared" si="14"/>
        <v>18.920000000000002</v>
      </c>
      <c r="S91">
        <f t="shared" si="10"/>
        <v>6.3333333333333353E-2</v>
      </c>
      <c r="T91" s="8">
        <f t="shared" si="15"/>
        <v>0.9628978626085436</v>
      </c>
      <c r="U91" s="8">
        <f t="shared" si="11"/>
        <v>0.38980330045856354</v>
      </c>
      <c r="V91">
        <f t="shared" si="12"/>
        <v>0.9628978626085436</v>
      </c>
      <c r="W91" s="71">
        <f t="shared" si="16"/>
        <v>366.66666666666652</v>
      </c>
      <c r="AA91">
        <v>87</v>
      </c>
      <c r="AB91">
        <v>1.002</v>
      </c>
    </row>
    <row r="92" spans="2:28" x14ac:dyDescent="0.25">
      <c r="B92" t="s">
        <v>71</v>
      </c>
      <c r="C92" s="75">
        <v>0.15</v>
      </c>
      <c r="F92" s="5"/>
      <c r="G92" s="3"/>
      <c r="H92" s="3"/>
      <c r="I92"/>
      <c r="J92"/>
      <c r="K92" s="3"/>
      <c r="M92"/>
      <c r="O92" s="3">
        <f t="shared" si="17"/>
        <v>87</v>
      </c>
      <c r="P92" s="13">
        <f t="shared" si="13"/>
        <v>-0.58944001145102254</v>
      </c>
      <c r="Q92" s="13">
        <f t="shared" si="9"/>
        <v>-6.0000000000000012E-2</v>
      </c>
      <c r="R92" s="13">
        <f t="shared" si="14"/>
        <v>19.14</v>
      </c>
      <c r="S92">
        <f t="shared" si="10"/>
        <v>6.0000000000000012E-2</v>
      </c>
      <c r="T92" s="8">
        <f t="shared" si="15"/>
        <v>0.96507842034851166</v>
      </c>
      <c r="U92" s="8">
        <f t="shared" si="11"/>
        <v>0.42181724580303992</v>
      </c>
      <c r="V92">
        <f t="shared" si="12"/>
        <v>0.96507842034851166</v>
      </c>
      <c r="W92" s="71">
        <f t="shared" si="16"/>
        <v>399.99999999999994</v>
      </c>
      <c r="AA92">
        <v>88</v>
      </c>
      <c r="AB92">
        <v>1.002</v>
      </c>
    </row>
    <row r="93" spans="2:28" x14ac:dyDescent="0.25">
      <c r="B93" t="s">
        <v>72</v>
      </c>
      <c r="C93" s="75">
        <v>12.28</v>
      </c>
      <c r="F93" s="5"/>
      <c r="G93" s="3"/>
      <c r="H93" s="3"/>
      <c r="I93"/>
      <c r="J93"/>
      <c r="K93" s="3"/>
      <c r="M93"/>
      <c r="O93" s="3">
        <f t="shared" si="17"/>
        <v>88</v>
      </c>
      <c r="P93" s="13">
        <f t="shared" si="13"/>
        <v>-0.55669334414818783</v>
      </c>
      <c r="Q93" s="13">
        <f t="shared" si="9"/>
        <v>-5.6666666666666664E-2</v>
      </c>
      <c r="R93" s="13">
        <f t="shared" si="14"/>
        <v>19.36</v>
      </c>
      <c r="S93">
        <f t="shared" si="10"/>
        <v>5.6666666666666664E-2</v>
      </c>
      <c r="T93" s="8">
        <f t="shared" si="15"/>
        <v>0.96714259586110352</v>
      </c>
      <c r="U93" s="8">
        <f t="shared" si="11"/>
        <v>0.45131399385522158</v>
      </c>
      <c r="V93">
        <f t="shared" si="12"/>
        <v>0.96714259586110352</v>
      </c>
      <c r="W93" s="71">
        <f t="shared" si="16"/>
        <v>433.33333333333343</v>
      </c>
      <c r="AA93">
        <v>89</v>
      </c>
      <c r="AB93">
        <v>1.002</v>
      </c>
    </row>
    <row r="94" spans="2:28" x14ac:dyDescent="0.25">
      <c r="B94" t="s">
        <v>191</v>
      </c>
      <c r="C94" s="75">
        <v>1E-3</v>
      </c>
      <c r="F94" s="5"/>
      <c r="G94" s="3"/>
      <c r="H94" s="3"/>
      <c r="I94"/>
      <c r="J94"/>
      <c r="K94" s="3"/>
      <c r="M94"/>
      <c r="O94" s="3">
        <f t="shared" si="17"/>
        <v>89</v>
      </c>
      <c r="P94" s="13">
        <f t="shared" si="13"/>
        <v>-0.52394667684535312</v>
      </c>
      <c r="Q94" s="13">
        <f t="shared" si="9"/>
        <v>-5.3333333333333316E-2</v>
      </c>
      <c r="R94" s="13">
        <f t="shared" si="14"/>
        <v>19.580000000000002</v>
      </c>
      <c r="S94">
        <f t="shared" si="10"/>
        <v>5.3333333333333316E-2</v>
      </c>
      <c r="T94" s="8">
        <f t="shared" si="15"/>
        <v>0.96909524344779785</v>
      </c>
      <c r="U94" s="8">
        <f t="shared" si="11"/>
        <v>0.47802382863088266</v>
      </c>
      <c r="V94">
        <f t="shared" si="12"/>
        <v>0.96909524344779785</v>
      </c>
      <c r="W94" s="71">
        <f t="shared" si="16"/>
        <v>466.66666666666691</v>
      </c>
      <c r="AA94">
        <v>90</v>
      </c>
      <c r="AB94">
        <v>1.002</v>
      </c>
    </row>
    <row r="95" spans="2:28" x14ac:dyDescent="0.25">
      <c r="B95" t="s">
        <v>73</v>
      </c>
      <c r="C95" s="21">
        <f>C21</f>
        <v>-3.4384000667976307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17"/>
        <v>90</v>
      </c>
      <c r="P95" s="13">
        <f t="shared" si="13"/>
        <v>-0.49120000954251886</v>
      </c>
      <c r="Q95" s="13">
        <f t="shared" si="9"/>
        <v>-5.0000000000000017E-2</v>
      </c>
      <c r="R95" s="13">
        <f t="shared" si="14"/>
        <v>19.8</v>
      </c>
      <c r="S95">
        <f t="shared" si="10"/>
        <v>5.0000000000000017E-2</v>
      </c>
      <c r="T95" s="8">
        <f t="shared" si="15"/>
        <v>0.97094117428080384</v>
      </c>
      <c r="U95" s="8">
        <f t="shared" si="11"/>
        <v>0.50170686867978087</v>
      </c>
      <c r="V95">
        <f t="shared" si="12"/>
        <v>0.97094117428080384</v>
      </c>
      <c r="W95" s="71">
        <f t="shared" si="16"/>
        <v>499.99999999999989</v>
      </c>
      <c r="AA95">
        <v>91</v>
      </c>
      <c r="AB95">
        <v>1.002</v>
      </c>
    </row>
    <row r="96" spans="2:28" x14ac:dyDescent="0.25">
      <c r="B96" t="s">
        <v>215</v>
      </c>
      <c r="C96" s="75">
        <v>168000</v>
      </c>
      <c r="F96" s="5"/>
      <c r="G96" s="3"/>
      <c r="H96" s="3"/>
      <c r="I96"/>
      <c r="J96"/>
      <c r="K96" s="3"/>
      <c r="M96"/>
      <c r="O96" s="3">
        <f t="shared" si="17"/>
        <v>91</v>
      </c>
      <c r="P96" s="13">
        <f t="shared" si="13"/>
        <v>-0.45845334223968415</v>
      </c>
      <c r="Q96" s="13">
        <f t="shared" si="9"/>
        <v>-4.6666666666666669E-2</v>
      </c>
      <c r="R96" s="13">
        <f t="shared" si="14"/>
        <v>20.02</v>
      </c>
      <c r="S96">
        <f t="shared" si="10"/>
        <v>4.6666666666666669E-2</v>
      </c>
      <c r="T96" s="8">
        <f t="shared" si="15"/>
        <v>0.97268513506647036</v>
      </c>
      <c r="U96" s="8">
        <f t="shared" si="11"/>
        <v>0.52237510099029849</v>
      </c>
      <c r="V96">
        <f t="shared" si="12"/>
        <v>0.97268513506647036</v>
      </c>
      <c r="W96" s="71">
        <f t="shared" si="16"/>
        <v>533.33333333333337</v>
      </c>
      <c r="AA96">
        <v>92</v>
      </c>
      <c r="AB96">
        <v>1.002</v>
      </c>
    </row>
    <row r="97" spans="2:28" x14ac:dyDescent="0.25">
      <c r="B97" t="s">
        <v>216</v>
      </c>
      <c r="C97" s="75">
        <v>1</v>
      </c>
      <c r="F97" s="5"/>
      <c r="G97" s="3"/>
      <c r="H97" s="3"/>
      <c r="I97"/>
      <c r="J97"/>
      <c r="K97" s="3"/>
      <c r="M97"/>
      <c r="O97" s="3">
        <f t="shared" si="17"/>
        <v>92</v>
      </c>
      <c r="P97" s="13">
        <f t="shared" si="13"/>
        <v>-0.42570667493684944</v>
      </c>
      <c r="Q97" s="13">
        <f t="shared" si="9"/>
        <v>-4.3333333333333321E-2</v>
      </c>
      <c r="R97" s="13">
        <f t="shared" si="14"/>
        <v>20.239999999999998</v>
      </c>
      <c r="S97">
        <f t="shared" si="10"/>
        <v>4.3333333333333321E-2</v>
      </c>
      <c r="T97" s="8">
        <f t="shared" si="15"/>
        <v>0.97433178966882916</v>
      </c>
      <c r="U97" s="8">
        <f t="shared" si="11"/>
        <v>0.54038069741354067</v>
      </c>
      <c r="V97">
        <f t="shared" si="12"/>
        <v>0.97433178966882916</v>
      </c>
      <c r="W97" s="71">
        <f t="shared" si="16"/>
        <v>566.66666666666686</v>
      </c>
      <c r="AA97">
        <v>93</v>
      </c>
      <c r="AB97">
        <v>1.002</v>
      </c>
    </row>
    <row r="98" spans="2:28" x14ac:dyDescent="0.25">
      <c r="B98" t="s">
        <v>74</v>
      </c>
      <c r="C98" s="75">
        <v>20</v>
      </c>
      <c r="F98" s="5"/>
      <c r="G98" s="3"/>
      <c r="H98" s="3"/>
      <c r="I98"/>
      <c r="J98"/>
      <c r="K98" s="3"/>
      <c r="M98"/>
      <c r="O98" s="3">
        <f t="shared" si="17"/>
        <v>93</v>
      </c>
      <c r="P98" s="13">
        <f t="shared" si="13"/>
        <v>-0.39296000763401517</v>
      </c>
      <c r="Q98" s="13">
        <f t="shared" si="9"/>
        <v>-4.0000000000000022E-2</v>
      </c>
      <c r="R98" s="13">
        <f t="shared" si="14"/>
        <v>20.46</v>
      </c>
      <c r="S98">
        <f t="shared" si="10"/>
        <v>4.0000000000000022E-2</v>
      </c>
      <c r="T98" s="8">
        <f t="shared" si="15"/>
        <v>0.97588570350065773</v>
      </c>
      <c r="U98" s="8">
        <f t="shared" si="11"/>
        <v>0.55655148919154951</v>
      </c>
      <c r="V98">
        <f t="shared" si="12"/>
        <v>0.97588570350065773</v>
      </c>
      <c r="W98" s="71">
        <f t="shared" si="16"/>
        <v>599.99999999999989</v>
      </c>
      <c r="AA98">
        <v>94</v>
      </c>
      <c r="AB98">
        <v>1.002</v>
      </c>
    </row>
    <row r="99" spans="2:28" x14ac:dyDescent="0.25">
      <c r="B99" t="s">
        <v>75</v>
      </c>
      <c r="C99" s="75">
        <v>50</v>
      </c>
      <c r="F99" s="5"/>
      <c r="G99" s="3"/>
      <c r="H99" s="3"/>
      <c r="I99"/>
      <c r="J99"/>
      <c r="K99" s="3"/>
      <c r="M99"/>
      <c r="O99" s="3">
        <f t="shared" si="17"/>
        <v>94</v>
      </c>
      <c r="P99" s="13">
        <f t="shared" si="13"/>
        <v>-0.36021334033118046</v>
      </c>
      <c r="Q99" s="13">
        <f t="shared" si="9"/>
        <v>-3.6666666666666674E-2</v>
      </c>
      <c r="R99" s="13">
        <f t="shared" si="14"/>
        <v>20.68</v>
      </c>
      <c r="S99">
        <f t="shared" si="10"/>
        <v>3.6666666666666674E-2</v>
      </c>
      <c r="T99" s="8">
        <f t="shared" si="15"/>
        <v>0.97735133047869793</v>
      </c>
      <c r="U99" s="8">
        <f t="shared" si="11"/>
        <v>0.57252846501170751</v>
      </c>
      <c r="V99">
        <f t="shared" si="12"/>
        <v>0.97735133047869793</v>
      </c>
      <c r="W99" s="71">
        <f t="shared" si="16"/>
        <v>633.33333333333326</v>
      </c>
      <c r="AA99">
        <v>95</v>
      </c>
      <c r="AB99">
        <v>1.002</v>
      </c>
    </row>
    <row r="100" spans="2:28" x14ac:dyDescent="0.25">
      <c r="B100" t="s">
        <v>76</v>
      </c>
      <c r="C100" s="75">
        <v>0</v>
      </c>
      <c r="F100" s="5"/>
      <c r="G100" s="3"/>
      <c r="H100" s="3"/>
      <c r="I100"/>
      <c r="J100"/>
      <c r="K100" s="3"/>
      <c r="M100"/>
      <c r="O100" s="3">
        <f t="shared" si="17"/>
        <v>95</v>
      </c>
      <c r="P100" s="13">
        <f t="shared" si="13"/>
        <v>-0.32746667302834576</v>
      </c>
      <c r="Q100" s="13">
        <f t="shared" si="9"/>
        <v>-3.3333333333333333E-2</v>
      </c>
      <c r="R100" s="13">
        <f t="shared" si="14"/>
        <v>20.9</v>
      </c>
      <c r="S100">
        <f t="shared" si="10"/>
        <v>3.3333333333333333E-2</v>
      </c>
      <c r="T100" s="8">
        <f t="shared" si="15"/>
        <v>0.97873300233450788</v>
      </c>
      <c r="U100" s="8">
        <f t="shared" si="11"/>
        <v>0.59148326426092135</v>
      </c>
      <c r="V100">
        <f t="shared" si="12"/>
        <v>0.97873300233450788</v>
      </c>
      <c r="W100" s="71">
        <f t="shared" si="16"/>
        <v>666.66666666666674</v>
      </c>
      <c r="AA100">
        <v>96</v>
      </c>
      <c r="AB100">
        <v>1.002</v>
      </c>
    </row>
    <row r="101" spans="2:28" x14ac:dyDescent="0.25">
      <c r="B101" t="s">
        <v>77</v>
      </c>
      <c r="C101" s="75">
        <v>5.0000000000000001E-4</v>
      </c>
      <c r="F101" s="5"/>
      <c r="G101" s="3"/>
      <c r="H101" s="3"/>
      <c r="I101"/>
      <c r="J101"/>
      <c r="K101" s="3"/>
      <c r="M101"/>
      <c r="O101" s="3">
        <f t="shared" si="17"/>
        <v>96</v>
      </c>
      <c r="P101" s="13">
        <f t="shared" si="13"/>
        <v>-0.29472000572551105</v>
      </c>
      <c r="Q101" s="13">
        <f t="shared" si="9"/>
        <v>-2.9999999999999982E-2</v>
      </c>
      <c r="R101" s="13">
        <f t="shared" si="14"/>
        <v>21.12</v>
      </c>
      <c r="S101">
        <f t="shared" si="10"/>
        <v>2.9999999999999982E-2</v>
      </c>
      <c r="T101" s="8">
        <f t="shared" si="15"/>
        <v>0.98003492007190762</v>
      </c>
      <c r="U101" s="8">
        <f t="shared" si="11"/>
        <v>0.61919724975454016</v>
      </c>
      <c r="V101">
        <f t="shared" si="12"/>
        <v>0.98003492007190762</v>
      </c>
      <c r="W101" s="71">
        <f t="shared" si="16"/>
        <v>700.00000000000023</v>
      </c>
      <c r="AA101">
        <v>97</v>
      </c>
      <c r="AB101">
        <v>1.002</v>
      </c>
    </row>
    <row r="102" spans="2:28" x14ac:dyDescent="0.25">
      <c r="B102" t="s">
        <v>78</v>
      </c>
      <c r="C102" s="75">
        <v>0</v>
      </c>
      <c r="F102" s="5"/>
      <c r="G102" s="3"/>
      <c r="H102" s="3"/>
      <c r="I102"/>
      <c r="J102"/>
      <c r="K102" s="3"/>
      <c r="M102"/>
      <c r="O102" s="3">
        <f t="shared" si="17"/>
        <v>97</v>
      </c>
      <c r="P102" s="13">
        <f t="shared" si="13"/>
        <v>-0.26197333842267678</v>
      </c>
      <c r="Q102" s="13">
        <f t="shared" si="9"/>
        <v>-2.6666666666666682E-2</v>
      </c>
      <c r="R102" s="13">
        <f t="shared" si="14"/>
        <v>21.34</v>
      </c>
      <c r="S102">
        <f t="shared" si="10"/>
        <v>2.6666666666666682E-2</v>
      </c>
      <c r="T102" s="8">
        <f t="shared" si="15"/>
        <v>0.98126114736520442</v>
      </c>
      <c r="U102" s="8">
        <f t="shared" si="11"/>
        <v>0.66419120149098021</v>
      </c>
      <c r="V102">
        <f t="shared" si="12"/>
        <v>0.98126114736520442</v>
      </c>
      <c r="W102" s="71">
        <f t="shared" si="16"/>
        <v>733.33333333333314</v>
      </c>
      <c r="AA102">
        <v>98</v>
      </c>
      <c r="AB102">
        <v>1.002</v>
      </c>
    </row>
    <row r="103" spans="2:28" x14ac:dyDescent="0.25">
      <c r="B103" t="s">
        <v>79</v>
      </c>
      <c r="C103" s="75">
        <v>0</v>
      </c>
      <c r="F103" s="5"/>
      <c r="G103" s="3"/>
      <c r="H103" s="3"/>
      <c r="I103"/>
      <c r="J103"/>
      <c r="K103" s="3"/>
      <c r="M103"/>
      <c r="O103" s="3">
        <f t="shared" si="17"/>
        <v>98</v>
      </c>
      <c r="P103" s="13">
        <f t="shared" si="13"/>
        <v>-0.22922667111984207</v>
      </c>
      <c r="Q103" s="13">
        <f t="shared" si="9"/>
        <v>-2.3333333333333334E-2</v>
      </c>
      <c r="R103" s="13">
        <f t="shared" si="14"/>
        <v>21.56</v>
      </c>
      <c r="S103">
        <f t="shared" si="10"/>
        <v>2.3333333333333334E-2</v>
      </c>
      <c r="T103" s="8">
        <f t="shared" si="15"/>
        <v>0.98241560569857822</v>
      </c>
      <c r="U103" s="8">
        <f t="shared" si="11"/>
        <v>0.73254744048098008</v>
      </c>
      <c r="V103">
        <f t="shared" si="12"/>
        <v>0.98241560569857822</v>
      </c>
      <c r="W103" s="71">
        <f t="shared" si="16"/>
        <v>766.66666666666674</v>
      </c>
      <c r="AA103">
        <v>99</v>
      </c>
      <c r="AB103">
        <v>1.002</v>
      </c>
    </row>
    <row r="104" spans="2:28" x14ac:dyDescent="0.25">
      <c r="B104" t="s">
        <v>80</v>
      </c>
      <c r="C104" s="24">
        <f>C95</f>
        <v>-3.4384000667976307</v>
      </c>
      <c r="F104" s="5"/>
      <c r="G104" s="3"/>
      <c r="H104" s="3"/>
      <c r="I104"/>
      <c r="J104"/>
      <c r="K104" s="3"/>
      <c r="M104"/>
      <c r="O104" s="3">
        <f t="shared" si="17"/>
        <v>99</v>
      </c>
      <c r="P104" s="13">
        <f t="shared" si="13"/>
        <v>-0.19648000381700736</v>
      </c>
      <c r="Q104" s="13">
        <f t="shared" si="9"/>
        <v>-1.999999999999999E-2</v>
      </c>
      <c r="R104" s="13">
        <f t="shared" si="14"/>
        <v>21.78</v>
      </c>
      <c r="S104">
        <f t="shared" si="10"/>
        <v>1.999999999999999E-2</v>
      </c>
      <c r="T104" s="8">
        <f t="shared" si="15"/>
        <v>0.9835020710554595</v>
      </c>
      <c r="U104" s="8">
        <f t="shared" si="11"/>
        <v>0.81588602962738543</v>
      </c>
      <c r="V104">
        <f t="shared" si="12"/>
        <v>0.9835020710554595</v>
      </c>
      <c r="W104" s="71">
        <f t="shared" si="16"/>
        <v>800.00000000000011</v>
      </c>
      <c r="AA104">
        <v>100</v>
      </c>
      <c r="AB104">
        <v>1.002</v>
      </c>
    </row>
    <row r="105" spans="2:28" x14ac:dyDescent="0.25">
      <c r="B105" t="s">
        <v>81</v>
      </c>
      <c r="C105" s="75">
        <v>12.28</v>
      </c>
      <c r="F105" s="5"/>
      <c r="G105" s="3"/>
      <c r="H105" s="3"/>
      <c r="I105"/>
      <c r="J105"/>
      <c r="K105" s="3"/>
      <c r="M105"/>
      <c r="O105" s="3">
        <f t="shared" si="17"/>
        <v>100</v>
      </c>
      <c r="P105" s="13">
        <f t="shared" si="13"/>
        <v>-0.1637333365141731</v>
      </c>
      <c r="Q105" s="13">
        <f t="shared" si="9"/>
        <v>-1.6666666666666687E-2</v>
      </c>
      <c r="R105" s="13">
        <f t="shared" si="14"/>
        <v>22</v>
      </c>
      <c r="S105">
        <f t="shared" si="10"/>
        <v>1.6666666666666687E-2</v>
      </c>
      <c r="T105" s="8">
        <f t="shared" si="15"/>
        <v>0.98452417197683717</v>
      </c>
      <c r="U105" s="8">
        <f t="shared" si="11"/>
        <v>0.89097635409691534</v>
      </c>
      <c r="V105">
        <f t="shared" si="12"/>
        <v>0.98452417197683717</v>
      </c>
      <c r="W105" s="71">
        <f t="shared" si="16"/>
        <v>833.33333333333314</v>
      </c>
      <c r="AA105">
        <v>101</v>
      </c>
      <c r="AB105">
        <v>1.002</v>
      </c>
    </row>
    <row r="106" spans="2:28" x14ac:dyDescent="0.25">
      <c r="B106" t="s">
        <v>82</v>
      </c>
      <c r="C106" s="75">
        <v>150</v>
      </c>
      <c r="F106" s="5"/>
      <c r="G106" s="3"/>
      <c r="H106" s="3"/>
      <c r="I106"/>
      <c r="J106"/>
      <c r="K106" s="3"/>
      <c r="M106"/>
      <c r="O106" s="3">
        <f t="shared" si="17"/>
        <v>101</v>
      </c>
      <c r="P106" s="13">
        <f t="shared" si="13"/>
        <v>-0.13098666921133839</v>
      </c>
      <c r="Q106" s="13">
        <f t="shared" si="9"/>
        <v>-1.3333333333333341E-2</v>
      </c>
      <c r="R106" s="13">
        <f t="shared" si="14"/>
        <v>22.22</v>
      </c>
      <c r="S106">
        <f t="shared" si="10"/>
        <v>1.3333333333333341E-2</v>
      </c>
      <c r="T106" s="8">
        <f t="shared" si="15"/>
        <v>0.98548538881867187</v>
      </c>
      <c r="U106" s="8">
        <f t="shared" si="11"/>
        <v>0.94190213015607471</v>
      </c>
      <c r="V106">
        <f t="shared" si="12"/>
        <v>0.98548538881867187</v>
      </c>
      <c r="W106" s="71">
        <f t="shared" si="16"/>
        <v>866.66666666666674</v>
      </c>
      <c r="AA106">
        <v>102</v>
      </c>
      <c r="AB106">
        <v>1.002</v>
      </c>
    </row>
    <row r="107" spans="2:28" x14ac:dyDescent="0.25">
      <c r="B107" t="s">
        <v>83</v>
      </c>
      <c r="C107" s="75">
        <v>150</v>
      </c>
      <c r="F107" s="5"/>
      <c r="G107" s="3"/>
      <c r="H107" s="3"/>
      <c r="I107"/>
      <c r="J107"/>
      <c r="K107" s="3"/>
      <c r="M107"/>
      <c r="O107" s="3">
        <f t="shared" si="17"/>
        <v>102</v>
      </c>
      <c r="P107" s="13">
        <f t="shared" si="13"/>
        <v>-9.8240001908503682E-2</v>
      </c>
      <c r="Q107" s="13">
        <f t="shared" si="9"/>
        <v>-9.999999999999995E-3</v>
      </c>
      <c r="R107" s="13">
        <f t="shared" si="14"/>
        <v>22.44</v>
      </c>
      <c r="S107">
        <f t="shared" si="10"/>
        <v>9.999999999999995E-3</v>
      </c>
      <c r="T107" s="8">
        <f t="shared" si="15"/>
        <v>0.98638905405052091</v>
      </c>
      <c r="U107" s="8">
        <f t="shared" si="11"/>
        <v>0.9702859881370598</v>
      </c>
      <c r="V107">
        <f t="shared" si="12"/>
        <v>0.98638905405052091</v>
      </c>
      <c r="W107" s="71">
        <f t="shared" si="16"/>
        <v>900.00000000000011</v>
      </c>
      <c r="AA107">
        <v>103</v>
      </c>
      <c r="AB107">
        <v>1.002</v>
      </c>
    </row>
    <row r="108" spans="2:28" x14ac:dyDescent="0.25">
      <c r="B108" t="s">
        <v>84</v>
      </c>
      <c r="C108" s="75">
        <v>200</v>
      </c>
      <c r="F108" s="5"/>
      <c r="G108" s="3"/>
      <c r="H108" s="3"/>
      <c r="I108"/>
      <c r="J108"/>
      <c r="K108" s="3"/>
      <c r="M108"/>
      <c r="O108" s="3">
        <f t="shared" si="17"/>
        <v>103</v>
      </c>
      <c r="P108" s="13">
        <f t="shared" si="13"/>
        <v>-6.5493334605669418E-2</v>
      </c>
      <c r="Q108" s="13">
        <f t="shared" si="9"/>
        <v>-6.6666666666666931E-3</v>
      </c>
      <c r="R108" s="13">
        <f t="shared" si="14"/>
        <v>22.66</v>
      </c>
      <c r="S108">
        <f t="shared" si="10"/>
        <v>6.6666666666666931E-3</v>
      </c>
      <c r="T108" s="8">
        <f t="shared" si="15"/>
        <v>0.98723835344974442</v>
      </c>
      <c r="U108" s="8">
        <f t="shared" si="11"/>
        <v>0.98458419631271843</v>
      </c>
      <c r="V108">
        <f t="shared" si="12"/>
        <v>0.98723835344974442</v>
      </c>
      <c r="W108" s="71">
        <f t="shared" si="16"/>
        <v>933.33333333333314</v>
      </c>
      <c r="AA108">
        <v>104</v>
      </c>
      <c r="AB108">
        <v>1.002</v>
      </c>
    </row>
    <row r="109" spans="2:28" x14ac:dyDescent="0.25">
      <c r="B109" t="s">
        <v>85</v>
      </c>
      <c r="C109" s="75">
        <v>2.5</v>
      </c>
      <c r="F109" s="5"/>
      <c r="G109" s="3"/>
      <c r="H109" s="3"/>
      <c r="I109"/>
      <c r="J109"/>
      <c r="K109" s="3"/>
      <c r="M109"/>
      <c r="O109" s="3">
        <f t="shared" si="17"/>
        <v>104</v>
      </c>
      <c r="P109" s="13">
        <f t="shared" si="13"/>
        <v>-3.2746667302834709E-2</v>
      </c>
      <c r="Q109" s="13">
        <f t="shared" si="9"/>
        <v>-3.3333333333333466E-3</v>
      </c>
      <c r="R109" s="13">
        <f t="shared" si="14"/>
        <v>22.88</v>
      </c>
      <c r="S109">
        <f t="shared" si="10"/>
        <v>3.3333333333333466E-3</v>
      </c>
      <c r="T109" s="8">
        <f t="shared" si="15"/>
        <v>0.98803632805796693</v>
      </c>
      <c r="U109" s="8">
        <f t="shared" si="11"/>
        <v>0.99156786649713302</v>
      </c>
      <c r="V109">
        <f t="shared" si="12"/>
        <v>0.98803632805796693</v>
      </c>
      <c r="W109" s="71">
        <f t="shared" si="16"/>
        <v>966.66666666666663</v>
      </c>
      <c r="AA109">
        <v>105</v>
      </c>
      <c r="AB109">
        <v>1.002</v>
      </c>
    </row>
    <row r="110" spans="2:28" x14ac:dyDescent="0.25">
      <c r="B110" t="s">
        <v>86</v>
      </c>
      <c r="C110" s="75">
        <v>802.5</v>
      </c>
      <c r="F110" s="5"/>
      <c r="G110" s="3"/>
      <c r="H110" s="3"/>
      <c r="I110"/>
      <c r="J110"/>
      <c r="K110" s="3"/>
      <c r="M110"/>
      <c r="O110" s="3">
        <f t="shared" si="17"/>
        <v>105</v>
      </c>
      <c r="P110" s="13">
        <f t="shared" si="13"/>
        <v>0</v>
      </c>
      <c r="Q110" s="13">
        <f t="shared" si="9"/>
        <v>0</v>
      </c>
      <c r="R110" s="13">
        <f t="shared" si="14"/>
        <v>23.1</v>
      </c>
      <c r="S110">
        <f t="shared" si="10"/>
        <v>0</v>
      </c>
      <c r="T110" s="8">
        <f t="shared" si="15"/>
        <v>0.98878587677857666</v>
      </c>
      <c r="U110" s="8">
        <f t="shared" si="11"/>
        <v>0.99503473214487215</v>
      </c>
      <c r="V110">
        <f t="shared" si="12"/>
        <v>0.98878587677857666</v>
      </c>
      <c r="W110" s="71">
        <f t="shared" si="16"/>
        <v>1000</v>
      </c>
      <c r="AA110">
        <v>106</v>
      </c>
      <c r="AB110">
        <v>1.002</v>
      </c>
    </row>
    <row r="111" spans="2:28" x14ac:dyDescent="0.25">
      <c r="B111" t="s">
        <v>87</v>
      </c>
      <c r="C111" s="75">
        <v>100</v>
      </c>
      <c r="F111" s="5"/>
      <c r="G111" s="3"/>
      <c r="H111" s="3"/>
      <c r="I111"/>
      <c r="J111"/>
      <c r="K111" s="3"/>
      <c r="M111"/>
      <c r="O111" s="3">
        <f t="shared" si="17"/>
        <v>106</v>
      </c>
      <c r="P111" s="13">
        <f t="shared" si="13"/>
        <v>3.2746667302834709E-2</v>
      </c>
      <c r="Q111" s="13">
        <f t="shared" si="9"/>
        <v>3.3333333333333466E-3</v>
      </c>
      <c r="R111" s="13">
        <f t="shared" si="14"/>
        <v>23.32</v>
      </c>
      <c r="S111">
        <f t="shared" si="10"/>
        <v>3.3333333333333466E-3</v>
      </c>
      <c r="T111" s="8">
        <f t="shared" si="15"/>
        <v>0.98803632805796693</v>
      </c>
      <c r="U111" s="8">
        <f t="shared" si="11"/>
        <v>0.99156786649713302</v>
      </c>
      <c r="V111">
        <f t="shared" si="12"/>
        <v>0.99156786649713302</v>
      </c>
      <c r="W111" s="71">
        <f t="shared" si="16"/>
        <v>1033.3333333333335</v>
      </c>
      <c r="AA111">
        <v>107</v>
      </c>
      <c r="AB111">
        <v>1.002</v>
      </c>
    </row>
    <row r="112" spans="2:28" x14ac:dyDescent="0.25">
      <c r="B112" t="s">
        <v>43</v>
      </c>
      <c r="C112" s="75"/>
      <c r="F112" s="5"/>
      <c r="G112" s="3"/>
      <c r="H112" s="3"/>
      <c r="I112"/>
      <c r="J112"/>
      <c r="K112" s="3"/>
      <c r="M112"/>
      <c r="O112" s="3">
        <f t="shared" si="17"/>
        <v>107</v>
      </c>
      <c r="P112" s="13">
        <f t="shared" si="13"/>
        <v>6.5493334605668974E-2</v>
      </c>
      <c r="Q112" s="13">
        <f t="shared" si="9"/>
        <v>6.666666666666648E-3</v>
      </c>
      <c r="R112" s="13">
        <f t="shared" si="14"/>
        <v>23.54</v>
      </c>
      <c r="S112">
        <f t="shared" si="10"/>
        <v>6.666666666666648E-3</v>
      </c>
      <c r="T112" s="8">
        <f t="shared" si="15"/>
        <v>0.98723835344974453</v>
      </c>
      <c r="U112" s="8">
        <f t="shared" si="11"/>
        <v>0.98458419631271865</v>
      </c>
      <c r="V112">
        <f t="shared" si="12"/>
        <v>0.98458419631271865</v>
      </c>
      <c r="W112" s="71">
        <f t="shared" si="16"/>
        <v>1066.6666666666665</v>
      </c>
      <c r="AA112">
        <v>108</v>
      </c>
      <c r="AB112">
        <v>1.002</v>
      </c>
    </row>
    <row r="113" spans="3:28" x14ac:dyDescent="0.25">
      <c r="C113" s="75"/>
      <c r="F113" s="5"/>
      <c r="G113" s="3"/>
      <c r="H113" s="3"/>
      <c r="I113"/>
      <c r="J113"/>
      <c r="K113" s="3"/>
      <c r="M113"/>
      <c r="O113" s="3">
        <f t="shared" si="17"/>
        <v>108</v>
      </c>
      <c r="P113" s="13">
        <f t="shared" si="13"/>
        <v>9.8240001908503682E-2</v>
      </c>
      <c r="Q113" s="13">
        <f t="shared" si="9"/>
        <v>9.999999999999995E-3</v>
      </c>
      <c r="R113" s="13">
        <f t="shared" si="14"/>
        <v>23.76</v>
      </c>
      <c r="S113">
        <f t="shared" si="10"/>
        <v>9.999999999999995E-3</v>
      </c>
      <c r="T113" s="8">
        <f t="shared" si="15"/>
        <v>0.98638905405052091</v>
      </c>
      <c r="U113" s="8">
        <f t="shared" si="11"/>
        <v>0.9702859881370598</v>
      </c>
      <c r="V113">
        <f t="shared" si="12"/>
        <v>0.9702859881370598</v>
      </c>
      <c r="W113" s="71">
        <f t="shared" si="16"/>
        <v>1100</v>
      </c>
      <c r="AA113">
        <v>109</v>
      </c>
      <c r="AB113">
        <v>1.002</v>
      </c>
    </row>
    <row r="114" spans="3:28" x14ac:dyDescent="0.25">
      <c r="C114" s="75"/>
      <c r="F114" s="5"/>
      <c r="G114" s="3"/>
      <c r="H114" s="3"/>
      <c r="I114"/>
      <c r="J114"/>
      <c r="K114" s="3"/>
      <c r="M114"/>
      <c r="O114" s="3">
        <f t="shared" si="17"/>
        <v>109</v>
      </c>
      <c r="P114" s="13">
        <f t="shared" si="13"/>
        <v>0.13098666921133839</v>
      </c>
      <c r="Q114" s="13">
        <f t="shared" si="9"/>
        <v>1.3333333333333341E-2</v>
      </c>
      <c r="R114" s="13">
        <f t="shared" si="14"/>
        <v>23.98</v>
      </c>
      <c r="S114">
        <f t="shared" si="10"/>
        <v>1.3333333333333341E-2</v>
      </c>
      <c r="T114" s="8">
        <f t="shared" si="15"/>
        <v>0.98548538881867187</v>
      </c>
      <c r="U114" s="8">
        <f t="shared" si="11"/>
        <v>0.94190213015607471</v>
      </c>
      <c r="V114">
        <f t="shared" si="12"/>
        <v>0.94190213015607471</v>
      </c>
      <c r="W114" s="71">
        <f t="shared" si="16"/>
        <v>1133.3333333333335</v>
      </c>
      <c r="AA114">
        <v>110</v>
      </c>
      <c r="AB114">
        <v>1.002</v>
      </c>
    </row>
    <row r="115" spans="3:28" x14ac:dyDescent="0.25">
      <c r="C115" s="75"/>
      <c r="F115" s="5"/>
      <c r="G115" s="3"/>
      <c r="H115" s="3"/>
      <c r="I115"/>
      <c r="J115"/>
      <c r="K115" s="3"/>
      <c r="M115"/>
      <c r="O115" s="3">
        <f t="shared" si="17"/>
        <v>110</v>
      </c>
      <c r="P115" s="13">
        <f t="shared" si="13"/>
        <v>0.16373333651417266</v>
      </c>
      <c r="Q115" s="13">
        <f t="shared" si="9"/>
        <v>1.6666666666666642E-2</v>
      </c>
      <c r="R115" s="13">
        <f t="shared" si="14"/>
        <v>24.2</v>
      </c>
      <c r="S115">
        <f t="shared" si="10"/>
        <v>1.6666666666666642E-2</v>
      </c>
      <c r="T115" s="8">
        <f t="shared" si="15"/>
        <v>0.98452417197683717</v>
      </c>
      <c r="U115" s="8">
        <f t="shared" si="11"/>
        <v>0.89097635409691622</v>
      </c>
      <c r="V115">
        <f t="shared" si="12"/>
        <v>0.89097635409691622</v>
      </c>
      <c r="W115" s="71">
        <f t="shared" si="16"/>
        <v>1166.6666666666665</v>
      </c>
      <c r="AA115">
        <v>111</v>
      </c>
      <c r="AB115">
        <v>1.002</v>
      </c>
    </row>
    <row r="116" spans="3:28" x14ac:dyDescent="0.25">
      <c r="C116" s="75"/>
      <c r="F116" s="5"/>
      <c r="G116" s="3"/>
      <c r="H116" s="3"/>
      <c r="I116"/>
      <c r="J116"/>
      <c r="K116" s="3"/>
      <c r="M116"/>
      <c r="O116" s="3">
        <f t="shared" si="17"/>
        <v>111</v>
      </c>
      <c r="P116" s="13">
        <f t="shared" si="13"/>
        <v>0.19648000381700736</v>
      </c>
      <c r="Q116" s="13">
        <f t="shared" si="9"/>
        <v>1.999999999999999E-2</v>
      </c>
      <c r="R116" s="13">
        <f t="shared" si="14"/>
        <v>24.42</v>
      </c>
      <c r="S116">
        <f t="shared" si="10"/>
        <v>1.999999999999999E-2</v>
      </c>
      <c r="T116" s="8">
        <f t="shared" si="15"/>
        <v>0.9835020710554595</v>
      </c>
      <c r="U116" s="8">
        <f t="shared" si="11"/>
        <v>0.81588602962738543</v>
      </c>
      <c r="V116">
        <f t="shared" si="12"/>
        <v>0.81588602962738543</v>
      </c>
      <c r="W116" s="71">
        <f t="shared" si="16"/>
        <v>1200</v>
      </c>
      <c r="AA116">
        <v>112</v>
      </c>
      <c r="AB116">
        <v>1.002</v>
      </c>
    </row>
    <row r="117" spans="3:28" x14ac:dyDescent="0.25">
      <c r="C117" s="75"/>
      <c r="F117" s="5"/>
      <c r="G117" s="3"/>
      <c r="H117" s="3"/>
      <c r="I117"/>
      <c r="J117"/>
      <c r="K117" s="3"/>
      <c r="M117"/>
      <c r="O117" s="3">
        <f t="shared" si="17"/>
        <v>112</v>
      </c>
      <c r="P117" s="13">
        <f t="shared" si="13"/>
        <v>0.22922667111984207</v>
      </c>
      <c r="Q117" s="13">
        <f t="shared" si="9"/>
        <v>2.3333333333333334E-2</v>
      </c>
      <c r="R117" s="13">
        <f t="shared" si="14"/>
        <v>24.64</v>
      </c>
      <c r="S117">
        <f t="shared" si="10"/>
        <v>2.3333333333333334E-2</v>
      </c>
      <c r="T117" s="8">
        <f t="shared" si="15"/>
        <v>0.98241560569857822</v>
      </c>
      <c r="U117" s="8">
        <f t="shared" si="11"/>
        <v>0.73254744048098008</v>
      </c>
      <c r="V117">
        <f t="shared" si="12"/>
        <v>0.73254744048098008</v>
      </c>
      <c r="W117" s="71">
        <f t="shared" si="16"/>
        <v>1233.3333333333333</v>
      </c>
      <c r="AA117">
        <v>113</v>
      </c>
      <c r="AB117">
        <v>1.002</v>
      </c>
    </row>
    <row r="118" spans="3:28" x14ac:dyDescent="0.25">
      <c r="C118" s="75"/>
      <c r="F118" s="5"/>
      <c r="G118" s="3"/>
      <c r="H118" s="3"/>
      <c r="I118"/>
      <c r="J118"/>
      <c r="K118" s="3"/>
      <c r="M118"/>
      <c r="O118" s="3">
        <f t="shared" si="17"/>
        <v>113</v>
      </c>
      <c r="P118" s="13">
        <f t="shared" si="13"/>
        <v>0.26197333842267634</v>
      </c>
      <c r="Q118" s="13">
        <f t="shared" si="9"/>
        <v>2.6666666666666637E-2</v>
      </c>
      <c r="R118" s="13">
        <f t="shared" si="14"/>
        <v>24.86</v>
      </c>
      <c r="S118">
        <f t="shared" si="10"/>
        <v>2.6666666666666637E-2</v>
      </c>
      <c r="T118" s="8">
        <f t="shared" si="15"/>
        <v>0.98126114736520442</v>
      </c>
      <c r="U118" s="8">
        <f t="shared" si="11"/>
        <v>0.66419120149098099</v>
      </c>
      <c r="V118">
        <f t="shared" si="12"/>
        <v>0.66419120149098099</v>
      </c>
      <c r="W118" s="71">
        <f t="shared" si="16"/>
        <v>1266.6666666666665</v>
      </c>
      <c r="AA118">
        <v>114</v>
      </c>
      <c r="AB118">
        <v>1.002</v>
      </c>
    </row>
    <row r="119" spans="3:28" x14ac:dyDescent="0.25">
      <c r="C119" s="75"/>
      <c r="F119" s="5"/>
      <c r="G119" s="3"/>
      <c r="H119" s="3"/>
      <c r="I119"/>
      <c r="J119"/>
      <c r="K119" s="3"/>
      <c r="M119"/>
      <c r="O119" s="3">
        <f t="shared" si="17"/>
        <v>114</v>
      </c>
      <c r="P119" s="13">
        <f t="shared" si="13"/>
        <v>0.29472000572551105</v>
      </c>
      <c r="Q119" s="13">
        <f t="shared" si="9"/>
        <v>2.9999999999999982E-2</v>
      </c>
      <c r="R119" s="13">
        <f t="shared" si="14"/>
        <v>25.080000000000002</v>
      </c>
      <c r="S119">
        <f t="shared" si="10"/>
        <v>2.9999999999999982E-2</v>
      </c>
      <c r="T119" s="8">
        <f t="shared" si="15"/>
        <v>0.98003492007190762</v>
      </c>
      <c r="U119" s="8">
        <f t="shared" si="11"/>
        <v>0.61919724975454016</v>
      </c>
      <c r="V119">
        <f t="shared" si="12"/>
        <v>0.61919724975454016</v>
      </c>
      <c r="W119" s="71">
        <f t="shared" si="16"/>
        <v>1299.9999999999998</v>
      </c>
      <c r="AA119">
        <v>115</v>
      </c>
      <c r="AB119">
        <v>1.002</v>
      </c>
    </row>
    <row r="120" spans="3:28" x14ac:dyDescent="0.25">
      <c r="C120" s="75"/>
      <c r="F120" s="5"/>
      <c r="G120" s="3"/>
      <c r="H120" s="3"/>
      <c r="I120"/>
      <c r="J120"/>
      <c r="K120" s="3"/>
      <c r="M120"/>
      <c r="O120" s="3">
        <f t="shared" si="17"/>
        <v>115</v>
      </c>
      <c r="P120" s="13">
        <f t="shared" si="13"/>
        <v>0.32746667302834576</v>
      </c>
      <c r="Q120" s="13">
        <f t="shared" si="9"/>
        <v>3.3333333333333333E-2</v>
      </c>
      <c r="R120" s="13">
        <f t="shared" si="14"/>
        <v>25.3</v>
      </c>
      <c r="S120">
        <f t="shared" si="10"/>
        <v>3.3333333333333333E-2</v>
      </c>
      <c r="T120" s="8">
        <f t="shared" si="15"/>
        <v>0.97873300233450788</v>
      </c>
      <c r="U120" s="8">
        <f t="shared" si="11"/>
        <v>0.59148326426092135</v>
      </c>
      <c r="V120">
        <f t="shared" si="12"/>
        <v>0.59148326426092135</v>
      </c>
      <c r="W120" s="71">
        <f t="shared" si="16"/>
        <v>1333.3333333333333</v>
      </c>
      <c r="Z120">
        <f>17.4-4.9</f>
        <v>12.499999999999998</v>
      </c>
      <c r="AA120">
        <v>116</v>
      </c>
      <c r="AB120">
        <v>1.002</v>
      </c>
    </row>
    <row r="121" spans="3:28" x14ac:dyDescent="0.25">
      <c r="C121" s="75"/>
      <c r="F121" s="5"/>
      <c r="G121" s="3"/>
      <c r="H121" s="3"/>
      <c r="I121"/>
      <c r="J121"/>
      <c r="K121" s="3"/>
      <c r="M121"/>
      <c r="O121" s="3">
        <f t="shared" si="17"/>
        <v>116</v>
      </c>
      <c r="P121" s="13">
        <f t="shared" si="13"/>
        <v>0.36021334033118046</v>
      </c>
      <c r="Q121" s="13">
        <f t="shared" si="9"/>
        <v>3.6666666666666674E-2</v>
      </c>
      <c r="R121" s="13">
        <f t="shared" si="14"/>
        <v>25.52</v>
      </c>
      <c r="S121">
        <f t="shared" si="10"/>
        <v>3.6666666666666674E-2</v>
      </c>
      <c r="T121" s="8">
        <f t="shared" si="15"/>
        <v>0.97735133047869793</v>
      </c>
      <c r="U121" s="8">
        <f t="shared" si="11"/>
        <v>0.57252846501170751</v>
      </c>
      <c r="V121">
        <f t="shared" si="12"/>
        <v>0.57252846501170751</v>
      </c>
      <c r="W121" s="71">
        <f t="shared" si="16"/>
        <v>1366.666666666667</v>
      </c>
      <c r="Z121">
        <f>16.7-4.9</f>
        <v>11.799999999999999</v>
      </c>
      <c r="AA121">
        <v>117</v>
      </c>
      <c r="AB121">
        <v>1.002</v>
      </c>
    </row>
    <row r="122" spans="3:28" x14ac:dyDescent="0.25">
      <c r="C122" s="75"/>
      <c r="F122" s="5"/>
      <c r="G122" s="3"/>
      <c r="H122" s="3"/>
      <c r="I122"/>
      <c r="J122"/>
      <c r="K122" s="3"/>
      <c r="M122"/>
      <c r="O122" s="3">
        <f t="shared" si="17"/>
        <v>117</v>
      </c>
      <c r="P122" s="13">
        <f t="shared" si="13"/>
        <v>0.39296000763401473</v>
      </c>
      <c r="Q122" s="13">
        <f t="shared" si="9"/>
        <v>3.999999999999998E-2</v>
      </c>
      <c r="R122" s="13">
        <f t="shared" si="14"/>
        <v>25.74</v>
      </c>
      <c r="S122">
        <f t="shared" si="10"/>
        <v>3.999999999999998E-2</v>
      </c>
      <c r="T122" s="8">
        <f t="shared" si="15"/>
        <v>0.97588570350065784</v>
      </c>
      <c r="U122" s="8">
        <f t="shared" si="11"/>
        <v>0.55655148919154962</v>
      </c>
      <c r="V122">
        <f t="shared" si="12"/>
        <v>0.55655148919154962</v>
      </c>
      <c r="W122" s="71">
        <f t="shared" si="16"/>
        <v>1399.9999999999998</v>
      </c>
      <c r="Z122">
        <f>Z120/Z121</f>
        <v>1.0593220338983049</v>
      </c>
      <c r="AA122">
        <v>118</v>
      </c>
      <c r="AB122">
        <v>1.002</v>
      </c>
    </row>
    <row r="123" spans="3:28" x14ac:dyDescent="0.25">
      <c r="C123" s="75"/>
      <c r="F123" s="5"/>
      <c r="G123" s="3"/>
      <c r="H123" s="3"/>
      <c r="I123"/>
      <c r="J123"/>
      <c r="K123" s="3"/>
      <c r="M123"/>
      <c r="O123" s="3">
        <f t="shared" si="17"/>
        <v>118</v>
      </c>
      <c r="P123" s="13">
        <f t="shared" si="13"/>
        <v>0.42570667493684944</v>
      </c>
      <c r="Q123" s="13">
        <f t="shared" si="9"/>
        <v>4.3333333333333321E-2</v>
      </c>
      <c r="R123" s="13">
        <f t="shared" si="14"/>
        <v>25.96</v>
      </c>
      <c r="S123">
        <f t="shared" si="10"/>
        <v>4.3333333333333321E-2</v>
      </c>
      <c r="T123" s="8">
        <f t="shared" si="15"/>
        <v>0.97433178966882916</v>
      </c>
      <c r="U123" s="8">
        <f t="shared" si="11"/>
        <v>0.54038069741354067</v>
      </c>
      <c r="V123">
        <f t="shared" si="12"/>
        <v>0.54038069741354067</v>
      </c>
      <c r="W123" s="71">
        <f t="shared" si="16"/>
        <v>1433.333333333333</v>
      </c>
      <c r="Z123">
        <f>Z122^2</f>
        <v>1.1221631715024416</v>
      </c>
      <c r="AA123">
        <v>119</v>
      </c>
      <c r="AB123">
        <v>1.002</v>
      </c>
    </row>
    <row r="124" spans="3:28" x14ac:dyDescent="0.25">
      <c r="C124" s="75"/>
      <c r="F124" s="5"/>
      <c r="G124" s="3"/>
      <c r="H124" s="3"/>
      <c r="I124"/>
      <c r="J124"/>
      <c r="K124" s="3"/>
      <c r="M124"/>
      <c r="O124" s="3">
        <f t="shared" si="17"/>
        <v>119</v>
      </c>
      <c r="P124" s="13">
        <f t="shared" si="13"/>
        <v>0.45845334223968415</v>
      </c>
      <c r="Q124" s="13">
        <f t="shared" si="9"/>
        <v>4.6666666666666669E-2</v>
      </c>
      <c r="R124" s="13">
        <f t="shared" si="14"/>
        <v>26.18</v>
      </c>
      <c r="S124">
        <f t="shared" si="10"/>
        <v>4.6666666666666669E-2</v>
      </c>
      <c r="T124" s="8">
        <f t="shared" si="15"/>
        <v>0.97268513506647036</v>
      </c>
      <c r="U124" s="8">
        <f t="shared" si="11"/>
        <v>0.52237510099029849</v>
      </c>
      <c r="V124">
        <f t="shared" si="12"/>
        <v>0.52237510099029849</v>
      </c>
      <c r="W124" s="71">
        <f t="shared" si="16"/>
        <v>1466.6666666666667</v>
      </c>
      <c r="Z124" t="e">
        <f>Z123*#REF!</f>
        <v>#REF!</v>
      </c>
      <c r="AA124">
        <v>120</v>
      </c>
      <c r="AB124">
        <v>1.002</v>
      </c>
    </row>
    <row r="125" spans="3:28" x14ac:dyDescent="0.25">
      <c r="C125" s="75"/>
      <c r="F125" s="5"/>
      <c r="G125" s="3"/>
      <c r="H125" s="3"/>
      <c r="I125"/>
      <c r="J125"/>
      <c r="K125" s="3"/>
      <c r="M125"/>
      <c r="O125" s="3">
        <f t="shared" si="17"/>
        <v>120</v>
      </c>
      <c r="P125" s="13">
        <f t="shared" si="13"/>
        <v>0.49120000954251841</v>
      </c>
      <c r="Q125" s="13">
        <f t="shared" si="9"/>
        <v>4.9999999999999975E-2</v>
      </c>
      <c r="R125" s="13">
        <f t="shared" si="14"/>
        <v>26.4</v>
      </c>
      <c r="S125">
        <f t="shared" si="10"/>
        <v>4.9999999999999975E-2</v>
      </c>
      <c r="T125" s="8">
        <f t="shared" si="15"/>
        <v>0.97094117428080384</v>
      </c>
      <c r="U125" s="8">
        <f t="shared" si="11"/>
        <v>0.5017068686797812</v>
      </c>
      <c r="V125">
        <f t="shared" si="12"/>
        <v>0.5017068686797812</v>
      </c>
      <c r="W125" s="71">
        <f t="shared" si="16"/>
        <v>1499.9999999999998</v>
      </c>
      <c r="AA125">
        <v>121</v>
      </c>
      <c r="AB125">
        <v>1.002</v>
      </c>
    </row>
    <row r="126" spans="3:28" x14ac:dyDescent="0.25">
      <c r="C126" s="75"/>
      <c r="F126" s="5"/>
      <c r="G126" s="3"/>
      <c r="H126" s="3"/>
      <c r="I126"/>
      <c r="J126"/>
      <c r="K126" s="3"/>
      <c r="M126"/>
      <c r="O126" s="3">
        <f t="shared" si="17"/>
        <v>121</v>
      </c>
      <c r="P126" s="13">
        <f t="shared" si="13"/>
        <v>0.52394667684535312</v>
      </c>
      <c r="Q126" s="13">
        <f t="shared" si="9"/>
        <v>5.3333333333333316E-2</v>
      </c>
      <c r="R126" s="13">
        <f t="shared" si="14"/>
        <v>26.62</v>
      </c>
      <c r="S126">
        <f t="shared" si="10"/>
        <v>5.3333333333333316E-2</v>
      </c>
      <c r="T126" s="8">
        <f t="shared" si="15"/>
        <v>0.96909524344779785</v>
      </c>
      <c r="U126" s="8">
        <f t="shared" si="11"/>
        <v>0.47802382863088266</v>
      </c>
      <c r="V126">
        <f t="shared" si="12"/>
        <v>0.47802382863088266</v>
      </c>
      <c r="W126" s="71">
        <f t="shared" si="16"/>
        <v>1533.3333333333333</v>
      </c>
      <c r="AA126">
        <v>122</v>
      </c>
      <c r="AB126">
        <v>1.002</v>
      </c>
    </row>
    <row r="127" spans="3:28" x14ac:dyDescent="0.25">
      <c r="C127" s="75"/>
      <c r="F127" s="5"/>
      <c r="G127" s="3"/>
      <c r="H127" s="3"/>
      <c r="I127"/>
      <c r="J127"/>
      <c r="K127" s="3"/>
      <c r="M127"/>
      <c r="O127" s="3">
        <f t="shared" si="17"/>
        <v>122</v>
      </c>
      <c r="P127" s="13">
        <f t="shared" si="13"/>
        <v>0.55669334414818783</v>
      </c>
      <c r="Q127" s="13">
        <f t="shared" si="9"/>
        <v>5.6666666666666664E-2</v>
      </c>
      <c r="R127" s="13">
        <f t="shared" si="14"/>
        <v>26.84</v>
      </c>
      <c r="S127">
        <f t="shared" si="10"/>
        <v>5.6666666666666664E-2</v>
      </c>
      <c r="T127" s="8">
        <f t="shared" si="15"/>
        <v>0.96714259586110352</v>
      </c>
      <c r="U127" s="8">
        <f t="shared" si="11"/>
        <v>0.45131399385522158</v>
      </c>
      <c r="V127">
        <f t="shared" si="12"/>
        <v>0.45131399385522158</v>
      </c>
      <c r="W127" s="71">
        <f t="shared" si="16"/>
        <v>1566.6666666666667</v>
      </c>
      <c r="AA127">
        <v>123</v>
      </c>
      <c r="AB127">
        <v>1.002</v>
      </c>
    </row>
    <row r="128" spans="3:28" x14ac:dyDescent="0.25">
      <c r="C128" s="75"/>
      <c r="F128" s="5"/>
      <c r="G128" s="3"/>
      <c r="H128" s="3"/>
      <c r="I128"/>
      <c r="J128"/>
      <c r="K128" s="3"/>
      <c r="M128"/>
      <c r="O128" s="3">
        <f t="shared" si="17"/>
        <v>123</v>
      </c>
      <c r="P128" s="13">
        <f t="shared" si="13"/>
        <v>0.58944001145102254</v>
      </c>
      <c r="Q128" s="13">
        <f t="shared" si="9"/>
        <v>6.0000000000000012E-2</v>
      </c>
      <c r="R128" s="13">
        <f t="shared" si="14"/>
        <v>27.06</v>
      </c>
      <c r="S128">
        <f t="shared" si="10"/>
        <v>6.0000000000000012E-2</v>
      </c>
      <c r="T128" s="8">
        <f t="shared" si="15"/>
        <v>0.96507842034851166</v>
      </c>
      <c r="U128" s="8">
        <f t="shared" si="11"/>
        <v>0.42181724580303992</v>
      </c>
      <c r="V128">
        <f t="shared" si="12"/>
        <v>0.42181724580303992</v>
      </c>
      <c r="W128" s="71">
        <f t="shared" si="16"/>
        <v>1600.0000000000002</v>
      </c>
      <c r="AA128">
        <v>124</v>
      </c>
      <c r="AB128">
        <v>1.002</v>
      </c>
    </row>
    <row r="129" spans="3:28" x14ac:dyDescent="0.25">
      <c r="C129" s="75"/>
      <c r="F129" s="5"/>
      <c r="G129" s="3"/>
      <c r="H129" s="3"/>
      <c r="I129"/>
      <c r="J129"/>
      <c r="K129" s="3"/>
      <c r="M129"/>
      <c r="O129" s="3">
        <f t="shared" si="17"/>
        <v>124</v>
      </c>
      <c r="P129" s="13">
        <f t="shared" si="13"/>
        <v>0.62218667875385725</v>
      </c>
      <c r="Q129" s="13">
        <f t="shared" si="9"/>
        <v>6.3333333333333353E-2</v>
      </c>
      <c r="R129" s="13">
        <f t="shared" si="14"/>
        <v>27.28</v>
      </c>
      <c r="S129">
        <f t="shared" si="10"/>
        <v>6.3333333333333353E-2</v>
      </c>
      <c r="T129" s="8">
        <f t="shared" si="15"/>
        <v>0.9628978626085436</v>
      </c>
      <c r="U129" s="8">
        <f t="shared" si="11"/>
        <v>0.38980330045856354</v>
      </c>
      <c r="V129">
        <f t="shared" si="12"/>
        <v>0.38980330045856354</v>
      </c>
      <c r="W129" s="71">
        <f t="shared" si="16"/>
        <v>1633.3333333333335</v>
      </c>
      <c r="AA129">
        <v>125</v>
      </c>
      <c r="AB129">
        <v>1.002</v>
      </c>
    </row>
    <row r="130" spans="3:28" x14ac:dyDescent="0.25">
      <c r="C130" s="75"/>
      <c r="F130" s="5"/>
      <c r="G130" s="3"/>
      <c r="H130" s="3"/>
      <c r="I130"/>
      <c r="J130"/>
      <c r="K130" s="3"/>
      <c r="M130"/>
      <c r="O130" s="3">
        <f t="shared" si="17"/>
        <v>125</v>
      </c>
      <c r="P130" s="13">
        <f t="shared" si="13"/>
        <v>0.65493334605669107</v>
      </c>
      <c r="Q130" s="13">
        <f t="shared" si="9"/>
        <v>6.666666666666661E-2</v>
      </c>
      <c r="R130" s="13">
        <f t="shared" si="14"/>
        <v>27.5</v>
      </c>
      <c r="S130">
        <f t="shared" si="10"/>
        <v>6.666666666666661E-2</v>
      </c>
      <c r="T130" s="8">
        <f t="shared" si="15"/>
        <v>0.96059604968242651</v>
      </c>
      <c r="U130" s="8">
        <f t="shared" si="11"/>
        <v>0.35482882612230754</v>
      </c>
      <c r="V130">
        <f t="shared" si="12"/>
        <v>0.35482882612230754</v>
      </c>
      <c r="W130" s="71">
        <f t="shared" si="16"/>
        <v>1666.6666666666663</v>
      </c>
      <c r="AA130">
        <v>126</v>
      </c>
      <c r="AB130">
        <v>1.002</v>
      </c>
    </row>
    <row r="131" spans="3:28" x14ac:dyDescent="0.25">
      <c r="C131" s="75"/>
      <c r="F131" s="5"/>
      <c r="G131" s="3"/>
      <c r="H131" s="3"/>
      <c r="I131"/>
      <c r="J131"/>
      <c r="K131" s="3"/>
      <c r="M131"/>
      <c r="O131" s="3">
        <f t="shared" si="17"/>
        <v>126</v>
      </c>
      <c r="P131" s="13">
        <f t="shared" si="13"/>
        <v>0.68768001335952578</v>
      </c>
      <c r="Q131" s="13">
        <f t="shared" si="9"/>
        <v>6.9999999999999965E-2</v>
      </c>
      <c r="R131" s="13">
        <f t="shared" si="14"/>
        <v>27.72</v>
      </c>
      <c r="S131">
        <f t="shared" si="10"/>
        <v>6.9999999999999965E-2</v>
      </c>
      <c r="T131" s="8">
        <f t="shared" si="15"/>
        <v>0.95816811771164268</v>
      </c>
      <c r="U131" s="8">
        <f t="shared" si="11"/>
        <v>0.31378838119987501</v>
      </c>
      <c r="V131">
        <f t="shared" si="12"/>
        <v>0.31378838119987501</v>
      </c>
      <c r="W131" s="71">
        <f t="shared" si="16"/>
        <v>1699.9999999999998</v>
      </c>
      <c r="AA131">
        <v>127</v>
      </c>
      <c r="AB131">
        <v>1.002</v>
      </c>
    </row>
    <row r="132" spans="3:28" x14ac:dyDescent="0.25">
      <c r="C132" s="75"/>
      <c r="F132" s="5"/>
      <c r="G132" s="3"/>
      <c r="H132" s="3"/>
      <c r="I132"/>
      <c r="J132"/>
      <c r="K132" s="3"/>
      <c r="M132"/>
      <c r="O132" s="3">
        <f t="shared" si="17"/>
        <v>127</v>
      </c>
      <c r="P132" s="13">
        <f t="shared" si="13"/>
        <v>0.72042668066236049</v>
      </c>
      <c r="Q132" s="13">
        <f t="shared" si="9"/>
        <v>7.3333333333333306E-2</v>
      </c>
      <c r="R132" s="13">
        <f t="shared" si="14"/>
        <v>27.94</v>
      </c>
      <c r="S132">
        <f t="shared" si="10"/>
        <v>7.3333333333333306E-2</v>
      </c>
      <c r="T132" s="8">
        <f t="shared" si="15"/>
        <v>0.95560924309742401</v>
      </c>
      <c r="U132" s="8">
        <f t="shared" si="11"/>
        <v>0.26016114681223179</v>
      </c>
      <c r="V132">
        <f t="shared" si="12"/>
        <v>0.26016114681223179</v>
      </c>
      <c r="W132" s="71">
        <f t="shared" si="16"/>
        <v>1733.333333333333</v>
      </c>
      <c r="AA132">
        <v>128</v>
      </c>
      <c r="AB132">
        <v>1.002</v>
      </c>
    </row>
    <row r="133" spans="3:28" x14ac:dyDescent="0.25">
      <c r="C133" s="75"/>
      <c r="F133" s="5"/>
      <c r="G133" s="3"/>
      <c r="H133" s="3"/>
      <c r="I133"/>
      <c r="J133"/>
      <c r="K133" s="3"/>
      <c r="M133"/>
      <c r="O133" s="3">
        <f t="shared" si="17"/>
        <v>128</v>
      </c>
      <c r="P133" s="13">
        <f t="shared" si="13"/>
        <v>0.75317334796519519</v>
      </c>
      <c r="Q133" s="13">
        <f t="shared" ref="Q133:Q159" si="18">P133*$G$18</f>
        <v>7.6666666666666661E-2</v>
      </c>
      <c r="R133" s="13">
        <f t="shared" si="14"/>
        <v>28.16</v>
      </c>
      <c r="S133">
        <f t="shared" ref="S133:S159" si="19">ABS(Q133-$K$38)</f>
        <v>7.6666666666666661E-2</v>
      </c>
      <c r="T133" s="8">
        <f t="shared" si="15"/>
        <v>0.95291467713489908</v>
      </c>
      <c r="U133" s="8">
        <f t="shared" ref="U133:U159" si="20">$K$39/(1+EXP(($S133-$L$39)/$M$39))+$K$40/(1+EXP(($S133-$L$40)/$M$40))+$K$41/(1+EXP(($S133-$L$41)/$M$41))+$K$42/(1+EXP(($S133-$L$42)/$M$42))</f>
        <v>0.19825674472735866</v>
      </c>
      <c r="V133">
        <f t="shared" ref="V133:V159" si="21">IF(Q133-$K$38&gt;0,U133,T133)</f>
        <v>0.19825674472735866</v>
      </c>
      <c r="W133" s="71">
        <f t="shared" si="16"/>
        <v>1766.6666666666667</v>
      </c>
      <c r="AA133">
        <v>129</v>
      </c>
      <c r="AB133">
        <v>1.002</v>
      </c>
    </row>
    <row r="134" spans="3:28" x14ac:dyDescent="0.25">
      <c r="C134" s="75"/>
      <c r="F134" s="5"/>
      <c r="G134" s="3"/>
      <c r="H134" s="3"/>
      <c r="I134"/>
      <c r="J134"/>
      <c r="K134" s="3"/>
      <c r="M134"/>
      <c r="O134" s="3">
        <f t="shared" si="17"/>
        <v>129</v>
      </c>
      <c r="P134" s="13">
        <f t="shared" ref="P134:P159" si="22">$C$24*O134+$C$21</f>
        <v>0.7859200152680299</v>
      </c>
      <c r="Q134" s="13">
        <f t="shared" si="18"/>
        <v>0.08</v>
      </c>
      <c r="R134" s="13">
        <f t="shared" ref="R134:R159" si="23">$S$3*O134</f>
        <v>28.38</v>
      </c>
      <c r="S134">
        <f t="shared" si="19"/>
        <v>0.08</v>
      </c>
      <c r="T134" s="8">
        <f t="shared" ref="T134:T159" si="24">$K$34/(1+EXP(($S134-$L$34)/$M$34))+$K$35/(1+EXP(($S134-$L$35)/$M$35))+$K$36/(1+EXP(($S134-$L$36)/$M$36))+$K$37/(1+EXP(($S134-$L$37)/$M$37))</f>
        <v>0.95007978414013894</v>
      </c>
      <c r="U134" s="8">
        <f t="shared" si="20"/>
        <v>0.14908057028752739</v>
      </c>
      <c r="V134">
        <f t="shared" si="21"/>
        <v>0.14908057028752739</v>
      </c>
      <c r="W134" s="71">
        <f t="shared" ref="W134:W159" si="25">(Q134+W$3)*10000</f>
        <v>1800</v>
      </c>
      <c r="AA134">
        <v>130</v>
      </c>
      <c r="AB134">
        <v>1.002</v>
      </c>
    </row>
    <row r="135" spans="3:28" x14ac:dyDescent="0.25">
      <c r="C135" s="75"/>
      <c r="F135" s="5"/>
      <c r="G135" s="3"/>
      <c r="H135" s="3"/>
      <c r="I135"/>
      <c r="J135"/>
      <c r="K135" s="3"/>
      <c r="M135"/>
      <c r="O135" s="3">
        <f t="shared" si="17"/>
        <v>130</v>
      </c>
      <c r="P135" s="13">
        <f t="shared" si="22"/>
        <v>0.81866668257086461</v>
      </c>
      <c r="Q135" s="13">
        <f t="shared" si="18"/>
        <v>8.3333333333333343E-2</v>
      </c>
      <c r="R135" s="13">
        <f t="shared" si="23"/>
        <v>28.6</v>
      </c>
      <c r="S135">
        <f t="shared" si="19"/>
        <v>8.3333333333333343E-2</v>
      </c>
      <c r="T135" s="8">
        <f t="shared" si="24"/>
        <v>0.94710008302220994</v>
      </c>
      <c r="U135" s="8">
        <f t="shared" si="20"/>
        <v>0.11645674354992214</v>
      </c>
      <c r="V135">
        <f t="shared" si="21"/>
        <v>0.11645674354992214</v>
      </c>
      <c r="W135" s="71">
        <f t="shared" si="25"/>
        <v>1833.3333333333335</v>
      </c>
      <c r="AA135">
        <v>131</v>
      </c>
      <c r="AB135">
        <v>1.002</v>
      </c>
    </row>
    <row r="136" spans="3:28" x14ac:dyDescent="0.25">
      <c r="C136" s="75"/>
      <c r="F136" s="5"/>
      <c r="G136" s="3"/>
      <c r="H136" s="3"/>
      <c r="I136"/>
      <c r="J136"/>
      <c r="K136" s="3"/>
      <c r="M136"/>
      <c r="O136" s="3">
        <f t="shared" ref="O136:O159" si="26">O135+1</f>
        <v>131</v>
      </c>
      <c r="P136" s="13">
        <f t="shared" si="22"/>
        <v>0.85141334987369932</v>
      </c>
      <c r="Q136" s="13">
        <f t="shared" si="18"/>
        <v>8.6666666666666697E-2</v>
      </c>
      <c r="R136" s="13">
        <f t="shared" si="23"/>
        <v>28.82</v>
      </c>
      <c r="S136">
        <f t="shared" si="19"/>
        <v>8.6666666666666697E-2</v>
      </c>
      <c r="T136" s="8">
        <f t="shared" si="24"/>
        <v>0.94397129217386988</v>
      </c>
      <c r="U136" s="8">
        <f t="shared" si="20"/>
        <v>9.2997421265244656E-2</v>
      </c>
      <c r="V136">
        <f t="shared" si="21"/>
        <v>9.2997421265244656E-2</v>
      </c>
      <c r="W136" s="71">
        <f t="shared" si="25"/>
        <v>1866.666666666667</v>
      </c>
      <c r="AA136">
        <v>132</v>
      </c>
      <c r="AB136">
        <v>1.002</v>
      </c>
    </row>
    <row r="137" spans="3:28" x14ac:dyDescent="0.25">
      <c r="C137" s="75"/>
      <c r="F137" s="5"/>
      <c r="G137" s="3"/>
      <c r="H137" s="3"/>
      <c r="I137"/>
      <c r="J137"/>
      <c r="K137" s="3"/>
      <c r="M137"/>
      <c r="O137" s="3">
        <f t="shared" si="26"/>
        <v>132</v>
      </c>
      <c r="P137" s="13">
        <f t="shared" si="22"/>
        <v>0.88416001717653314</v>
      </c>
      <c r="Q137" s="13">
        <f t="shared" si="18"/>
        <v>8.9999999999999955E-2</v>
      </c>
      <c r="R137" s="13">
        <f t="shared" si="23"/>
        <v>29.04</v>
      </c>
      <c r="S137">
        <f t="shared" si="19"/>
        <v>8.9999999999999955E-2</v>
      </c>
      <c r="T137" s="8">
        <f t="shared" si="24"/>
        <v>0.94068937746336467</v>
      </c>
      <c r="U137" s="8">
        <f t="shared" si="20"/>
        <v>7.4522663241630871E-2</v>
      </c>
      <c r="V137">
        <f t="shared" si="21"/>
        <v>7.4522663241630871E-2</v>
      </c>
      <c r="W137" s="71">
        <f t="shared" si="25"/>
        <v>1899.9999999999995</v>
      </c>
      <c r="AA137">
        <v>133</v>
      </c>
      <c r="AB137">
        <v>1.002</v>
      </c>
    </row>
    <row r="138" spans="3:28" x14ac:dyDescent="0.25">
      <c r="C138" s="75"/>
      <c r="F138" s="5"/>
      <c r="G138" s="3"/>
      <c r="H138" s="3"/>
      <c r="I138"/>
      <c r="J138"/>
      <c r="K138" s="3"/>
      <c r="M138"/>
      <c r="O138" s="3">
        <f t="shared" si="26"/>
        <v>133</v>
      </c>
      <c r="P138" s="13">
        <f t="shared" si="22"/>
        <v>0.91690668447936785</v>
      </c>
      <c r="Q138" s="13">
        <f t="shared" si="18"/>
        <v>9.3333333333333296E-2</v>
      </c>
      <c r="R138" s="13">
        <f t="shared" si="23"/>
        <v>29.26</v>
      </c>
      <c r="S138">
        <f t="shared" si="19"/>
        <v>9.3333333333333296E-2</v>
      </c>
      <c r="T138" s="8">
        <f t="shared" si="24"/>
        <v>0.93725060300579477</v>
      </c>
      <c r="U138" s="8">
        <f t="shared" si="20"/>
        <v>5.949914927333614E-2</v>
      </c>
      <c r="V138">
        <f t="shared" si="21"/>
        <v>5.949914927333614E-2</v>
      </c>
      <c r="W138" s="71">
        <f t="shared" si="25"/>
        <v>1933.333333333333</v>
      </c>
      <c r="AA138">
        <v>134</v>
      </c>
      <c r="AB138">
        <v>1.002</v>
      </c>
    </row>
    <row r="139" spans="3:28" x14ac:dyDescent="0.25">
      <c r="C139" s="75"/>
      <c r="F139" s="5"/>
      <c r="G139" s="3"/>
      <c r="H139" s="3"/>
      <c r="I139"/>
      <c r="J139"/>
      <c r="K139" s="3"/>
      <c r="M139"/>
      <c r="O139" s="3">
        <f t="shared" si="26"/>
        <v>134</v>
      </c>
      <c r="P139" s="13">
        <f t="shared" si="22"/>
        <v>0.94965335178220256</v>
      </c>
      <c r="Q139" s="13">
        <f t="shared" si="18"/>
        <v>9.6666666666666637E-2</v>
      </c>
      <c r="R139" s="13">
        <f t="shared" si="23"/>
        <v>29.48</v>
      </c>
      <c r="S139">
        <f t="shared" si="19"/>
        <v>9.6666666666666637E-2</v>
      </c>
      <c r="T139" s="8">
        <f t="shared" si="24"/>
        <v>0.93365158427610107</v>
      </c>
      <c r="U139" s="8">
        <f t="shared" si="20"/>
        <v>4.7253634493099578E-2</v>
      </c>
      <c r="V139">
        <f t="shared" si="21"/>
        <v>4.7253634493099578E-2</v>
      </c>
      <c r="W139" s="71">
        <f t="shared" si="25"/>
        <v>1966.6666666666665</v>
      </c>
      <c r="AA139">
        <v>135</v>
      </c>
      <c r="AB139">
        <v>1.002</v>
      </c>
    </row>
    <row r="140" spans="3:28" x14ac:dyDescent="0.25">
      <c r="C140" s="75"/>
      <c r="F140" s="5"/>
      <c r="G140" s="3"/>
      <c r="H140" s="3"/>
      <c r="I140"/>
      <c r="J140"/>
      <c r="K140" s="3"/>
      <c r="M140"/>
      <c r="O140" s="3">
        <f t="shared" si="26"/>
        <v>135</v>
      </c>
      <c r="P140" s="13">
        <f t="shared" si="22"/>
        <v>0.98240001908503727</v>
      </c>
      <c r="Q140" s="13">
        <f t="shared" si="18"/>
        <v>9.9999999999999992E-2</v>
      </c>
      <c r="R140" s="13">
        <f t="shared" si="23"/>
        <v>29.7</v>
      </c>
      <c r="S140">
        <f t="shared" si="19"/>
        <v>9.9999999999999992E-2</v>
      </c>
      <c r="T140" s="8">
        <f t="shared" si="24"/>
        <v>0.92988934299762882</v>
      </c>
      <c r="U140" s="8">
        <f t="shared" si="20"/>
        <v>3.7339337685023802E-2</v>
      </c>
      <c r="V140">
        <f t="shared" si="21"/>
        <v>3.7339337685023802E-2</v>
      </c>
      <c r="W140" s="71">
        <f t="shared" si="25"/>
        <v>2000</v>
      </c>
      <c r="AA140">
        <v>136</v>
      </c>
      <c r="AB140">
        <v>1.002</v>
      </c>
    </row>
    <row r="141" spans="3:28" x14ac:dyDescent="0.25">
      <c r="C141" s="75"/>
      <c r="F141" s="5"/>
      <c r="G141" s="3"/>
      <c r="H141" s="3"/>
      <c r="I141"/>
      <c r="J141"/>
      <c r="K141" s="3"/>
      <c r="M141"/>
      <c r="O141" s="3">
        <f t="shared" si="26"/>
        <v>136</v>
      </c>
      <c r="P141" s="13">
        <f t="shared" si="22"/>
        <v>1.015146686387872</v>
      </c>
      <c r="Q141" s="13">
        <f t="shared" si="18"/>
        <v>0.10333333333333333</v>
      </c>
      <c r="R141" s="13">
        <f t="shared" si="23"/>
        <v>29.92</v>
      </c>
      <c r="S141">
        <f t="shared" si="19"/>
        <v>0.10333333333333333</v>
      </c>
      <c r="T141" s="8">
        <f t="shared" si="24"/>
        <v>0.92596136310174915</v>
      </c>
      <c r="U141" s="8">
        <f t="shared" si="20"/>
        <v>2.9378178583521274E-2</v>
      </c>
      <c r="V141">
        <f t="shared" si="21"/>
        <v>2.9378178583521274E-2</v>
      </c>
      <c r="W141" s="71">
        <f t="shared" si="25"/>
        <v>2033.3333333333335</v>
      </c>
      <c r="AA141">
        <v>137</v>
      </c>
      <c r="AB141">
        <v>1.002</v>
      </c>
    </row>
    <row r="142" spans="3:28" x14ac:dyDescent="0.25">
      <c r="C142" s="75"/>
      <c r="F142" s="5"/>
      <c r="G142" s="3"/>
      <c r="H142" s="3"/>
      <c r="I142"/>
      <c r="J142"/>
      <c r="K142" s="3"/>
      <c r="M142"/>
      <c r="O142" s="3">
        <f t="shared" si="26"/>
        <v>137</v>
      </c>
      <c r="P142" s="13">
        <f t="shared" si="22"/>
        <v>1.0478933536907067</v>
      </c>
      <c r="Q142" s="13">
        <f t="shared" si="18"/>
        <v>0.10666666666666669</v>
      </c>
      <c r="R142" s="13">
        <f t="shared" si="23"/>
        <v>30.14</v>
      </c>
      <c r="S142">
        <f t="shared" si="19"/>
        <v>0.10666666666666669</v>
      </c>
      <c r="T142" s="8">
        <f t="shared" si="24"/>
        <v>0.92186564690685235</v>
      </c>
      <c r="U142" s="8">
        <f t="shared" si="20"/>
        <v>2.3033015173521888E-2</v>
      </c>
      <c r="V142">
        <f t="shared" si="21"/>
        <v>2.3033015173521888E-2</v>
      </c>
      <c r="W142" s="71">
        <f t="shared" si="25"/>
        <v>2066.666666666667</v>
      </c>
      <c r="AA142">
        <v>138</v>
      </c>
      <c r="AB142">
        <v>1.002</v>
      </c>
    </row>
    <row r="143" spans="3:28" x14ac:dyDescent="0.25">
      <c r="C143" s="75"/>
      <c r="F143" s="5"/>
      <c r="G143" s="3"/>
      <c r="H143" s="3"/>
      <c r="I143"/>
      <c r="J143"/>
      <c r="K143" s="3"/>
      <c r="M143"/>
      <c r="O143" s="3">
        <f t="shared" si="26"/>
        <v>138</v>
      </c>
      <c r="P143" s="13">
        <f t="shared" si="22"/>
        <v>1.0806400209935414</v>
      </c>
      <c r="Q143" s="13">
        <f t="shared" si="18"/>
        <v>0.11000000000000003</v>
      </c>
      <c r="R143" s="13">
        <f t="shared" si="23"/>
        <v>30.36</v>
      </c>
      <c r="S143">
        <f t="shared" si="19"/>
        <v>0.11000000000000003</v>
      </c>
      <c r="T143" s="8">
        <f t="shared" si="24"/>
        <v>0.9176007705113266</v>
      </c>
      <c r="U143" s="8">
        <f t="shared" si="20"/>
        <v>1.8007284916110249E-2</v>
      </c>
      <c r="V143">
        <f t="shared" si="21"/>
        <v>1.8007284916110249E-2</v>
      </c>
      <c r="W143" s="71">
        <f t="shared" si="25"/>
        <v>2100</v>
      </c>
      <c r="AA143">
        <v>139</v>
      </c>
      <c r="AB143">
        <v>1.002</v>
      </c>
    </row>
    <row r="144" spans="3:28" x14ac:dyDescent="0.25">
      <c r="C144" s="75"/>
      <c r="F144" s="5"/>
      <c r="G144" s="3"/>
      <c r="H144" s="3"/>
      <c r="I144"/>
      <c r="J144"/>
      <c r="K144" s="3"/>
      <c r="M144"/>
      <c r="O144" s="3">
        <f t="shared" si="26"/>
        <v>139</v>
      </c>
      <c r="P144" s="13">
        <f t="shared" si="22"/>
        <v>1.1133866882963752</v>
      </c>
      <c r="Q144" s="13">
        <f t="shared" si="18"/>
        <v>0.11333333333333329</v>
      </c>
      <c r="R144" s="13">
        <f t="shared" si="23"/>
        <v>30.580000000000002</v>
      </c>
      <c r="S144">
        <f t="shared" si="19"/>
        <v>0.11333333333333329</v>
      </c>
      <c r="T144" s="8">
        <f t="shared" si="24"/>
        <v>0.91316593723720119</v>
      </c>
      <c r="U144" s="8">
        <f t="shared" si="20"/>
        <v>1.4046608746504208E-2</v>
      </c>
      <c r="V144">
        <f t="shared" si="21"/>
        <v>1.4046608746504208E-2</v>
      </c>
      <c r="W144" s="71">
        <f t="shared" si="25"/>
        <v>2133.333333333333</v>
      </c>
      <c r="AA144">
        <v>140</v>
      </c>
      <c r="AB144">
        <v>1.002</v>
      </c>
    </row>
    <row r="145" spans="3:28" x14ac:dyDescent="0.25">
      <c r="C145" s="75"/>
      <c r="F145" s="5"/>
      <c r="G145" s="3"/>
      <c r="H145" s="3"/>
      <c r="I145"/>
      <c r="J145"/>
      <c r="K145" s="3"/>
      <c r="M145"/>
      <c r="O145" s="3">
        <f t="shared" si="26"/>
        <v>140</v>
      </c>
      <c r="P145" s="13">
        <f t="shared" si="22"/>
        <v>1.1461333555992099</v>
      </c>
      <c r="Q145" s="13">
        <f t="shared" si="18"/>
        <v>0.11666666666666663</v>
      </c>
      <c r="R145" s="13">
        <f t="shared" si="23"/>
        <v>30.8</v>
      </c>
      <c r="S145">
        <f t="shared" si="19"/>
        <v>0.11666666666666663</v>
      </c>
      <c r="T145" s="8">
        <f t="shared" si="24"/>
        <v>0.90856102780131809</v>
      </c>
      <c r="U145" s="8">
        <f t="shared" si="20"/>
        <v>1.0937733406928682E-2</v>
      </c>
      <c r="V145">
        <f t="shared" si="21"/>
        <v>1.0937733406928682E-2</v>
      </c>
      <c r="W145" s="71">
        <f t="shared" si="25"/>
        <v>2166.6666666666661</v>
      </c>
      <c r="AA145">
        <v>141</v>
      </c>
      <c r="AB145">
        <v>1.002</v>
      </c>
    </row>
    <row r="146" spans="3:28" x14ac:dyDescent="0.25">
      <c r="C146" s="75"/>
      <c r="F146" s="5"/>
      <c r="G146" s="3"/>
      <c r="H146" s="3"/>
      <c r="I146"/>
      <c r="J146"/>
      <c r="K146" s="3"/>
      <c r="M146"/>
      <c r="O146" s="3">
        <f t="shared" si="26"/>
        <v>141</v>
      </c>
      <c r="P146" s="13">
        <f t="shared" si="22"/>
        <v>1.1788800229020446</v>
      </c>
      <c r="Q146" s="13">
        <f t="shared" si="18"/>
        <v>0.11999999999999998</v>
      </c>
      <c r="R146" s="13">
        <f t="shared" si="23"/>
        <v>31.02</v>
      </c>
      <c r="S146">
        <f t="shared" si="19"/>
        <v>0.11999999999999998</v>
      </c>
      <c r="T146" s="8">
        <f t="shared" si="24"/>
        <v>0.90378664573107659</v>
      </c>
      <c r="U146" s="8">
        <f t="shared" si="20"/>
        <v>8.5051381391064631E-3</v>
      </c>
      <c r="V146">
        <f t="shared" si="21"/>
        <v>8.5051381391064631E-3</v>
      </c>
      <c r="W146" s="71">
        <f t="shared" si="25"/>
        <v>2199.9999999999995</v>
      </c>
      <c r="AA146">
        <v>142</v>
      </c>
      <c r="AB146">
        <v>1.002</v>
      </c>
    </row>
    <row r="147" spans="3:28" x14ac:dyDescent="0.25">
      <c r="C147" s="75"/>
      <c r="F147" s="5"/>
      <c r="G147" s="3"/>
      <c r="H147" s="3"/>
      <c r="I147"/>
      <c r="J147"/>
      <c r="K147" s="3"/>
      <c r="M147"/>
      <c r="O147" s="3">
        <f t="shared" si="26"/>
        <v>142</v>
      </c>
      <c r="P147" s="13">
        <f t="shared" si="22"/>
        <v>1.2116266902048793</v>
      </c>
      <c r="Q147" s="13">
        <f t="shared" si="18"/>
        <v>0.12333333333333332</v>
      </c>
      <c r="R147" s="13">
        <f t="shared" si="23"/>
        <v>31.24</v>
      </c>
      <c r="S147">
        <f t="shared" si="19"/>
        <v>0.12333333333333332</v>
      </c>
      <c r="T147" s="8">
        <f t="shared" si="24"/>
        <v>0.8988441563828109</v>
      </c>
      <c r="U147" s="8">
        <f t="shared" si="20"/>
        <v>6.6064014451352911E-3</v>
      </c>
      <c r="V147">
        <f t="shared" si="21"/>
        <v>6.6064014451352911E-3</v>
      </c>
      <c r="W147" s="71">
        <f t="shared" si="25"/>
        <v>2233.3333333333335</v>
      </c>
      <c r="AA147">
        <v>143</v>
      </c>
      <c r="AB147">
        <v>1.002</v>
      </c>
    </row>
    <row r="148" spans="3:28" x14ac:dyDescent="0.25">
      <c r="C148" s="75"/>
      <c r="F148" s="5"/>
      <c r="G148" s="3"/>
      <c r="H148" s="3"/>
      <c r="I148"/>
      <c r="J148"/>
      <c r="K148" s="3"/>
      <c r="M148"/>
      <c r="O148" s="3">
        <f t="shared" si="26"/>
        <v>143</v>
      </c>
      <c r="P148" s="13">
        <f t="shared" si="22"/>
        <v>1.2443733575077141</v>
      </c>
      <c r="Q148" s="13">
        <f t="shared" si="18"/>
        <v>0.12666666666666668</v>
      </c>
      <c r="R148" s="13">
        <f t="shared" si="23"/>
        <v>31.46</v>
      </c>
      <c r="S148">
        <f t="shared" si="19"/>
        <v>0.12666666666666668</v>
      </c>
      <c r="T148" s="8">
        <f t="shared" si="24"/>
        <v>0.89373571776176397</v>
      </c>
      <c r="U148" s="8">
        <f t="shared" si="20"/>
        <v>5.127216478221292E-3</v>
      </c>
      <c r="V148">
        <f t="shared" si="21"/>
        <v>5.127216478221292E-3</v>
      </c>
      <c r="W148" s="71">
        <f t="shared" si="25"/>
        <v>2266.666666666667</v>
      </c>
      <c r="AA148">
        <v>144</v>
      </c>
      <c r="AB148">
        <v>1.002</v>
      </c>
    </row>
    <row r="149" spans="3:28" x14ac:dyDescent="0.25">
      <c r="C149" s="75"/>
      <c r="F149" s="5"/>
      <c r="G149" s="3"/>
      <c r="H149" s="3"/>
      <c r="I149"/>
      <c r="J149"/>
      <c r="K149" s="3"/>
      <c r="M149"/>
      <c r="O149" s="3">
        <f t="shared" si="26"/>
        <v>144</v>
      </c>
      <c r="P149" s="13">
        <f t="shared" si="22"/>
        <v>1.2771200248105488</v>
      </c>
      <c r="Q149" s="13">
        <f t="shared" si="18"/>
        <v>0.13</v>
      </c>
      <c r="R149" s="13">
        <f t="shared" si="23"/>
        <v>31.68</v>
      </c>
      <c r="S149">
        <f t="shared" si="19"/>
        <v>0.13</v>
      </c>
      <c r="T149" s="8">
        <f t="shared" si="24"/>
        <v>0.88846430117943953</v>
      </c>
      <c r="U149" s="8">
        <f t="shared" si="20"/>
        <v>3.9766074630823269E-3</v>
      </c>
      <c r="V149">
        <f t="shared" si="21"/>
        <v>3.9766074630823269E-3</v>
      </c>
      <c r="W149" s="71">
        <f t="shared" si="25"/>
        <v>2300</v>
      </c>
      <c r="AA149">
        <v>145</v>
      </c>
      <c r="AB149">
        <v>1.002</v>
      </c>
    </row>
    <row r="150" spans="3:28" x14ac:dyDescent="0.25">
      <c r="C150" s="75"/>
      <c r="F150" s="5"/>
      <c r="G150" s="3"/>
      <c r="H150" s="3"/>
      <c r="I150"/>
      <c r="J150"/>
      <c r="K150" s="3"/>
      <c r="M150"/>
      <c r="O150" s="3">
        <f t="shared" si="26"/>
        <v>145</v>
      </c>
      <c r="P150" s="13">
        <f t="shared" si="22"/>
        <v>1.3098666921133826</v>
      </c>
      <c r="Q150" s="13">
        <f t="shared" si="18"/>
        <v>0.13333333333333328</v>
      </c>
      <c r="R150" s="13">
        <f t="shared" si="23"/>
        <v>31.9</v>
      </c>
      <c r="S150">
        <f t="shared" si="19"/>
        <v>0.13333333333333328</v>
      </c>
      <c r="T150" s="8">
        <f t="shared" si="24"/>
        <v>0.88303369960846534</v>
      </c>
      <c r="U150" s="8">
        <f t="shared" si="20"/>
        <v>3.0826323997059182E-3</v>
      </c>
      <c r="V150">
        <f t="shared" si="21"/>
        <v>3.0826323997059182E-3</v>
      </c>
      <c r="W150" s="71">
        <f t="shared" si="25"/>
        <v>2333.333333333333</v>
      </c>
      <c r="AA150">
        <v>146</v>
      </c>
      <c r="AB150">
        <v>1.002</v>
      </c>
    </row>
    <row r="151" spans="3:28" x14ac:dyDescent="0.25">
      <c r="C151" s="75"/>
      <c r="F151" s="5"/>
      <c r="G151" s="3"/>
      <c r="H151" s="3"/>
      <c r="I151"/>
      <c r="J151"/>
      <c r="K151" s="3"/>
      <c r="M151"/>
      <c r="O151" s="3">
        <f t="shared" si="26"/>
        <v>146</v>
      </c>
      <c r="P151" s="13">
        <f t="shared" si="22"/>
        <v>1.3426133594162173</v>
      </c>
      <c r="Q151" s="13">
        <f t="shared" si="18"/>
        <v>0.13666666666666663</v>
      </c>
      <c r="R151" s="13">
        <f t="shared" si="23"/>
        <v>32.119999999999997</v>
      </c>
      <c r="S151">
        <f t="shared" si="19"/>
        <v>0.13666666666666663</v>
      </c>
      <c r="T151" s="8">
        <f t="shared" si="24"/>
        <v>0.87744852139212126</v>
      </c>
      <c r="U151" s="8">
        <f t="shared" si="20"/>
        <v>2.3886818220834913E-3</v>
      </c>
      <c r="V151">
        <f t="shared" si="21"/>
        <v>2.3886818220834913E-3</v>
      </c>
      <c r="W151" s="71">
        <f t="shared" si="25"/>
        <v>2366.6666666666665</v>
      </c>
      <c r="AA151">
        <v>147</v>
      </c>
      <c r="AB151">
        <v>1.002</v>
      </c>
    </row>
    <row r="152" spans="3:28" x14ac:dyDescent="0.25">
      <c r="C152" s="75"/>
      <c r="F152" s="5"/>
      <c r="G152" s="3"/>
      <c r="H152" s="3"/>
      <c r="I152"/>
      <c r="J152"/>
      <c r="K152" s="3"/>
      <c r="M152"/>
      <c r="O152" s="3">
        <f t="shared" si="26"/>
        <v>147</v>
      </c>
      <c r="P152" s="13">
        <f t="shared" si="22"/>
        <v>1.375360026719052</v>
      </c>
      <c r="Q152" s="13">
        <f t="shared" si="18"/>
        <v>0.13999999999999996</v>
      </c>
      <c r="R152" s="13">
        <f t="shared" si="23"/>
        <v>32.340000000000003</v>
      </c>
      <c r="S152">
        <f t="shared" si="19"/>
        <v>0.13999999999999996</v>
      </c>
      <c r="T152" s="8">
        <f t="shared" si="24"/>
        <v>0.87171416671145019</v>
      </c>
      <c r="U152" s="8">
        <f t="shared" si="20"/>
        <v>1.85038054072513E-3</v>
      </c>
      <c r="V152">
        <f t="shared" si="21"/>
        <v>1.85038054072513E-3</v>
      </c>
      <c r="W152" s="71">
        <f t="shared" si="25"/>
        <v>2399.9999999999995</v>
      </c>
      <c r="AA152">
        <v>148</v>
      </c>
      <c r="AB152">
        <v>1.002</v>
      </c>
    </row>
    <row r="153" spans="3:28" x14ac:dyDescent="0.25">
      <c r="C153" s="75"/>
      <c r="F153" s="5"/>
      <c r="G153" s="3"/>
      <c r="H153" s="3"/>
      <c r="I153"/>
      <c r="J153"/>
      <c r="K153" s="3"/>
      <c r="M153"/>
      <c r="O153" s="3">
        <f t="shared" si="26"/>
        <v>148</v>
      </c>
      <c r="P153" s="13">
        <f t="shared" si="22"/>
        <v>1.4081066940218867</v>
      </c>
      <c r="Q153" s="13">
        <f t="shared" si="18"/>
        <v>0.14333333333333331</v>
      </c>
      <c r="R153" s="13">
        <f t="shared" si="23"/>
        <v>32.56</v>
      </c>
      <c r="S153">
        <f t="shared" si="19"/>
        <v>0.14333333333333331</v>
      </c>
      <c r="T153" s="8">
        <f t="shared" si="24"/>
        <v>0.86583678387084095</v>
      </c>
      <c r="U153" s="8">
        <f t="shared" si="20"/>
        <v>1.4330456512218232E-3</v>
      </c>
      <c r="V153">
        <f t="shared" si="21"/>
        <v>1.4330456512218232E-3</v>
      </c>
      <c r="W153" s="71">
        <f t="shared" si="25"/>
        <v>2433.333333333333</v>
      </c>
      <c r="AA153">
        <v>149</v>
      </c>
      <c r="AB153">
        <v>1.002</v>
      </c>
    </row>
    <row r="154" spans="3:28" x14ac:dyDescent="0.25">
      <c r="C154" s="75"/>
      <c r="F154" s="5"/>
      <c r="G154" s="3"/>
      <c r="H154" s="3"/>
      <c r="I154"/>
      <c r="J154"/>
      <c r="K154" s="3"/>
      <c r="M154"/>
      <c r="O154" s="3">
        <f t="shared" si="26"/>
        <v>149</v>
      </c>
      <c r="P154" s="13">
        <f t="shared" si="22"/>
        <v>1.4408533613247214</v>
      </c>
      <c r="Q154" s="13">
        <f t="shared" si="18"/>
        <v>0.14666666666666667</v>
      </c>
      <c r="R154" s="13">
        <f t="shared" si="23"/>
        <v>32.78</v>
      </c>
      <c r="S154">
        <f t="shared" si="19"/>
        <v>0.14666666666666667</v>
      </c>
      <c r="T154" s="8">
        <f t="shared" si="24"/>
        <v>0.85982320197940132</v>
      </c>
      <c r="U154" s="8">
        <f t="shared" si="20"/>
        <v>1.1096309474006659E-3</v>
      </c>
      <c r="V154">
        <f t="shared" si="21"/>
        <v>1.1096309474006659E-3</v>
      </c>
      <c r="W154" s="71">
        <f t="shared" si="25"/>
        <v>2466.6666666666665</v>
      </c>
      <c r="AA154">
        <v>150</v>
      </c>
      <c r="AB154">
        <v>1.002</v>
      </c>
    </row>
    <row r="155" spans="3:28" x14ac:dyDescent="0.25">
      <c r="C155" s="75"/>
      <c r="F155" s="5"/>
      <c r="G155" s="3"/>
      <c r="H155" s="3"/>
      <c r="I155"/>
      <c r="J155"/>
      <c r="K155" s="3"/>
      <c r="M155"/>
      <c r="O155" s="3">
        <f t="shared" si="26"/>
        <v>150</v>
      </c>
      <c r="P155" s="13">
        <f t="shared" si="22"/>
        <v>1.4736000286275561</v>
      </c>
      <c r="Q155" s="13">
        <f t="shared" si="18"/>
        <v>0.15</v>
      </c>
      <c r="R155" s="13">
        <f t="shared" si="23"/>
        <v>33</v>
      </c>
      <c r="S155">
        <f t="shared" si="19"/>
        <v>0.15</v>
      </c>
      <c r="T155" s="8">
        <f t="shared" si="24"/>
        <v>0.85368083590304733</v>
      </c>
      <c r="U155" s="8">
        <f t="shared" si="20"/>
        <v>8.5908229845959715E-4</v>
      </c>
      <c r="V155">
        <f t="shared" si="21"/>
        <v>8.5908229845959715E-4</v>
      </c>
      <c r="W155" s="71">
        <f t="shared" si="25"/>
        <v>2500</v>
      </c>
      <c r="AA155">
        <v>151</v>
      </c>
      <c r="AB155">
        <v>1.002</v>
      </c>
    </row>
    <row r="156" spans="3:28" x14ac:dyDescent="0.25">
      <c r="C156" s="75"/>
      <c r="F156" s="5"/>
      <c r="G156" s="3"/>
      <c r="H156" s="3"/>
      <c r="I156"/>
      <c r="J156"/>
      <c r="K156" s="3"/>
      <c r="M156"/>
      <c r="O156" s="3">
        <f t="shared" si="26"/>
        <v>151</v>
      </c>
      <c r="P156" s="13">
        <f t="shared" si="22"/>
        <v>1.5063466959303908</v>
      </c>
      <c r="Q156" s="13">
        <f t="shared" si="18"/>
        <v>0.15333333333333335</v>
      </c>
      <c r="R156" s="13">
        <f t="shared" si="23"/>
        <v>33.22</v>
      </c>
      <c r="S156">
        <f t="shared" si="19"/>
        <v>0.15333333333333335</v>
      </c>
      <c r="T156" s="8">
        <f t="shared" si="24"/>
        <v>0.84741755833194887</v>
      </c>
      <c r="U156" s="8">
        <f t="shared" si="20"/>
        <v>6.6503224483852649E-4</v>
      </c>
      <c r="V156">
        <f t="shared" si="21"/>
        <v>6.6503224483852649E-4</v>
      </c>
      <c r="W156" s="71">
        <f t="shared" si="25"/>
        <v>2533.3333333333335</v>
      </c>
      <c r="AA156">
        <v>152</v>
      </c>
      <c r="AB156">
        <v>1.002</v>
      </c>
    </row>
    <row r="157" spans="3:28" x14ac:dyDescent="0.25">
      <c r="C157" s="75"/>
      <c r="F157" s="5"/>
      <c r="G157" s="3"/>
      <c r="H157" s="3"/>
      <c r="I157"/>
      <c r="J157"/>
      <c r="K157" s="3"/>
      <c r="M157"/>
      <c r="O157" s="3">
        <f t="shared" si="26"/>
        <v>152</v>
      </c>
      <c r="P157" s="13">
        <f t="shared" si="22"/>
        <v>1.5390933632332247</v>
      </c>
      <c r="Q157" s="13">
        <f t="shared" si="18"/>
        <v>0.15666666666666662</v>
      </c>
      <c r="R157" s="13">
        <f t="shared" si="23"/>
        <v>33.44</v>
      </c>
      <c r="S157">
        <f t="shared" si="19"/>
        <v>0.15666666666666662</v>
      </c>
      <c r="T157" s="8">
        <f t="shared" si="24"/>
        <v>0.84104153229739587</v>
      </c>
      <c r="U157" s="8">
        <f t="shared" si="20"/>
        <v>5.1477002346049636E-4</v>
      </c>
      <c r="V157">
        <f t="shared" si="21"/>
        <v>5.1477002346049636E-4</v>
      </c>
      <c r="W157" s="71">
        <f t="shared" si="25"/>
        <v>2566.6666666666661</v>
      </c>
      <c r="AA157">
        <v>153</v>
      </c>
      <c r="AB157">
        <v>1.002</v>
      </c>
    </row>
    <row r="158" spans="3:28" x14ac:dyDescent="0.25">
      <c r="C158" s="75"/>
      <c r="F158" s="5"/>
      <c r="G158" s="3"/>
      <c r="H158" s="3"/>
      <c r="I158"/>
      <c r="J158"/>
      <c r="K158" s="3"/>
      <c r="M158"/>
      <c r="O158" s="3">
        <f t="shared" si="26"/>
        <v>153</v>
      </c>
      <c r="P158" s="13">
        <f t="shared" si="22"/>
        <v>1.5718400305360594</v>
      </c>
      <c r="Q158" s="13">
        <f t="shared" si="18"/>
        <v>0.15999999999999995</v>
      </c>
      <c r="R158" s="13">
        <f t="shared" si="23"/>
        <v>33.660000000000004</v>
      </c>
      <c r="S158">
        <f t="shared" si="19"/>
        <v>0.15999999999999995</v>
      </c>
      <c r="T158" s="8">
        <f t="shared" si="24"/>
        <v>0.83456099527054906</v>
      </c>
      <c r="U158" s="8">
        <f t="shared" si="20"/>
        <v>3.9843258226931224E-4</v>
      </c>
      <c r="V158">
        <f t="shared" si="21"/>
        <v>3.9843258226931224E-4</v>
      </c>
      <c r="W158" s="71">
        <f t="shared" si="25"/>
        <v>2599.9999999999995</v>
      </c>
      <c r="AA158">
        <v>154</v>
      </c>
      <c r="AB158">
        <v>1.002</v>
      </c>
    </row>
    <row r="159" spans="3:28" x14ac:dyDescent="0.25">
      <c r="C159" s="75"/>
      <c r="F159" s="5"/>
      <c r="G159" s="3"/>
      <c r="H159" s="3"/>
      <c r="I159"/>
      <c r="J159"/>
      <c r="K159" s="3"/>
      <c r="M159"/>
      <c r="O159" s="3">
        <f t="shared" si="26"/>
        <v>154</v>
      </c>
      <c r="P159" s="13">
        <f t="shared" si="22"/>
        <v>1.6045866978388941</v>
      </c>
      <c r="Q159" s="13">
        <f t="shared" si="18"/>
        <v>0.1633333333333333</v>
      </c>
      <c r="R159" s="13">
        <f t="shared" si="23"/>
        <v>33.880000000000003</v>
      </c>
      <c r="S159">
        <f t="shared" si="19"/>
        <v>0.1633333333333333</v>
      </c>
      <c r="T159" s="8">
        <f t="shared" si="24"/>
        <v>0.82798398279307606</v>
      </c>
      <c r="U159" s="8">
        <f t="shared" si="20"/>
        <v>3.0837135718789823E-4</v>
      </c>
      <c r="V159">
        <f t="shared" si="21"/>
        <v>3.0837135718789823E-4</v>
      </c>
      <c r="W159" s="71">
        <f t="shared" si="25"/>
        <v>2633.333333333333</v>
      </c>
      <c r="AA159">
        <v>155</v>
      </c>
      <c r="AB159">
        <v>1.002</v>
      </c>
    </row>
    <row r="160" spans="3:28" x14ac:dyDescent="0.25">
      <c r="C160" s="75"/>
      <c r="F160" s="5"/>
      <c r="G160" s="3"/>
      <c r="H160" s="3"/>
      <c r="I160"/>
      <c r="J160"/>
      <c r="K160" s="3"/>
      <c r="M160"/>
      <c r="P160" s="3"/>
      <c r="Q160" s="7"/>
      <c r="R160" s="7"/>
      <c r="S160" s="7"/>
      <c r="U160" s="8"/>
      <c r="V160" s="8"/>
      <c r="AA160">
        <v>156</v>
      </c>
      <c r="AB160">
        <v>1.002</v>
      </c>
    </row>
    <row r="161" spans="3:28" x14ac:dyDescent="0.25">
      <c r="C161" s="75"/>
      <c r="F161" s="5"/>
      <c r="G161" s="3"/>
      <c r="H161" s="3"/>
      <c r="I161"/>
      <c r="J161"/>
      <c r="K161" s="3"/>
      <c r="M161"/>
      <c r="P161" s="3"/>
      <c r="Q161" s="7"/>
      <c r="R161" s="7"/>
      <c r="S161" s="7"/>
      <c r="U161" s="8"/>
      <c r="V161" s="8"/>
      <c r="AA161">
        <v>157</v>
      </c>
      <c r="AB161">
        <v>1.002</v>
      </c>
    </row>
    <row r="162" spans="3:28" x14ac:dyDescent="0.25">
      <c r="C162" s="75"/>
      <c r="F162" s="5"/>
      <c r="G162" s="3"/>
      <c r="H162" s="3"/>
      <c r="I162"/>
      <c r="J162"/>
      <c r="K162" s="3"/>
      <c r="M162"/>
      <c r="P162" s="3"/>
      <c r="Q162" s="7"/>
      <c r="R162" s="7"/>
      <c r="S162" s="7"/>
      <c r="U162" s="8"/>
      <c r="V162" s="8"/>
      <c r="AA162">
        <v>158</v>
      </c>
      <c r="AB162">
        <v>1.002</v>
      </c>
    </row>
    <row r="163" spans="3:28" x14ac:dyDescent="0.25">
      <c r="C163" s="75"/>
      <c r="F163" s="5"/>
      <c r="G163" s="3"/>
      <c r="H163" s="3"/>
      <c r="I163"/>
      <c r="J163"/>
      <c r="K163" s="3"/>
      <c r="M163"/>
      <c r="P163" s="3"/>
      <c r="Q163" s="7"/>
      <c r="R163" s="7"/>
      <c r="S163" s="7"/>
      <c r="U163" s="8"/>
      <c r="V163" s="8"/>
      <c r="AA163">
        <v>159</v>
      </c>
      <c r="AB163">
        <v>1.002</v>
      </c>
    </row>
    <row r="164" spans="3:28" x14ac:dyDescent="0.25">
      <c r="C164" s="75"/>
      <c r="F164" s="5"/>
      <c r="G164" s="3"/>
      <c r="H164" s="3"/>
      <c r="I164"/>
      <c r="J164"/>
      <c r="K164" s="3"/>
      <c r="M164"/>
      <c r="P164" s="3"/>
      <c r="Q164" s="7"/>
      <c r="R164" s="7"/>
      <c r="S164" s="7"/>
      <c r="U164" s="8"/>
      <c r="V164" s="8"/>
      <c r="AA164">
        <v>160</v>
      </c>
      <c r="AB164">
        <v>1.002</v>
      </c>
    </row>
    <row r="165" spans="3:28" x14ac:dyDescent="0.25">
      <c r="C165" s="75"/>
      <c r="F165" s="5"/>
      <c r="G165" s="3"/>
      <c r="H165" s="3"/>
      <c r="I165"/>
      <c r="J165"/>
      <c r="K165" s="3"/>
      <c r="M165"/>
      <c r="P165" s="3"/>
      <c r="Q165" s="7"/>
      <c r="R165" s="7"/>
      <c r="S165" s="7"/>
      <c r="U165" s="8"/>
      <c r="V165" s="8"/>
      <c r="AA165">
        <v>161</v>
      </c>
      <c r="AB165">
        <v>1.002</v>
      </c>
    </row>
    <row r="166" spans="3:28" x14ac:dyDescent="0.25">
      <c r="C166" s="75"/>
      <c r="F166" s="5"/>
      <c r="G166" s="3"/>
      <c r="H166" s="3"/>
      <c r="I166"/>
      <c r="J166"/>
      <c r="K166" s="3"/>
      <c r="M166"/>
      <c r="P166" s="3"/>
      <c r="Q166" s="7"/>
      <c r="R166" s="7"/>
      <c r="S166" s="7"/>
      <c r="U166" s="8"/>
      <c r="V166" s="8"/>
      <c r="AA166">
        <v>162</v>
      </c>
      <c r="AB166">
        <v>1.002</v>
      </c>
    </row>
    <row r="167" spans="3:28" x14ac:dyDescent="0.25">
      <c r="C167" s="75"/>
      <c r="F167" s="5"/>
      <c r="G167" s="3"/>
      <c r="H167" s="3"/>
      <c r="I167"/>
      <c r="J167"/>
      <c r="K167" s="3"/>
      <c r="M167"/>
      <c r="P167" s="3"/>
      <c r="Q167" s="7"/>
      <c r="R167" s="7"/>
      <c r="S167" s="7"/>
      <c r="U167" s="8"/>
      <c r="V167" s="8"/>
      <c r="AA167">
        <v>163</v>
      </c>
      <c r="AB167">
        <v>1.002</v>
      </c>
    </row>
    <row r="168" spans="3:28" x14ac:dyDescent="0.25">
      <c r="C168" s="75"/>
      <c r="F168" s="5"/>
      <c r="G168" s="3"/>
      <c r="H168" s="3"/>
      <c r="I168"/>
      <c r="J168"/>
      <c r="K168" s="3"/>
      <c r="M168"/>
      <c r="P168" s="3"/>
      <c r="Q168" s="7"/>
      <c r="R168" s="7"/>
      <c r="S168" s="7"/>
      <c r="U168" s="8"/>
      <c r="V168" s="8"/>
      <c r="AA168">
        <v>164</v>
      </c>
      <c r="AB168">
        <v>1.002</v>
      </c>
    </row>
    <row r="169" spans="3:28" x14ac:dyDescent="0.25">
      <c r="C169" s="75"/>
      <c r="F169" s="5"/>
      <c r="G169" s="3"/>
      <c r="H169" s="3"/>
      <c r="I169"/>
      <c r="J169"/>
      <c r="K169" s="3"/>
      <c r="M169"/>
      <c r="P169" s="3"/>
      <c r="Q169" s="7"/>
      <c r="R169" s="7"/>
      <c r="S169" s="7"/>
      <c r="U169" s="8"/>
      <c r="V169" s="8"/>
      <c r="AA169">
        <v>165</v>
      </c>
      <c r="AB169">
        <v>1.002</v>
      </c>
    </row>
    <row r="170" spans="3:28" x14ac:dyDescent="0.25">
      <c r="C170" s="75"/>
      <c r="F170" s="5"/>
      <c r="G170" s="3"/>
      <c r="H170" s="3"/>
      <c r="I170"/>
      <c r="J170"/>
      <c r="K170" s="3"/>
      <c r="M170"/>
      <c r="P170" s="3"/>
      <c r="Q170" s="7"/>
      <c r="R170" s="7"/>
      <c r="S170" s="7"/>
      <c r="U170" s="8"/>
      <c r="V170" s="8"/>
      <c r="AA170">
        <v>166</v>
      </c>
      <c r="AB170">
        <v>1.002</v>
      </c>
    </row>
    <row r="171" spans="3:28" x14ac:dyDescent="0.25">
      <c r="C171" s="75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  <c r="R171" s="7"/>
      <c r="S171" s="7"/>
      <c r="U171" s="8"/>
      <c r="V171" s="8"/>
      <c r="AA171">
        <v>167</v>
      </c>
      <c r="AB171">
        <v>1.002</v>
      </c>
    </row>
    <row r="172" spans="3:28" x14ac:dyDescent="0.25">
      <c r="C172" s="75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  <c r="R172" s="7"/>
      <c r="S172" s="7"/>
      <c r="U172" s="8"/>
      <c r="V172" s="8"/>
      <c r="AA172">
        <v>168</v>
      </c>
      <c r="AB172">
        <v>1.002</v>
      </c>
    </row>
    <row r="173" spans="3:28" x14ac:dyDescent="0.25">
      <c r="C173" s="75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  <c r="R173" s="7"/>
      <c r="S173" s="7"/>
      <c r="U173" s="8"/>
      <c r="V173" s="8"/>
      <c r="AA173">
        <v>169</v>
      </c>
      <c r="AB173">
        <v>1.002</v>
      </c>
    </row>
    <row r="174" spans="3:28" x14ac:dyDescent="0.25">
      <c r="C174" s="75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  <c r="R174" s="7"/>
      <c r="S174" s="7"/>
      <c r="U174" s="8"/>
      <c r="V174" s="8"/>
      <c r="AA174">
        <v>170</v>
      </c>
      <c r="AB174">
        <v>1.002</v>
      </c>
    </row>
    <row r="175" spans="3:28" x14ac:dyDescent="0.25">
      <c r="C175" s="75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  <c r="R175" s="7"/>
      <c r="S175" s="7"/>
      <c r="U175" s="8"/>
      <c r="V175" s="8"/>
      <c r="AA175">
        <v>171</v>
      </c>
      <c r="AB175">
        <v>1.002</v>
      </c>
    </row>
    <row r="176" spans="3:28" x14ac:dyDescent="0.25">
      <c r="C176" s="75"/>
      <c r="F176" s="5"/>
      <c r="G176" s="3"/>
      <c r="H176" s="3">
        <v>-3.6042509756097498</v>
      </c>
      <c r="I176"/>
      <c r="J176"/>
      <c r="K176" s="3"/>
      <c r="M176"/>
      <c r="P176" s="3"/>
      <c r="Q176" s="7"/>
      <c r="R176" s="7"/>
      <c r="S176" s="7"/>
      <c r="U176" s="8"/>
      <c r="V176" s="8"/>
      <c r="AA176">
        <v>172</v>
      </c>
      <c r="AB176">
        <v>1.002</v>
      </c>
    </row>
    <row r="177" spans="3:28" x14ac:dyDescent="0.25">
      <c r="C177" s="75"/>
      <c r="F177" s="5"/>
      <c r="G177" s="3"/>
      <c r="H177" s="3">
        <v>-3.59206775133848</v>
      </c>
      <c r="I177"/>
      <c r="J177"/>
      <c r="K177" s="3"/>
      <c r="M177"/>
      <c r="AA177">
        <v>173</v>
      </c>
      <c r="AB177">
        <v>1.002</v>
      </c>
    </row>
    <row r="178" spans="3:28" x14ac:dyDescent="0.25">
      <c r="C178" s="75"/>
      <c r="F178" s="5"/>
      <c r="G178" s="3"/>
      <c r="H178" s="3">
        <v>-3.5798845270672102</v>
      </c>
      <c r="I178"/>
      <c r="J178"/>
      <c r="K178" s="3"/>
      <c r="M178"/>
      <c r="AA178">
        <v>174</v>
      </c>
      <c r="AB178">
        <v>1.002</v>
      </c>
    </row>
    <row r="179" spans="3:28" x14ac:dyDescent="0.25">
      <c r="C179" s="75"/>
      <c r="F179" s="5"/>
      <c r="G179" s="3"/>
      <c r="H179" s="3"/>
      <c r="I179"/>
      <c r="J179"/>
      <c r="K179" s="3"/>
      <c r="M179"/>
      <c r="AA179">
        <v>175</v>
      </c>
      <c r="AB179">
        <v>1.002</v>
      </c>
    </row>
    <row r="180" spans="3:28" x14ac:dyDescent="0.25">
      <c r="C180" s="75"/>
      <c r="F180" s="5"/>
      <c r="G180" s="3"/>
      <c r="H180" s="3"/>
      <c r="I180"/>
      <c r="J180"/>
      <c r="K180" s="3"/>
      <c r="M180"/>
      <c r="AA180">
        <v>176</v>
      </c>
      <c r="AB180">
        <v>1.002</v>
      </c>
    </row>
    <row r="181" spans="3:28" x14ac:dyDescent="0.25">
      <c r="C181" s="75"/>
      <c r="F181" s="5"/>
      <c r="G181" s="3"/>
      <c r="H181" s="3"/>
      <c r="I181"/>
      <c r="J181"/>
      <c r="K181" s="3"/>
      <c r="M181"/>
      <c r="AA181">
        <v>177</v>
      </c>
      <c r="AB181">
        <v>1.002</v>
      </c>
    </row>
    <row r="182" spans="3:28" x14ac:dyDescent="0.25">
      <c r="C182" s="75"/>
      <c r="F182" s="5"/>
      <c r="G182" s="3"/>
      <c r="H182" s="3"/>
      <c r="I182"/>
      <c r="J182"/>
      <c r="K182" s="3"/>
      <c r="M182"/>
      <c r="AA182">
        <v>178</v>
      </c>
      <c r="AB182">
        <v>1.002</v>
      </c>
    </row>
    <row r="183" spans="3:28" x14ac:dyDescent="0.25">
      <c r="C183" s="75"/>
      <c r="F183" s="5"/>
      <c r="G183" s="3"/>
      <c r="H183" s="3"/>
      <c r="I183"/>
      <c r="J183"/>
      <c r="K183" s="3"/>
      <c r="M183"/>
      <c r="AA183">
        <v>179</v>
      </c>
      <c r="AB183">
        <v>1.002</v>
      </c>
    </row>
    <row r="184" spans="3:28" x14ac:dyDescent="0.25">
      <c r="C184" s="75"/>
      <c r="F184" s="5"/>
      <c r="G184" s="3"/>
      <c r="H184" s="3"/>
      <c r="I184"/>
      <c r="J184"/>
      <c r="K184" s="3"/>
      <c r="M184"/>
      <c r="AA184">
        <v>180</v>
      </c>
      <c r="AB184">
        <v>1.002</v>
      </c>
    </row>
    <row r="185" spans="3:28" x14ac:dyDescent="0.25">
      <c r="C185" s="75"/>
      <c r="F185" s="5"/>
      <c r="G185" s="3"/>
      <c r="H185" s="3"/>
      <c r="I185"/>
      <c r="J185"/>
      <c r="K185" s="3"/>
      <c r="M185"/>
      <c r="AA185">
        <v>181</v>
      </c>
      <c r="AB185">
        <v>1.002</v>
      </c>
    </row>
    <row r="186" spans="3:28" x14ac:dyDescent="0.25">
      <c r="C186" s="75"/>
      <c r="F186" s="5"/>
      <c r="G186" s="3"/>
      <c r="H186" s="3"/>
      <c r="I186"/>
      <c r="J186"/>
      <c r="K186" s="3"/>
      <c r="M186"/>
      <c r="AA186">
        <v>182</v>
      </c>
      <c r="AB186">
        <v>1.002</v>
      </c>
    </row>
    <row r="187" spans="3:28" x14ac:dyDescent="0.25">
      <c r="C187" s="75"/>
      <c r="F187" s="5"/>
      <c r="G187" s="3"/>
      <c r="H187" s="3"/>
      <c r="I187"/>
      <c r="J187"/>
      <c r="K187" s="3"/>
      <c r="M187"/>
      <c r="AA187">
        <v>183</v>
      </c>
      <c r="AB187">
        <v>1.002</v>
      </c>
    </row>
    <row r="188" spans="3:28" x14ac:dyDescent="0.25">
      <c r="C188" s="75"/>
      <c r="F188" s="5"/>
      <c r="G188" s="3"/>
      <c r="H188" s="3"/>
      <c r="I188"/>
      <c r="J188"/>
      <c r="K188" s="3"/>
      <c r="M188"/>
      <c r="AA188">
        <v>184</v>
      </c>
      <c r="AB188">
        <v>1.002</v>
      </c>
    </row>
    <row r="189" spans="3:28" x14ac:dyDescent="0.25">
      <c r="C189" s="75"/>
      <c r="F189" s="5"/>
      <c r="G189" s="3"/>
      <c r="H189" s="3"/>
      <c r="I189"/>
      <c r="J189"/>
      <c r="K189" s="3"/>
      <c r="M189"/>
      <c r="AA189">
        <v>185</v>
      </c>
      <c r="AB189">
        <v>1.002</v>
      </c>
    </row>
    <row r="190" spans="3:28" x14ac:dyDescent="0.25">
      <c r="C190" s="75"/>
      <c r="F190" s="5"/>
      <c r="G190" s="3"/>
      <c r="H190" s="3"/>
      <c r="I190"/>
      <c r="J190"/>
      <c r="K190" s="3"/>
      <c r="M190"/>
      <c r="AA190">
        <v>186</v>
      </c>
      <c r="AB190">
        <v>1.002</v>
      </c>
    </row>
    <row r="191" spans="3:28" x14ac:dyDescent="0.25">
      <c r="C191" s="75"/>
      <c r="F191" s="5"/>
      <c r="G191" s="3"/>
      <c r="H191" s="3"/>
      <c r="I191"/>
      <c r="J191"/>
      <c r="K191" s="3"/>
      <c r="M191"/>
      <c r="AA191">
        <v>187</v>
      </c>
      <c r="AB191">
        <v>1.002</v>
      </c>
    </row>
    <row r="192" spans="3:28" x14ac:dyDescent="0.25">
      <c r="C192" s="75"/>
      <c r="F192" s="5"/>
      <c r="G192" s="3"/>
      <c r="H192" s="3"/>
      <c r="I192"/>
      <c r="J192"/>
      <c r="K192" s="3"/>
      <c r="M192"/>
      <c r="AA192">
        <v>188</v>
      </c>
      <c r="AB192">
        <v>1.0029999999999999</v>
      </c>
    </row>
    <row r="193" spans="3:28" x14ac:dyDescent="0.25">
      <c r="C193" s="75"/>
      <c r="F193" s="5"/>
      <c r="G193" s="3"/>
      <c r="H193" s="3"/>
      <c r="I193"/>
      <c r="J193"/>
      <c r="K193" s="3"/>
      <c r="M193"/>
      <c r="AA193">
        <v>189</v>
      </c>
      <c r="AB193">
        <v>1.0029999999999999</v>
      </c>
    </row>
    <row r="194" spans="3:28" x14ac:dyDescent="0.25">
      <c r="C194" s="75"/>
      <c r="F194" s="5"/>
      <c r="G194" s="3"/>
      <c r="H194" s="3"/>
      <c r="I194"/>
      <c r="J194"/>
      <c r="K194" s="3"/>
      <c r="M194"/>
      <c r="AA194">
        <v>190</v>
      </c>
      <c r="AB194">
        <v>1.0029999999999999</v>
      </c>
    </row>
    <row r="195" spans="3:28" x14ac:dyDescent="0.25">
      <c r="C195" s="75"/>
      <c r="F195" s="5"/>
      <c r="G195" s="3"/>
      <c r="H195" s="3"/>
      <c r="I195"/>
      <c r="J195"/>
      <c r="K195" s="3"/>
      <c r="M195"/>
      <c r="AA195">
        <v>191</v>
      </c>
      <c r="AB195">
        <v>1.0029999999999999</v>
      </c>
    </row>
    <row r="196" spans="3:28" x14ac:dyDescent="0.25">
      <c r="C196" s="75"/>
      <c r="F196" s="5"/>
      <c r="G196" s="3"/>
      <c r="H196" s="3"/>
      <c r="I196"/>
      <c r="J196"/>
      <c r="K196" s="3"/>
      <c r="M196"/>
      <c r="AA196">
        <v>192</v>
      </c>
      <c r="AB196">
        <v>1.0029999999999999</v>
      </c>
    </row>
    <row r="197" spans="3:28" x14ac:dyDescent="0.25">
      <c r="C197" s="75"/>
      <c r="F197" s="5"/>
      <c r="G197" s="3"/>
      <c r="H197" s="3"/>
      <c r="I197"/>
      <c r="J197"/>
      <c r="K197" s="3"/>
      <c r="M197"/>
      <c r="AA197">
        <v>193</v>
      </c>
      <c r="AB197">
        <v>1.0029999999999999</v>
      </c>
    </row>
    <row r="198" spans="3:28" x14ac:dyDescent="0.25">
      <c r="C198" s="75"/>
      <c r="F198" s="5"/>
      <c r="G198" s="3"/>
      <c r="H198" s="3"/>
      <c r="I198"/>
      <c r="J198"/>
      <c r="K198" s="3"/>
      <c r="M198"/>
      <c r="AA198">
        <v>194</v>
      </c>
      <c r="AB198">
        <v>1.0029999999999999</v>
      </c>
    </row>
    <row r="199" spans="3:28" x14ac:dyDescent="0.25">
      <c r="C199" s="75"/>
      <c r="F199" s="5"/>
      <c r="G199" s="3"/>
      <c r="H199" s="3"/>
      <c r="I199"/>
      <c r="J199"/>
      <c r="K199" s="3"/>
      <c r="M199"/>
      <c r="AA199">
        <v>195</v>
      </c>
      <c r="AB199">
        <v>1.004</v>
      </c>
    </row>
    <row r="200" spans="3:28" x14ac:dyDescent="0.25">
      <c r="C200" s="75"/>
      <c r="F200" s="5"/>
      <c r="G200" s="3"/>
      <c r="H200" s="3"/>
      <c r="I200"/>
      <c r="J200"/>
      <c r="K200" s="3"/>
      <c r="M200"/>
      <c r="AA200">
        <v>196</v>
      </c>
      <c r="AB200">
        <v>1.004</v>
      </c>
    </row>
    <row r="201" spans="3:28" x14ac:dyDescent="0.25">
      <c r="C201" s="75"/>
      <c r="F201" s="5"/>
      <c r="G201" s="3"/>
      <c r="H201" s="3"/>
      <c r="I201"/>
      <c r="J201"/>
      <c r="K201" s="3"/>
      <c r="M201"/>
      <c r="AA201">
        <v>197</v>
      </c>
      <c r="AB201">
        <v>1.004</v>
      </c>
    </row>
    <row r="202" spans="3:28" x14ac:dyDescent="0.25">
      <c r="C202" s="75"/>
      <c r="F202" s="5"/>
      <c r="G202" s="3"/>
      <c r="H202" s="3"/>
      <c r="I202"/>
      <c r="J202"/>
      <c r="K202" s="3"/>
      <c r="M202"/>
      <c r="AA202">
        <v>198</v>
      </c>
      <c r="AB202">
        <v>1.0049999999999999</v>
      </c>
    </row>
    <row r="203" spans="3:28" x14ac:dyDescent="0.25">
      <c r="C203" s="75"/>
      <c r="F203" s="5"/>
      <c r="G203" s="3"/>
      <c r="H203" s="3"/>
      <c r="I203"/>
      <c r="J203"/>
      <c r="K203" s="3"/>
      <c r="M203"/>
      <c r="AA203">
        <v>199</v>
      </c>
      <c r="AB203">
        <v>1.0049999999999999</v>
      </c>
    </row>
    <row r="204" spans="3:28" x14ac:dyDescent="0.25">
      <c r="C204" s="75"/>
      <c r="F204" s="5"/>
      <c r="G204" s="3"/>
      <c r="H204" s="3"/>
      <c r="I204"/>
      <c r="J204"/>
      <c r="K204" s="3"/>
      <c r="M204"/>
      <c r="AA204">
        <v>200</v>
      </c>
      <c r="AB204">
        <v>1.006</v>
      </c>
    </row>
    <row r="205" spans="3:28" x14ac:dyDescent="0.25">
      <c r="C205" s="75"/>
      <c r="F205" s="5"/>
      <c r="G205" s="3"/>
      <c r="H205" s="3"/>
      <c r="I205"/>
      <c r="J205"/>
      <c r="K205" s="3"/>
      <c r="M205"/>
      <c r="AA205">
        <v>201</v>
      </c>
      <c r="AB205">
        <v>1.0069999999999999</v>
      </c>
    </row>
    <row r="206" spans="3:28" x14ac:dyDescent="0.25">
      <c r="C206" s="75"/>
      <c r="F206" s="5"/>
      <c r="G206" s="3"/>
      <c r="H206" s="3"/>
      <c r="I206"/>
      <c r="J206"/>
      <c r="K206" s="3"/>
      <c r="M206"/>
      <c r="AA206">
        <v>202</v>
      </c>
      <c r="AB206">
        <v>1.008</v>
      </c>
    </row>
    <row r="207" spans="3:28" x14ac:dyDescent="0.25">
      <c r="C207" s="75"/>
      <c r="F207" s="5"/>
      <c r="G207" s="3"/>
      <c r="H207" s="3"/>
      <c r="I207"/>
      <c r="J207"/>
      <c r="K207" s="3"/>
      <c r="M207"/>
      <c r="AA207">
        <v>203</v>
      </c>
      <c r="AB207">
        <v>1.0089999999999999</v>
      </c>
    </row>
    <row r="208" spans="3:28" x14ac:dyDescent="0.25">
      <c r="C208" s="75"/>
      <c r="F208" s="5"/>
      <c r="G208" s="3"/>
      <c r="H208" s="3"/>
      <c r="I208"/>
      <c r="J208"/>
      <c r="K208" s="3"/>
      <c r="M208"/>
      <c r="AA208">
        <v>204</v>
      </c>
      <c r="AB208">
        <v>1.0109999999999999</v>
      </c>
    </row>
    <row r="209" spans="3:28" x14ac:dyDescent="0.25">
      <c r="C209" s="75"/>
      <c r="F209" s="5"/>
      <c r="G209" s="3"/>
      <c r="H209" s="3"/>
      <c r="I209"/>
      <c r="J209"/>
      <c r="K209" s="3"/>
      <c r="M209"/>
      <c r="AA209">
        <v>205</v>
      </c>
      <c r="AB209">
        <v>1.012</v>
      </c>
    </row>
    <row r="210" spans="3:28" x14ac:dyDescent="0.25">
      <c r="C210" s="75"/>
      <c r="F210" s="5"/>
      <c r="G210" s="3"/>
      <c r="H210" s="3"/>
      <c r="I210"/>
      <c r="J210"/>
      <c r="K210" s="3"/>
      <c r="M210"/>
      <c r="AA210">
        <v>206</v>
      </c>
      <c r="AB210">
        <v>1.014</v>
      </c>
    </row>
    <row r="211" spans="3:28" x14ac:dyDescent="0.25">
      <c r="C211" s="75"/>
      <c r="F211" s="5"/>
      <c r="G211" s="3"/>
      <c r="H211" s="3"/>
      <c r="I211"/>
      <c r="J211"/>
      <c r="K211" s="3"/>
      <c r="M211"/>
      <c r="AA211">
        <v>207</v>
      </c>
      <c r="AB211">
        <v>1.016</v>
      </c>
    </row>
    <row r="212" spans="3:28" x14ac:dyDescent="0.25">
      <c r="C212" s="75"/>
      <c r="F212" s="5"/>
      <c r="G212" s="3"/>
      <c r="H212" s="3"/>
      <c r="I212"/>
      <c r="J212"/>
      <c r="K212" s="3"/>
      <c r="M212"/>
      <c r="AA212">
        <v>208</v>
      </c>
      <c r="AB212">
        <v>1.0189999999999999</v>
      </c>
    </row>
    <row r="213" spans="3:28" x14ac:dyDescent="0.25">
      <c r="F213" s="5"/>
      <c r="G213" s="3"/>
      <c r="H213" s="3"/>
      <c r="I213"/>
      <c r="J213"/>
      <c r="K213" s="3"/>
      <c r="M213"/>
      <c r="AA213">
        <v>209</v>
      </c>
      <c r="AB213">
        <v>1.022</v>
      </c>
    </row>
    <row r="214" spans="3:28" x14ac:dyDescent="0.25">
      <c r="F214" s="5"/>
      <c r="G214" s="3"/>
      <c r="H214" s="3"/>
      <c r="I214"/>
      <c r="J214"/>
      <c r="K214" s="3"/>
      <c r="M214"/>
      <c r="AA214">
        <v>210</v>
      </c>
      <c r="AB214">
        <v>1.0249999999999999</v>
      </c>
    </row>
    <row r="215" spans="3:28" x14ac:dyDescent="0.25">
      <c r="F215" s="5"/>
      <c r="G215" s="3"/>
      <c r="H215" s="3"/>
      <c r="I215"/>
      <c r="J215"/>
      <c r="K215" s="3"/>
      <c r="M215"/>
      <c r="AA215">
        <v>211</v>
      </c>
      <c r="AB215">
        <v>1.0289999999999999</v>
      </c>
    </row>
    <row r="216" spans="3:28" x14ac:dyDescent="0.25">
      <c r="F216" s="5"/>
      <c r="G216" s="3"/>
      <c r="H216" s="3"/>
      <c r="I216"/>
      <c r="J216"/>
      <c r="K216" s="3"/>
      <c r="M216"/>
      <c r="AA216">
        <v>212</v>
      </c>
      <c r="AB216">
        <v>1.0329999999999999</v>
      </c>
    </row>
    <row r="217" spans="3:28" x14ac:dyDescent="0.25">
      <c r="F217" s="5"/>
      <c r="G217" s="3"/>
      <c r="H217" s="3"/>
      <c r="I217"/>
      <c r="J217"/>
      <c r="K217" s="3"/>
      <c r="M217"/>
      <c r="AA217">
        <v>213</v>
      </c>
      <c r="AB217">
        <v>1.038</v>
      </c>
    </row>
    <row r="218" spans="3:28" x14ac:dyDescent="0.25">
      <c r="G218" s="5"/>
      <c r="H218" s="3"/>
      <c r="J218"/>
      <c r="L218" s="3"/>
      <c r="M218"/>
      <c r="AA218">
        <v>214</v>
      </c>
      <c r="AB218">
        <v>1.0429999999999999</v>
      </c>
    </row>
    <row r="219" spans="3:28" x14ac:dyDescent="0.25">
      <c r="G219" s="5"/>
      <c r="H219" s="3"/>
      <c r="J219"/>
      <c r="L219" s="3"/>
      <c r="M219"/>
      <c r="AA219">
        <v>215</v>
      </c>
      <c r="AB219">
        <v>1.0489999999999999</v>
      </c>
    </row>
    <row r="220" spans="3:28" x14ac:dyDescent="0.25">
      <c r="G220" s="5"/>
      <c r="H220" s="3"/>
      <c r="J220"/>
      <c r="L220" s="3"/>
      <c r="M220"/>
      <c r="AA220">
        <v>216</v>
      </c>
      <c r="AB220">
        <v>1.056</v>
      </c>
    </row>
    <row r="221" spans="3:28" x14ac:dyDescent="0.25">
      <c r="G221" s="5"/>
      <c r="H221" s="3"/>
      <c r="J221"/>
      <c r="L221" s="3"/>
      <c r="M221"/>
      <c r="AA221">
        <v>217</v>
      </c>
      <c r="AB221">
        <v>1.0629999999999999</v>
      </c>
    </row>
    <row r="222" spans="3:28" x14ac:dyDescent="0.25">
      <c r="G222" s="5"/>
      <c r="H222" s="3"/>
      <c r="J222"/>
      <c r="L222" s="3"/>
      <c r="M222"/>
      <c r="AA222">
        <v>218</v>
      </c>
      <c r="AB222">
        <v>1.0720000000000001</v>
      </c>
    </row>
    <row r="223" spans="3:28" x14ac:dyDescent="0.25">
      <c r="G223" s="5"/>
      <c r="H223" s="3"/>
      <c r="J223"/>
      <c r="L223" s="3"/>
      <c r="M223"/>
      <c r="AA223">
        <v>219</v>
      </c>
      <c r="AB223">
        <v>1.081</v>
      </c>
    </row>
    <row r="224" spans="3:28" x14ac:dyDescent="0.25">
      <c r="G224" s="5"/>
      <c r="H224" s="3"/>
      <c r="J224"/>
      <c r="L224" s="3"/>
      <c r="M224"/>
      <c r="AA224">
        <v>220</v>
      </c>
      <c r="AB224">
        <v>1.091</v>
      </c>
    </row>
    <row r="225" spans="7:28" x14ac:dyDescent="0.25">
      <c r="G225" s="5"/>
      <c r="H225" s="3"/>
      <c r="J225"/>
      <c r="L225" s="3"/>
      <c r="M225"/>
      <c r="AA225">
        <v>221</v>
      </c>
      <c r="AB225">
        <v>1.101</v>
      </c>
    </row>
    <row r="226" spans="7:28" x14ac:dyDescent="0.25">
      <c r="G226" s="5"/>
      <c r="H226" s="3"/>
      <c r="J226"/>
      <c r="L226" s="3"/>
      <c r="M226"/>
      <c r="AA226">
        <v>222</v>
      </c>
      <c r="AB226">
        <v>1.113</v>
      </c>
    </row>
    <row r="227" spans="7:28" x14ac:dyDescent="0.25">
      <c r="G227" s="5"/>
      <c r="H227" s="3"/>
      <c r="J227"/>
      <c r="L227" s="3"/>
      <c r="M227"/>
      <c r="AA227">
        <v>223</v>
      </c>
      <c r="AB227">
        <v>1.1259999999999999</v>
      </c>
    </row>
    <row r="228" spans="7:28" x14ac:dyDescent="0.25">
      <c r="G228" s="5"/>
      <c r="H228" s="3"/>
      <c r="J228"/>
      <c r="L228" s="3"/>
      <c r="M228"/>
      <c r="AA228">
        <v>224</v>
      </c>
      <c r="AB228">
        <v>1.139</v>
      </c>
    </row>
    <row r="229" spans="7:28" x14ac:dyDescent="0.25">
      <c r="G229" s="5"/>
      <c r="H229" s="3"/>
      <c r="J229"/>
      <c r="L229" s="3"/>
      <c r="M229"/>
      <c r="AA229">
        <v>225</v>
      </c>
      <c r="AB229">
        <v>1.1539999999999999</v>
      </c>
    </row>
    <row r="230" spans="7:28" x14ac:dyDescent="0.25">
      <c r="G230" s="5"/>
      <c r="H230" s="3"/>
      <c r="J230"/>
      <c r="L230" s="3"/>
      <c r="M230"/>
      <c r="AA230">
        <v>226</v>
      </c>
      <c r="AB230">
        <v>1.169</v>
      </c>
    </row>
    <row r="231" spans="7:28" x14ac:dyDescent="0.25">
      <c r="G231" s="5"/>
      <c r="H231" s="3"/>
      <c r="J231"/>
      <c r="L231" s="3"/>
      <c r="M231"/>
      <c r="AA231">
        <v>227</v>
      </c>
      <c r="AB231">
        <v>1.1850000000000001</v>
      </c>
    </row>
    <row r="232" spans="7:28" x14ac:dyDescent="0.25">
      <c r="G232" s="5"/>
      <c r="H232" s="3"/>
      <c r="J232"/>
      <c r="L232" s="3"/>
      <c r="M232"/>
      <c r="AA232">
        <v>228</v>
      </c>
      <c r="AB232">
        <v>1.202</v>
      </c>
    </row>
    <row r="233" spans="7:28" x14ac:dyDescent="0.25">
      <c r="G233" s="5"/>
      <c r="H233" s="3"/>
      <c r="J233"/>
      <c r="L233" s="3"/>
      <c r="M233"/>
      <c r="AA233">
        <v>229</v>
      </c>
      <c r="AB233">
        <v>1.22</v>
      </c>
    </row>
    <row r="234" spans="7:28" x14ac:dyDescent="0.25">
      <c r="G234" s="5"/>
      <c r="H234" s="3"/>
      <c r="J234"/>
      <c r="L234" s="3"/>
      <c r="M234"/>
      <c r="AA234">
        <v>230</v>
      </c>
      <c r="AB234">
        <v>1.238</v>
      </c>
    </row>
    <row r="235" spans="7:28" x14ac:dyDescent="0.25">
      <c r="G235" s="5"/>
      <c r="H235" s="3"/>
      <c r="J235"/>
      <c r="L235" s="3"/>
      <c r="M235"/>
      <c r="AA235">
        <v>231</v>
      </c>
      <c r="AB235">
        <v>1.2569999999999999</v>
      </c>
    </row>
    <row r="236" spans="7:28" x14ac:dyDescent="0.25">
      <c r="G236" s="5"/>
      <c r="H236" s="3"/>
      <c r="J236"/>
      <c r="L236" s="3"/>
      <c r="M236"/>
      <c r="AA236">
        <v>232</v>
      </c>
      <c r="AB236">
        <v>1.2749999999999999</v>
      </c>
    </row>
    <row r="237" spans="7:28" x14ac:dyDescent="0.25">
      <c r="G237" s="5"/>
      <c r="H237" s="3"/>
      <c r="J237"/>
      <c r="L237" s="3"/>
      <c r="M237"/>
      <c r="AA237">
        <v>233</v>
      </c>
      <c r="AB237">
        <v>1.2929999999999999</v>
      </c>
    </row>
    <row r="238" spans="7:28" x14ac:dyDescent="0.25">
      <c r="G238" s="5"/>
      <c r="H238" s="3"/>
      <c r="J238"/>
      <c r="L238" s="3"/>
      <c r="M238"/>
      <c r="AA238">
        <v>234</v>
      </c>
      <c r="AB238">
        <v>1.3089999999999999</v>
      </c>
    </row>
    <row r="239" spans="7:28" x14ac:dyDescent="0.25">
      <c r="G239" s="5"/>
      <c r="H239" s="3"/>
      <c r="J239"/>
      <c r="L239" s="3"/>
      <c r="M239"/>
      <c r="AA239">
        <v>235</v>
      </c>
      <c r="AB239">
        <v>1.325</v>
      </c>
    </row>
    <row r="240" spans="7:28" x14ac:dyDescent="0.25">
      <c r="G240" s="5"/>
      <c r="H240" s="3"/>
      <c r="J240"/>
      <c r="L240" s="3"/>
      <c r="M240"/>
      <c r="AA240">
        <v>236</v>
      </c>
      <c r="AB240">
        <v>1.34</v>
      </c>
    </row>
    <row r="241" spans="7:28" x14ac:dyDescent="0.25">
      <c r="G241" s="5"/>
      <c r="H241" s="3"/>
      <c r="J241"/>
      <c r="L241" s="3"/>
      <c r="M241"/>
      <c r="AA241">
        <v>237</v>
      </c>
      <c r="AB241">
        <v>1.3540000000000001</v>
      </c>
    </row>
    <row r="242" spans="7:28" x14ac:dyDescent="0.25">
      <c r="G242" s="5"/>
      <c r="H242" s="3"/>
      <c r="J242"/>
      <c r="L242" s="3"/>
      <c r="M242"/>
      <c r="AA242">
        <v>238</v>
      </c>
      <c r="AB242">
        <v>1.3640000000000001</v>
      </c>
    </row>
    <row r="243" spans="7:28" x14ac:dyDescent="0.25">
      <c r="G243" s="5"/>
      <c r="H243" s="3"/>
      <c r="J243"/>
      <c r="L243" s="3"/>
      <c r="M243"/>
      <c r="AA243">
        <v>239</v>
      </c>
      <c r="AB243">
        <v>1.371</v>
      </c>
    </row>
    <row r="244" spans="7:28" x14ac:dyDescent="0.25">
      <c r="G244" s="5"/>
      <c r="H244" s="3"/>
      <c r="J244"/>
      <c r="L244" s="3"/>
      <c r="M244"/>
      <c r="AA244">
        <v>240</v>
      </c>
      <c r="AB244">
        <v>1.373</v>
      </c>
    </row>
    <row r="245" spans="7:28" x14ac:dyDescent="0.25">
      <c r="G245" s="5"/>
      <c r="H245" s="3"/>
      <c r="J245"/>
      <c r="L245" s="3"/>
      <c r="M245"/>
      <c r="AA245">
        <v>241</v>
      </c>
      <c r="AB245">
        <v>1.3680000000000001</v>
      </c>
    </row>
    <row r="246" spans="7:28" x14ac:dyDescent="0.25">
      <c r="G246" s="5"/>
      <c r="H246" s="3"/>
      <c r="J246"/>
      <c r="L246" s="3"/>
      <c r="M246"/>
      <c r="AA246">
        <v>242</v>
      </c>
      <c r="AB246">
        <v>1.3560000000000001</v>
      </c>
    </row>
    <row r="247" spans="7:28" x14ac:dyDescent="0.25">
      <c r="G247" s="5"/>
      <c r="H247" s="3"/>
      <c r="J247"/>
      <c r="L247" s="3"/>
      <c r="M247"/>
      <c r="AA247">
        <v>243</v>
      </c>
      <c r="AB247">
        <v>1.3380000000000001</v>
      </c>
    </row>
    <row r="248" spans="7:28" x14ac:dyDescent="0.25">
      <c r="G248" s="5"/>
      <c r="H248" s="3"/>
      <c r="J248"/>
      <c r="L248" s="3"/>
      <c r="M248"/>
      <c r="AA248">
        <v>244</v>
      </c>
      <c r="AB248">
        <v>1.3149999999999999</v>
      </c>
    </row>
    <row r="249" spans="7:28" x14ac:dyDescent="0.25">
      <c r="G249" s="5"/>
      <c r="H249" s="3"/>
      <c r="J249"/>
      <c r="L249" s="3"/>
      <c r="M249"/>
      <c r="AA249">
        <v>245</v>
      </c>
      <c r="AB249">
        <v>1.29</v>
      </c>
    </row>
    <row r="250" spans="7:28" x14ac:dyDescent="0.25">
      <c r="G250" s="5"/>
      <c r="H250" s="3"/>
      <c r="J250"/>
      <c r="L250" s="3"/>
      <c r="M250"/>
      <c r="AA250">
        <v>246</v>
      </c>
      <c r="AB250">
        <v>1.258</v>
      </c>
    </row>
    <row r="251" spans="7:28" x14ac:dyDescent="0.25">
      <c r="G251" s="5"/>
      <c r="H251" s="3"/>
      <c r="J251"/>
      <c r="L251" s="3"/>
      <c r="M251"/>
      <c r="AA251">
        <v>247</v>
      </c>
      <c r="AB251">
        <v>1.22</v>
      </c>
    </row>
    <row r="252" spans="7:28" x14ac:dyDescent="0.25">
      <c r="G252" s="5"/>
      <c r="H252" s="3"/>
      <c r="J252"/>
      <c r="L252" s="3"/>
      <c r="M252"/>
      <c r="AA252">
        <v>248</v>
      </c>
      <c r="AB252">
        <v>1.177</v>
      </c>
    </row>
    <row r="253" spans="7:28" x14ac:dyDescent="0.25">
      <c r="L253" s="3"/>
      <c r="M253"/>
      <c r="AA253">
        <v>249</v>
      </c>
      <c r="AB253">
        <v>1.129</v>
      </c>
    </row>
    <row r="254" spans="7:28" x14ac:dyDescent="0.25">
      <c r="AA254">
        <v>250</v>
      </c>
      <c r="AB254">
        <v>1.0840000000000001</v>
      </c>
    </row>
    <row r="255" spans="7:28" x14ac:dyDescent="0.25">
      <c r="AA255">
        <v>251</v>
      </c>
      <c r="AB255">
        <v>1.0349999999999999</v>
      </c>
    </row>
    <row r="256" spans="7:28" x14ac:dyDescent="0.25">
      <c r="AA256">
        <v>252</v>
      </c>
      <c r="AB256">
        <v>0.97899999999999998</v>
      </c>
    </row>
    <row r="257" spans="27:28" x14ac:dyDescent="0.25">
      <c r="AA257">
        <v>253</v>
      </c>
      <c r="AB257">
        <v>0.92300000000000004</v>
      </c>
    </row>
    <row r="258" spans="27:28" x14ac:dyDescent="0.25">
      <c r="AA258">
        <v>254</v>
      </c>
      <c r="AB258">
        <v>0.873</v>
      </c>
    </row>
    <row r="259" spans="27:28" x14ac:dyDescent="0.25">
      <c r="AA259">
        <v>255</v>
      </c>
      <c r="AB259">
        <v>0.82099999999999995</v>
      </c>
    </row>
    <row r="260" spans="27:28" x14ac:dyDescent="0.25">
      <c r="AA260">
        <v>256</v>
      </c>
      <c r="AB260">
        <v>0.77</v>
      </c>
    </row>
    <row r="261" spans="27:28" x14ac:dyDescent="0.25">
      <c r="AA261">
        <v>257</v>
      </c>
      <c r="AB261">
        <v>0.72199999999999998</v>
      </c>
    </row>
    <row r="262" spans="27:28" x14ac:dyDescent="0.25">
      <c r="AA262">
        <v>258</v>
      </c>
      <c r="AB262">
        <v>0.67800000000000005</v>
      </c>
    </row>
    <row r="263" spans="27:28" x14ac:dyDescent="0.25">
      <c r="AA263">
        <v>259</v>
      </c>
      <c r="AB263">
        <v>0.63300000000000001</v>
      </c>
    </row>
    <row r="264" spans="27:28" x14ac:dyDescent="0.25">
      <c r="AA264">
        <v>260</v>
      </c>
      <c r="AB264">
        <v>0.58799999999999997</v>
      </c>
    </row>
    <row r="265" spans="27:28" x14ac:dyDescent="0.25">
      <c r="AA265">
        <v>261</v>
      </c>
      <c r="AB265">
        <v>0.55000000000000004</v>
      </c>
    </row>
    <row r="266" spans="27:28" x14ac:dyDescent="0.25">
      <c r="AA266">
        <v>262</v>
      </c>
      <c r="AB266">
        <v>0.51300000000000001</v>
      </c>
    </row>
    <row r="267" spans="27:28" x14ac:dyDescent="0.25">
      <c r="AA267">
        <v>263</v>
      </c>
      <c r="AB267">
        <v>0.47799999999999998</v>
      </c>
    </row>
    <row r="268" spans="27:28" x14ac:dyDescent="0.25">
      <c r="AA268">
        <v>264</v>
      </c>
      <c r="AB268">
        <v>0.44500000000000001</v>
      </c>
    </row>
    <row r="269" spans="27:28" x14ac:dyDescent="0.25">
      <c r="AA269">
        <v>265</v>
      </c>
      <c r="AB269">
        <v>0.41799999999999998</v>
      </c>
    </row>
    <row r="270" spans="27:28" x14ac:dyDescent="0.25">
      <c r="AA270">
        <v>266</v>
      </c>
      <c r="AB270">
        <v>0.39200000000000002</v>
      </c>
    </row>
    <row r="271" spans="27:28" x14ac:dyDescent="0.25">
      <c r="AA271">
        <v>267</v>
      </c>
      <c r="AB271">
        <v>0.36499999999999999</v>
      </c>
    </row>
    <row r="272" spans="27:28" x14ac:dyDescent="0.25">
      <c r="AA272">
        <v>268</v>
      </c>
      <c r="AB272">
        <v>0.34</v>
      </c>
    </row>
    <row r="273" spans="27:28" x14ac:dyDescent="0.25">
      <c r="AA273">
        <v>269</v>
      </c>
      <c r="AB273">
        <v>0.32</v>
      </c>
    </row>
    <row r="274" spans="27:28" x14ac:dyDescent="0.25">
      <c r="AA274">
        <v>270</v>
      </c>
      <c r="AB274">
        <v>0.30099999999999999</v>
      </c>
    </row>
    <row r="275" spans="27:28" x14ac:dyDescent="0.25">
      <c r="AA275">
        <v>271</v>
      </c>
      <c r="AB275">
        <v>0.28299999999999997</v>
      </c>
    </row>
    <row r="276" spans="27:28" x14ac:dyDescent="0.25">
      <c r="AA276">
        <v>272</v>
      </c>
      <c r="AB276">
        <v>0.26500000000000001</v>
      </c>
    </row>
    <row r="277" spans="27:28" x14ac:dyDescent="0.25">
      <c r="AA277">
        <v>273</v>
      </c>
      <c r="AB277">
        <v>0.252</v>
      </c>
    </row>
    <row r="278" spans="27:28" x14ac:dyDescent="0.25">
      <c r="AA278">
        <v>274</v>
      </c>
      <c r="AB278">
        <v>0.23899999999999999</v>
      </c>
    </row>
    <row r="279" spans="27:28" x14ac:dyDescent="0.25">
      <c r="AA279">
        <v>275</v>
      </c>
      <c r="AB279">
        <v>0.22600000000000001</v>
      </c>
    </row>
    <row r="280" spans="27:28" x14ac:dyDescent="0.25">
      <c r="AA280">
        <v>276</v>
      </c>
      <c r="AB280">
        <v>0.21299999999999999</v>
      </c>
    </row>
    <row r="281" spans="27:28" x14ac:dyDescent="0.25">
      <c r="AA281">
        <v>277</v>
      </c>
      <c r="AB281">
        <v>0.20100000000000001</v>
      </c>
    </row>
    <row r="282" spans="27:28" x14ac:dyDescent="0.25">
      <c r="AA282">
        <v>278</v>
      </c>
      <c r="AB282">
        <v>0.193</v>
      </c>
    </row>
    <row r="283" spans="27:28" x14ac:dyDescent="0.25">
      <c r="AA283">
        <v>279</v>
      </c>
      <c r="AB283">
        <v>0.184</v>
      </c>
    </row>
    <row r="284" spans="27:28" x14ac:dyDescent="0.25">
      <c r="AA284">
        <v>280</v>
      </c>
      <c r="AB284">
        <v>0.17599999999999999</v>
      </c>
    </row>
    <row r="285" spans="27:28" x14ac:dyDescent="0.25">
      <c r="AA285">
        <v>281</v>
      </c>
      <c r="AB285">
        <v>0.16800000000000001</v>
      </c>
    </row>
    <row r="286" spans="27:28" x14ac:dyDescent="0.25">
      <c r="AA286">
        <v>282</v>
      </c>
      <c r="AB286">
        <v>0.16</v>
      </c>
    </row>
    <row r="287" spans="27:28" x14ac:dyDescent="0.25">
      <c r="AA287">
        <v>283</v>
      </c>
      <c r="AB287">
        <v>0.154</v>
      </c>
    </row>
    <row r="288" spans="27:28" x14ac:dyDescent="0.25">
      <c r="AA288">
        <v>284</v>
      </c>
      <c r="AB288">
        <v>0.14899999999999999</v>
      </c>
    </row>
    <row r="289" spans="27:28" x14ac:dyDescent="0.25">
      <c r="AA289">
        <v>285</v>
      </c>
      <c r="AB289">
        <v>0.14399999999999999</v>
      </c>
    </row>
    <row r="290" spans="27:28" x14ac:dyDescent="0.25">
      <c r="AA290">
        <v>286</v>
      </c>
      <c r="AB290">
        <v>0.14000000000000001</v>
      </c>
    </row>
    <row r="291" spans="27:28" x14ac:dyDescent="0.25">
      <c r="AA291">
        <v>287</v>
      </c>
      <c r="AB291">
        <v>0.13400000000000001</v>
      </c>
    </row>
    <row r="292" spans="27:28" x14ac:dyDescent="0.25">
      <c r="AA292">
        <v>288</v>
      </c>
      <c r="AB292">
        <v>0.129</v>
      </c>
    </row>
    <row r="293" spans="27:28" x14ac:dyDescent="0.25">
      <c r="AA293">
        <v>289</v>
      </c>
      <c r="AB293">
        <v>0.124</v>
      </c>
    </row>
    <row r="294" spans="27:28" x14ac:dyDescent="0.25">
      <c r="AA294">
        <v>290</v>
      </c>
      <c r="AB294">
        <v>0.12</v>
      </c>
    </row>
    <row r="295" spans="27:28" x14ac:dyDescent="0.25">
      <c r="AA295">
        <v>291</v>
      </c>
      <c r="AB295">
        <v>0.11799999999999999</v>
      </c>
    </row>
    <row r="296" spans="27:28" x14ac:dyDescent="0.25">
      <c r="AA296">
        <v>292</v>
      </c>
      <c r="AB296">
        <v>0.115</v>
      </c>
    </row>
    <row r="297" spans="27:28" x14ac:dyDescent="0.25">
      <c r="AA297">
        <v>293</v>
      </c>
      <c r="AB297">
        <v>0.112</v>
      </c>
    </row>
    <row r="298" spans="27:28" x14ac:dyDescent="0.25">
      <c r="AA298">
        <v>294</v>
      </c>
      <c r="AB298">
        <v>0.109</v>
      </c>
    </row>
    <row r="299" spans="27:28" x14ac:dyDescent="0.25">
      <c r="AA299">
        <v>295</v>
      </c>
      <c r="AB299">
        <v>0.106</v>
      </c>
    </row>
    <row r="300" spans="27:28" x14ac:dyDescent="0.25">
      <c r="AA300">
        <v>296</v>
      </c>
      <c r="AB300">
        <v>0.104</v>
      </c>
    </row>
    <row r="301" spans="27:28" x14ac:dyDescent="0.25">
      <c r="AA301">
        <v>297</v>
      </c>
      <c r="AB301">
        <v>0.10100000000000001</v>
      </c>
    </row>
    <row r="302" spans="27:28" x14ac:dyDescent="0.25">
      <c r="AA302">
        <v>298</v>
      </c>
      <c r="AB302">
        <v>9.8000000000000004E-2</v>
      </c>
    </row>
    <row r="303" spans="27:28" x14ac:dyDescent="0.25">
      <c r="AA303">
        <v>299</v>
      </c>
      <c r="AB303">
        <v>9.7000000000000003E-2</v>
      </c>
    </row>
    <row r="304" spans="27:28" x14ac:dyDescent="0.25">
      <c r="AA304">
        <v>300</v>
      </c>
      <c r="AB304">
        <v>9.5000000000000001E-2</v>
      </c>
    </row>
    <row r="305" spans="27:28" x14ac:dyDescent="0.25">
      <c r="AA305">
        <v>301</v>
      </c>
      <c r="AB305">
        <v>9.4E-2</v>
      </c>
    </row>
    <row r="306" spans="27:28" x14ac:dyDescent="0.25">
      <c r="AA306">
        <v>302</v>
      </c>
      <c r="AB306">
        <v>9.2999999999999999E-2</v>
      </c>
    </row>
    <row r="307" spans="27:28" x14ac:dyDescent="0.25">
      <c r="AA307">
        <v>303</v>
      </c>
      <c r="AB307">
        <v>9.1999999999999998E-2</v>
      </c>
    </row>
    <row r="308" spans="27:28" x14ac:dyDescent="0.25">
      <c r="AA308">
        <v>304</v>
      </c>
      <c r="AB308">
        <v>9.0999999999999998E-2</v>
      </c>
    </row>
    <row r="309" spans="27:28" x14ac:dyDescent="0.25">
      <c r="AA309">
        <v>305</v>
      </c>
      <c r="AB309">
        <v>8.8999999999999996E-2</v>
      </c>
    </row>
    <row r="310" spans="27:28" x14ac:dyDescent="0.25">
      <c r="AA310">
        <v>306</v>
      </c>
      <c r="AB310">
        <v>8.6999999999999994E-2</v>
      </c>
    </row>
    <row r="311" spans="27:28" x14ac:dyDescent="0.25">
      <c r="AA311">
        <v>307</v>
      </c>
      <c r="AB311">
        <v>8.5999999999999993E-2</v>
      </c>
    </row>
    <row r="312" spans="27:28" x14ac:dyDescent="0.25">
      <c r="AA312">
        <v>308</v>
      </c>
      <c r="AB312">
        <v>8.4000000000000005E-2</v>
      </c>
    </row>
    <row r="313" spans="27:28" x14ac:dyDescent="0.25">
      <c r="AA313">
        <v>309</v>
      </c>
      <c r="AB313">
        <v>8.2000000000000003E-2</v>
      </c>
    </row>
    <row r="314" spans="27:28" x14ac:dyDescent="0.25">
      <c r="AA314">
        <v>310</v>
      </c>
      <c r="AB314">
        <v>8.1000000000000003E-2</v>
      </c>
    </row>
    <row r="315" spans="27:28" x14ac:dyDescent="0.25">
      <c r="AA315">
        <v>311</v>
      </c>
      <c r="AB315">
        <v>0.08</v>
      </c>
    </row>
    <row r="316" spans="27:28" x14ac:dyDescent="0.25">
      <c r="AA316">
        <v>312</v>
      </c>
      <c r="AB316">
        <v>0.08</v>
      </c>
    </row>
    <row r="317" spans="27:28" x14ac:dyDescent="0.25">
      <c r="AA317">
        <v>313</v>
      </c>
      <c r="AB317">
        <v>7.9000000000000001E-2</v>
      </c>
    </row>
    <row r="318" spans="27:28" x14ac:dyDescent="0.25">
      <c r="AA318">
        <v>314</v>
      </c>
      <c r="AB318">
        <v>7.8E-2</v>
      </c>
    </row>
    <row r="319" spans="27:28" x14ac:dyDescent="0.25">
      <c r="AA319">
        <v>315</v>
      </c>
      <c r="AB319">
        <v>7.8E-2</v>
      </c>
    </row>
    <row r="320" spans="27:28" x14ac:dyDescent="0.25">
      <c r="AA320">
        <v>316</v>
      </c>
      <c r="AB320">
        <v>7.6999999999999999E-2</v>
      </c>
    </row>
    <row r="321" spans="27:28" x14ac:dyDescent="0.25">
      <c r="AA321">
        <v>317</v>
      </c>
      <c r="AB321">
        <v>7.6999999999999999E-2</v>
      </c>
    </row>
    <row r="322" spans="27:28" x14ac:dyDescent="0.25">
      <c r="AA322">
        <v>318</v>
      </c>
      <c r="AB322">
        <v>7.5999999999999998E-2</v>
      </c>
    </row>
    <row r="323" spans="27:28" x14ac:dyDescent="0.25">
      <c r="AA323">
        <v>319</v>
      </c>
      <c r="AB323">
        <v>7.5999999999999998E-2</v>
      </c>
    </row>
    <row r="324" spans="27:28" x14ac:dyDescent="0.25">
      <c r="AA324">
        <v>320</v>
      </c>
      <c r="AB324">
        <v>7.4999999999999997E-2</v>
      </c>
    </row>
    <row r="325" spans="27:28" x14ac:dyDescent="0.25">
      <c r="AA325">
        <v>321</v>
      </c>
      <c r="AB325">
        <v>7.4999999999999997E-2</v>
      </c>
    </row>
    <row r="326" spans="27:28" x14ac:dyDescent="0.25">
      <c r="AA326">
        <v>322</v>
      </c>
      <c r="AB326">
        <v>7.3999999999999996E-2</v>
      </c>
    </row>
    <row r="327" spans="27:28" x14ac:dyDescent="0.25">
      <c r="AA327">
        <v>323</v>
      </c>
      <c r="AB327">
        <v>7.3999999999999996E-2</v>
      </c>
    </row>
    <row r="328" spans="27:28" x14ac:dyDescent="0.25">
      <c r="AA328">
        <v>324</v>
      </c>
      <c r="AB328">
        <v>7.4999999999999997E-2</v>
      </c>
    </row>
    <row r="329" spans="27:28" x14ac:dyDescent="0.25">
      <c r="AA329">
        <v>325</v>
      </c>
      <c r="AB329">
        <v>7.6999999999999999E-2</v>
      </c>
    </row>
    <row r="330" spans="27:28" x14ac:dyDescent="0.25">
      <c r="AA330">
        <v>326</v>
      </c>
      <c r="AB330">
        <v>8.1000000000000003E-2</v>
      </c>
    </row>
    <row r="331" spans="27:28" x14ac:dyDescent="0.25">
      <c r="AA331">
        <v>327</v>
      </c>
      <c r="AB331">
        <v>8.5000000000000006E-2</v>
      </c>
    </row>
    <row r="332" spans="27:28" x14ac:dyDescent="0.25">
      <c r="AA332">
        <v>328</v>
      </c>
      <c r="AB332">
        <v>9.0999999999999998E-2</v>
      </c>
    </row>
    <row r="333" spans="27:28" x14ac:dyDescent="0.25">
      <c r="AA333">
        <v>329</v>
      </c>
      <c r="AB333">
        <v>0.10199999999999999</v>
      </c>
    </row>
    <row r="334" spans="27:28" x14ac:dyDescent="0.25">
      <c r="AA334">
        <v>330</v>
      </c>
      <c r="AB334">
        <v>0.14199999999999999</v>
      </c>
    </row>
    <row r="335" spans="27:28" x14ac:dyDescent="0.25">
      <c r="AA335">
        <v>331</v>
      </c>
      <c r="AB335">
        <v>0.312</v>
      </c>
    </row>
    <row r="336" spans="27:28" x14ac:dyDescent="0.25">
      <c r="AA336">
        <v>332</v>
      </c>
      <c r="AB336">
        <v>146.69399999999999</v>
      </c>
    </row>
    <row r="337" spans="27:28" x14ac:dyDescent="0.25">
      <c r="AA337">
        <v>333</v>
      </c>
      <c r="AB337">
        <v>20.422999999999998</v>
      </c>
    </row>
    <row r="338" spans="27:28" x14ac:dyDescent="0.25">
      <c r="AA338">
        <v>334</v>
      </c>
      <c r="AB338">
        <v>10.846</v>
      </c>
    </row>
    <row r="339" spans="27:28" x14ac:dyDescent="0.25">
      <c r="AA339">
        <v>335</v>
      </c>
      <c r="AB339">
        <v>7.5190000000000001</v>
      </c>
    </row>
    <row r="340" spans="27:28" x14ac:dyDescent="0.25">
      <c r="AA340">
        <v>336</v>
      </c>
      <c r="AB340">
        <v>6.2380000000000004</v>
      </c>
    </row>
    <row r="341" spans="27:28" x14ac:dyDescent="0.25">
      <c r="AA341">
        <v>337</v>
      </c>
      <c r="AB341">
        <v>5.48</v>
      </c>
    </row>
    <row r="342" spans="27:28" x14ac:dyDescent="0.25">
      <c r="AA342">
        <v>338</v>
      </c>
      <c r="AB342">
        <v>4.78</v>
      </c>
    </row>
    <row r="343" spans="27:28" x14ac:dyDescent="0.25">
      <c r="AA343">
        <v>339</v>
      </c>
      <c r="AB343">
        <v>3.6869999999999998</v>
      </c>
    </row>
    <row r="344" spans="27:28" x14ac:dyDescent="0.25">
      <c r="AA344">
        <v>340</v>
      </c>
      <c r="AB344">
        <v>2.9119999999999999</v>
      </c>
    </row>
    <row r="345" spans="27:28" x14ac:dyDescent="0.25">
      <c r="AA345">
        <v>341</v>
      </c>
      <c r="AB345">
        <v>2.41</v>
      </c>
    </row>
    <row r="346" spans="27:28" x14ac:dyDescent="0.25">
      <c r="AA346">
        <v>342</v>
      </c>
      <c r="AB346">
        <v>2.2269999999999999</v>
      </c>
    </row>
    <row r="347" spans="27:28" x14ac:dyDescent="0.25">
      <c r="AA347">
        <v>343</v>
      </c>
      <c r="AB347">
        <v>2.218</v>
      </c>
    </row>
    <row r="348" spans="27:28" x14ac:dyDescent="0.25">
      <c r="AA348">
        <v>344</v>
      </c>
      <c r="AB348">
        <v>2.3250000000000002</v>
      </c>
    </row>
    <row r="349" spans="27:28" x14ac:dyDescent="0.25">
      <c r="AA349">
        <v>345</v>
      </c>
      <c r="AB349">
        <v>2.423</v>
      </c>
    </row>
    <row r="350" spans="27:28" x14ac:dyDescent="0.25">
      <c r="AA350">
        <v>346</v>
      </c>
      <c r="AB350">
        <v>2.2589999999999999</v>
      </c>
    </row>
    <row r="351" spans="27:28" x14ac:dyDescent="0.25">
      <c r="AA351">
        <v>347</v>
      </c>
      <c r="AB351">
        <v>2.4740000000000002</v>
      </c>
    </row>
    <row r="352" spans="27:28" x14ac:dyDescent="0.25">
      <c r="AA352">
        <v>348</v>
      </c>
      <c r="AB352">
        <v>2.875</v>
      </c>
    </row>
    <row r="353" spans="27:28" x14ac:dyDescent="0.25">
      <c r="AA353">
        <v>349</v>
      </c>
      <c r="AB353">
        <v>3.4769999999999999</v>
      </c>
    </row>
    <row r="354" spans="27:28" x14ac:dyDescent="0.25">
      <c r="AA354">
        <v>350</v>
      </c>
      <c r="AB354">
        <v>3.8319999999999999</v>
      </c>
    </row>
    <row r="355" spans="27:28" x14ac:dyDescent="0.25">
      <c r="AA355">
        <v>351</v>
      </c>
      <c r="AB355">
        <v>4.0289999999999999</v>
      </c>
    </row>
    <row r="356" spans="27:28" x14ac:dyDescent="0.25">
      <c r="AA356">
        <v>352</v>
      </c>
      <c r="AB356">
        <v>4.3070000000000004</v>
      </c>
    </row>
    <row r="357" spans="27:28" x14ac:dyDescent="0.25">
      <c r="AA357">
        <v>353</v>
      </c>
      <c r="AB357">
        <v>4.66</v>
      </c>
    </row>
    <row r="358" spans="27:28" x14ac:dyDescent="0.25">
      <c r="AA358">
        <v>354</v>
      </c>
      <c r="AB358">
        <v>4.9960000000000004</v>
      </c>
    </row>
    <row r="359" spans="27:28" x14ac:dyDescent="0.25">
      <c r="AA359">
        <v>355</v>
      </c>
      <c r="AB359">
        <v>5.3819999999999997</v>
      </c>
    </row>
    <row r="360" spans="27:28" x14ac:dyDescent="0.25">
      <c r="AA360">
        <v>356</v>
      </c>
      <c r="AB360">
        <v>5.7830000000000004</v>
      </c>
    </row>
    <row r="361" spans="27:28" x14ac:dyDescent="0.25">
      <c r="AA361">
        <v>357</v>
      </c>
      <c r="AB361">
        <v>6.1630000000000003</v>
      </c>
    </row>
    <row r="362" spans="27:28" x14ac:dyDescent="0.25">
      <c r="AA362">
        <v>358</v>
      </c>
      <c r="AB362">
        <v>5.7439999999999998</v>
      </c>
    </row>
    <row r="363" spans="27:28" x14ac:dyDescent="0.25">
      <c r="AA363">
        <v>359</v>
      </c>
      <c r="AB363">
        <v>5.3090000000000002</v>
      </c>
    </row>
    <row r="364" spans="27:28" x14ac:dyDescent="0.25">
      <c r="AA364">
        <v>360</v>
      </c>
      <c r="AB364">
        <v>4.8719999999999999</v>
      </c>
    </row>
    <row r="365" spans="27:28" x14ac:dyDescent="0.25">
      <c r="AA365">
        <v>361</v>
      </c>
      <c r="AB365">
        <v>4.516</v>
      </c>
    </row>
    <row r="366" spans="27:28" x14ac:dyDescent="0.25">
      <c r="AA366">
        <v>362</v>
      </c>
      <c r="AB366">
        <v>4.4210000000000003</v>
      </c>
    </row>
    <row r="367" spans="27:28" x14ac:dyDescent="0.25">
      <c r="AA367">
        <v>363</v>
      </c>
      <c r="AB367">
        <v>4.2939999999999996</v>
      </c>
    </row>
    <row r="368" spans="27:28" x14ac:dyDescent="0.25">
      <c r="AA368">
        <v>364</v>
      </c>
      <c r="AB368">
        <v>4.2140000000000004</v>
      </c>
    </row>
    <row r="369" spans="27:28" x14ac:dyDescent="0.25">
      <c r="AA369">
        <v>365</v>
      </c>
      <c r="AB369">
        <v>4.125</v>
      </c>
    </row>
    <row r="370" spans="27:28" x14ac:dyDescent="0.25">
      <c r="AA370">
        <v>366</v>
      </c>
      <c r="AB370">
        <v>4.0250000000000004</v>
      </c>
    </row>
    <row r="371" spans="27:28" x14ac:dyDescent="0.25">
      <c r="AA371">
        <v>367</v>
      </c>
      <c r="AB371">
        <v>3.9169999999999998</v>
      </c>
    </row>
    <row r="372" spans="27:28" x14ac:dyDescent="0.25">
      <c r="AA372">
        <v>368</v>
      </c>
      <c r="AB372">
        <v>4.1740000000000004</v>
      </c>
    </row>
    <row r="373" spans="27:28" x14ac:dyDescent="0.25">
      <c r="AA373">
        <v>369</v>
      </c>
      <c r="AB373">
        <v>4.6619999999999999</v>
      </c>
    </row>
    <row r="374" spans="27:28" x14ac:dyDescent="0.25">
      <c r="AA374">
        <v>370</v>
      </c>
      <c r="AB374">
        <v>5.3520000000000003</v>
      </c>
    </row>
    <row r="375" spans="27:28" x14ac:dyDescent="0.25">
      <c r="AA375">
        <v>371</v>
      </c>
      <c r="AB375">
        <v>6.2640000000000002</v>
      </c>
    </row>
    <row r="376" spans="27:28" x14ac:dyDescent="0.25">
      <c r="AA376">
        <v>372</v>
      </c>
      <c r="AB376">
        <v>6.8079999999999998</v>
      </c>
    </row>
    <row r="377" spans="27:28" x14ac:dyDescent="0.25">
      <c r="AA377">
        <v>373</v>
      </c>
      <c r="AB377">
        <v>7.1829999999999998</v>
      </c>
    </row>
    <row r="378" spans="27:28" x14ac:dyDescent="0.25">
      <c r="AA378">
        <v>374</v>
      </c>
      <c r="AB378">
        <v>7.2690000000000001</v>
      </c>
    </row>
    <row r="379" spans="27:28" x14ac:dyDescent="0.25">
      <c r="AA379">
        <v>375</v>
      </c>
      <c r="AB379">
        <v>7.4459999999999997</v>
      </c>
    </row>
    <row r="380" spans="27:28" x14ac:dyDescent="0.25">
      <c r="AA380">
        <v>376</v>
      </c>
      <c r="AB380">
        <v>7.5709999999999997</v>
      </c>
    </row>
    <row r="381" spans="27:28" x14ac:dyDescent="0.25">
      <c r="AA381">
        <v>377</v>
      </c>
      <c r="AB381">
        <v>7.72</v>
      </c>
    </row>
    <row r="382" spans="27:28" x14ac:dyDescent="0.25">
      <c r="AA382">
        <v>378</v>
      </c>
      <c r="AB382">
        <v>7.4139999999999997</v>
      </c>
    </row>
    <row r="383" spans="27:28" x14ac:dyDescent="0.25">
      <c r="AA383">
        <v>379</v>
      </c>
      <c r="AB383">
        <v>7.1219999999999999</v>
      </c>
    </row>
    <row r="384" spans="27:28" x14ac:dyDescent="0.25">
      <c r="AA384">
        <v>380</v>
      </c>
      <c r="AB384">
        <v>7.0149999999999997</v>
      </c>
    </row>
    <row r="385" spans="27:28" x14ac:dyDescent="0.25">
      <c r="AA385">
        <v>381</v>
      </c>
      <c r="AB385">
        <v>6.48</v>
      </c>
    </row>
    <row r="386" spans="27:28" x14ac:dyDescent="0.25">
      <c r="AA386">
        <v>382</v>
      </c>
      <c r="AB386">
        <v>6.1719999999999997</v>
      </c>
    </row>
    <row r="387" spans="27:28" x14ac:dyDescent="0.25">
      <c r="AA387">
        <v>383</v>
      </c>
      <c r="AB387">
        <v>5.94</v>
      </c>
    </row>
    <row r="388" spans="27:28" x14ac:dyDescent="0.25">
      <c r="AA388">
        <v>384</v>
      </c>
      <c r="AB388">
        <v>5.7030000000000003</v>
      </c>
    </row>
    <row r="389" spans="27:28" x14ac:dyDescent="0.25">
      <c r="AA389">
        <v>385</v>
      </c>
      <c r="AB389">
        <v>5.4779999999999998</v>
      </c>
    </row>
    <row r="390" spans="27:28" x14ac:dyDescent="0.25">
      <c r="AA390">
        <v>386</v>
      </c>
      <c r="AB390">
        <v>5.4450000000000003</v>
      </c>
    </row>
    <row r="391" spans="27:28" x14ac:dyDescent="0.25">
      <c r="AA391">
        <v>387</v>
      </c>
      <c r="AB391">
        <v>5.359</v>
      </c>
    </row>
    <row r="392" spans="27:28" x14ac:dyDescent="0.25">
      <c r="AA392">
        <v>388</v>
      </c>
      <c r="AB392">
        <v>5.4550000000000001</v>
      </c>
    </row>
    <row r="393" spans="27:28" x14ac:dyDescent="0.25">
      <c r="AA393">
        <v>389</v>
      </c>
      <c r="AB393">
        <v>5.9320000000000004</v>
      </c>
    </row>
    <row r="394" spans="27:28" x14ac:dyDescent="0.25">
      <c r="AA394">
        <v>390</v>
      </c>
      <c r="AB394">
        <v>6.6890000000000001</v>
      </c>
    </row>
    <row r="395" spans="27:28" x14ac:dyDescent="0.25">
      <c r="AA395">
        <v>391</v>
      </c>
      <c r="AB395">
        <v>7.1189999999999998</v>
      </c>
    </row>
    <row r="396" spans="27:28" x14ac:dyDescent="0.25">
      <c r="AA396">
        <v>392</v>
      </c>
      <c r="AB396">
        <v>7.4690000000000003</v>
      </c>
    </row>
    <row r="397" spans="27:28" x14ac:dyDescent="0.25">
      <c r="AA397">
        <v>393</v>
      </c>
      <c r="AB397">
        <v>8.34</v>
      </c>
    </row>
    <row r="398" spans="27:28" x14ac:dyDescent="0.25">
      <c r="AA398">
        <v>394</v>
      </c>
      <c r="AB398">
        <v>8.9830000000000005</v>
      </c>
    </row>
    <row r="399" spans="27:28" x14ac:dyDescent="0.25">
      <c r="AA399">
        <v>395</v>
      </c>
      <c r="AB399">
        <v>8.5299999999999994</v>
      </c>
    </row>
    <row r="400" spans="27:28" x14ac:dyDescent="0.25">
      <c r="AA400">
        <v>396</v>
      </c>
      <c r="AB400">
        <v>7.4450000000000003</v>
      </c>
    </row>
    <row r="401" spans="27:28" x14ac:dyDescent="0.25">
      <c r="AA401">
        <v>397</v>
      </c>
      <c r="AB401">
        <v>7.4390000000000001</v>
      </c>
    </row>
    <row r="402" spans="27:28" x14ac:dyDescent="0.25">
      <c r="AA402">
        <v>398</v>
      </c>
      <c r="AB402">
        <v>7.8390000000000004</v>
      </c>
    </row>
    <row r="403" spans="27:28" x14ac:dyDescent="0.25">
      <c r="AA403">
        <v>399</v>
      </c>
      <c r="AB403">
        <v>7.2370000000000001</v>
      </c>
    </row>
    <row r="404" spans="27:28" x14ac:dyDescent="0.25">
      <c r="AA404">
        <v>400</v>
      </c>
      <c r="AB404">
        <v>6.5759999999999996</v>
      </c>
    </row>
    <row r="405" spans="27:28" x14ac:dyDescent="0.25">
      <c r="AA405">
        <v>401</v>
      </c>
      <c r="AB405">
        <v>6.3890000000000002</v>
      </c>
    </row>
    <row r="406" spans="27:28" x14ac:dyDescent="0.25">
      <c r="AA406">
        <v>402</v>
      </c>
      <c r="AB406">
        <v>6.0529999999999999</v>
      </c>
    </row>
    <row r="407" spans="27:28" x14ac:dyDescent="0.25">
      <c r="AA407">
        <v>403</v>
      </c>
      <c r="AB407">
        <v>6.7290000000000001</v>
      </c>
    </row>
    <row r="408" spans="27:28" x14ac:dyDescent="0.25">
      <c r="AA408">
        <v>404</v>
      </c>
      <c r="AB408">
        <v>7.2229999999999999</v>
      </c>
    </row>
    <row r="409" spans="27:28" x14ac:dyDescent="0.25">
      <c r="AA409">
        <v>405</v>
      </c>
      <c r="AB409">
        <v>7.0129999999999999</v>
      </c>
    </row>
    <row r="410" spans="27:28" x14ac:dyDescent="0.25">
      <c r="AA410">
        <v>406</v>
      </c>
      <c r="AB410">
        <v>5.8230000000000004</v>
      </c>
    </row>
    <row r="411" spans="27:28" x14ac:dyDescent="0.25">
      <c r="AA411">
        <v>407</v>
      </c>
      <c r="AB411">
        <v>10.07</v>
      </c>
    </row>
    <row r="412" spans="27:28" x14ac:dyDescent="0.25">
      <c r="AA412">
        <v>408</v>
      </c>
      <c r="AB412">
        <v>10.598000000000001</v>
      </c>
    </row>
    <row r="413" spans="27:28" x14ac:dyDescent="0.25">
      <c r="AA413">
        <v>409</v>
      </c>
      <c r="AB413">
        <v>15.196</v>
      </c>
    </row>
    <row r="414" spans="27:28" x14ac:dyDescent="0.25">
      <c r="AA414">
        <v>410</v>
      </c>
      <c r="AB414">
        <v>1.0860000000000001</v>
      </c>
    </row>
    <row r="415" spans="27:28" x14ac:dyDescent="0.25">
      <c r="AA415">
        <v>411</v>
      </c>
      <c r="AB415">
        <v>8.5540000000000003</v>
      </c>
    </row>
    <row r="416" spans="27:28" x14ac:dyDescent="0.25">
      <c r="AA416">
        <v>412</v>
      </c>
      <c r="AB416">
        <v>11.657</v>
      </c>
    </row>
    <row r="417" spans="27:28" x14ac:dyDescent="0.25">
      <c r="AA417">
        <v>413</v>
      </c>
      <c r="AB417">
        <v>7.5129999999999999</v>
      </c>
    </row>
    <row r="418" spans="27:28" x14ac:dyDescent="0.25">
      <c r="AA418">
        <v>414</v>
      </c>
      <c r="AB418">
        <v>8.0109999999999992</v>
      </c>
    </row>
    <row r="419" spans="27:28" x14ac:dyDescent="0.25">
      <c r="AA419">
        <v>415</v>
      </c>
      <c r="AB419">
        <v>10.222</v>
      </c>
    </row>
    <row r="420" spans="27:28" x14ac:dyDescent="0.25">
      <c r="AA420">
        <v>416</v>
      </c>
      <c r="AB420">
        <v>8.3680000000000003</v>
      </c>
    </row>
    <row r="421" spans="27:28" x14ac:dyDescent="0.25">
      <c r="AA421">
        <v>417</v>
      </c>
      <c r="AB421">
        <v>9.4130000000000003</v>
      </c>
    </row>
    <row r="422" spans="27:28" x14ac:dyDescent="0.25">
      <c r="AA422">
        <v>418</v>
      </c>
      <c r="AB422">
        <v>17.376999999999999</v>
      </c>
    </row>
    <row r="423" spans="27:28" x14ac:dyDescent="0.25">
      <c r="AA423">
        <v>419</v>
      </c>
      <c r="AB423">
        <v>14.644</v>
      </c>
    </row>
    <row r="424" spans="27:28" x14ac:dyDescent="0.25">
      <c r="AA424">
        <v>420</v>
      </c>
      <c r="AB424">
        <v>24.061</v>
      </c>
    </row>
    <row r="425" spans="27:28" x14ac:dyDescent="0.25">
      <c r="AA425">
        <v>421</v>
      </c>
      <c r="AB425">
        <v>22.042000000000002</v>
      </c>
    </row>
    <row r="426" spans="27:28" x14ac:dyDescent="0.25">
      <c r="AA426">
        <v>422</v>
      </c>
      <c r="AB426">
        <v>29.039000000000001</v>
      </c>
    </row>
    <row r="427" spans="27:28" x14ac:dyDescent="0.25">
      <c r="AA427">
        <v>423</v>
      </c>
      <c r="AB427">
        <v>46.173999999999999</v>
      </c>
    </row>
    <row r="428" spans="27:28" x14ac:dyDescent="0.25">
      <c r="AA428">
        <v>424</v>
      </c>
      <c r="AB428">
        <v>132.35300000000001</v>
      </c>
    </row>
    <row r="429" spans="27:28" x14ac:dyDescent="0.25">
      <c r="AA429">
        <v>425</v>
      </c>
      <c r="AB429">
        <v>39.344000000000001</v>
      </c>
    </row>
    <row r="430" spans="27:28" x14ac:dyDescent="0.25">
      <c r="AA430">
        <v>426</v>
      </c>
      <c r="AB430">
        <v>44.777999999999999</v>
      </c>
    </row>
    <row r="431" spans="27:28" x14ac:dyDescent="0.25">
      <c r="AA431">
        <v>427</v>
      </c>
      <c r="AB431">
        <v>15.901</v>
      </c>
    </row>
    <row r="432" spans="27:28" x14ac:dyDescent="0.25">
      <c r="AA432">
        <v>428</v>
      </c>
      <c r="AB432">
        <v>12.391</v>
      </c>
    </row>
    <row r="433" spans="27:28" x14ac:dyDescent="0.25">
      <c r="AA433">
        <v>429</v>
      </c>
      <c r="AB433">
        <v>7.1369999999999996</v>
      </c>
    </row>
    <row r="434" spans="27:28" x14ac:dyDescent="0.25">
      <c r="AA434">
        <v>430</v>
      </c>
      <c r="AB434">
        <v>12.974</v>
      </c>
    </row>
    <row r="435" spans="27:28" x14ac:dyDescent="0.25">
      <c r="AA435">
        <v>431</v>
      </c>
      <c r="AB435">
        <v>8.4060000000000006</v>
      </c>
    </row>
    <row r="436" spans="27:28" x14ac:dyDescent="0.25">
      <c r="AA436">
        <v>432</v>
      </c>
      <c r="AB436">
        <v>15.098000000000001</v>
      </c>
    </row>
    <row r="437" spans="27:28" x14ac:dyDescent="0.25">
      <c r="AA437">
        <v>433</v>
      </c>
      <c r="AB437">
        <v>10.018000000000001</v>
      </c>
    </row>
    <row r="438" spans="27:28" x14ac:dyDescent="0.25">
      <c r="AA438">
        <v>434</v>
      </c>
      <c r="AB438">
        <v>15.813000000000001</v>
      </c>
    </row>
    <row r="439" spans="27:28" x14ac:dyDescent="0.25">
      <c r="AA439">
        <v>435</v>
      </c>
      <c r="AB439">
        <v>12.019</v>
      </c>
    </row>
    <row r="440" spans="27:28" x14ac:dyDescent="0.25">
      <c r="AA440">
        <v>436</v>
      </c>
      <c r="AB440">
        <v>34.661999999999999</v>
      </c>
    </row>
    <row r="441" spans="27:28" x14ac:dyDescent="0.25">
      <c r="AA441">
        <v>437</v>
      </c>
      <c r="AB441">
        <v>23.449000000000002</v>
      </c>
    </row>
    <row r="442" spans="27:28" x14ac:dyDescent="0.25">
      <c r="AA442">
        <v>438</v>
      </c>
      <c r="AB442">
        <v>45.662999999999997</v>
      </c>
    </row>
    <row r="443" spans="27:28" x14ac:dyDescent="0.25">
      <c r="AA443">
        <v>439</v>
      </c>
      <c r="AB443">
        <v>28.701000000000001</v>
      </c>
    </row>
    <row r="444" spans="27:28" x14ac:dyDescent="0.25">
      <c r="AA444">
        <v>440</v>
      </c>
      <c r="AB444">
        <v>19.414999999999999</v>
      </c>
    </row>
    <row r="445" spans="27:28" x14ac:dyDescent="0.25">
      <c r="AA445">
        <v>441</v>
      </c>
      <c r="AB445">
        <v>0</v>
      </c>
    </row>
    <row r="446" spans="27:28" x14ac:dyDescent="0.25">
      <c r="AA446">
        <v>442</v>
      </c>
      <c r="AB446">
        <v>0</v>
      </c>
    </row>
    <row r="447" spans="27:28" x14ac:dyDescent="0.25">
      <c r="AA447">
        <v>443</v>
      </c>
      <c r="AB447">
        <v>0</v>
      </c>
    </row>
    <row r="448" spans="27:28" x14ac:dyDescent="0.25">
      <c r="AA448">
        <v>444</v>
      </c>
      <c r="AB448">
        <v>0</v>
      </c>
    </row>
    <row r="449" spans="27:28" x14ac:dyDescent="0.25">
      <c r="AA449">
        <v>445</v>
      </c>
      <c r="AB449">
        <v>0</v>
      </c>
    </row>
    <row r="450" spans="27:28" x14ac:dyDescent="0.25">
      <c r="AA450">
        <v>446</v>
      </c>
      <c r="AB450">
        <v>0</v>
      </c>
    </row>
    <row r="451" spans="27:28" x14ac:dyDescent="0.25">
      <c r="AA451">
        <v>447</v>
      </c>
      <c r="AB451">
        <v>0</v>
      </c>
    </row>
    <row r="452" spans="27:28" x14ac:dyDescent="0.25">
      <c r="AA452">
        <v>448</v>
      </c>
      <c r="AB452">
        <v>0</v>
      </c>
    </row>
    <row r="453" spans="27:28" x14ac:dyDescent="0.25">
      <c r="AA453">
        <v>449</v>
      </c>
      <c r="AB453">
        <v>0</v>
      </c>
    </row>
    <row r="454" spans="27:28" x14ac:dyDescent="0.25">
      <c r="AA454">
        <v>450</v>
      </c>
      <c r="AB454">
        <v>0</v>
      </c>
    </row>
    <row r="455" spans="27:28" x14ac:dyDescent="0.25">
      <c r="AA455">
        <v>451</v>
      </c>
      <c r="AB455">
        <v>0</v>
      </c>
    </row>
    <row r="456" spans="27:28" x14ac:dyDescent="0.25">
      <c r="AA456">
        <v>452</v>
      </c>
      <c r="AB456">
        <v>0.89800000000000002</v>
      </c>
    </row>
    <row r="457" spans="27:28" x14ac:dyDescent="0.25">
      <c r="AA457">
        <v>453</v>
      </c>
      <c r="AB457">
        <v>2.4430000000000001</v>
      </c>
    </row>
    <row r="458" spans="27:28" x14ac:dyDescent="0.25">
      <c r="AA458">
        <v>454</v>
      </c>
      <c r="AB458">
        <v>1.748</v>
      </c>
    </row>
    <row r="459" spans="27:28" x14ac:dyDescent="0.25">
      <c r="AA459">
        <v>455</v>
      </c>
      <c r="AB459">
        <v>0</v>
      </c>
    </row>
    <row r="460" spans="27:28" x14ac:dyDescent="0.25">
      <c r="AA460">
        <v>456</v>
      </c>
      <c r="AB460">
        <v>0</v>
      </c>
    </row>
    <row r="461" spans="27:28" x14ac:dyDescent="0.25">
      <c r="AA461">
        <v>457</v>
      </c>
      <c r="AB461">
        <v>14.031000000000001</v>
      </c>
    </row>
    <row r="462" spans="27:28" x14ac:dyDescent="0.25">
      <c r="AA462">
        <v>458</v>
      </c>
      <c r="AB462">
        <v>9.4190000000000005</v>
      </c>
    </row>
    <row r="463" spans="27:28" x14ac:dyDescent="0.25">
      <c r="AA463">
        <v>459</v>
      </c>
      <c r="AB463">
        <v>11.428000000000001</v>
      </c>
    </row>
    <row r="464" spans="27:28" x14ac:dyDescent="0.25">
      <c r="AA464">
        <v>460</v>
      </c>
      <c r="AB464">
        <v>7.7539999999999996</v>
      </c>
    </row>
    <row r="465" spans="27:28" x14ac:dyDescent="0.25">
      <c r="AA465">
        <v>461</v>
      </c>
      <c r="AB465">
        <v>0</v>
      </c>
    </row>
    <row r="466" spans="27:28" x14ac:dyDescent="0.25">
      <c r="AA466">
        <v>462</v>
      </c>
      <c r="AB466">
        <v>0</v>
      </c>
    </row>
    <row r="467" spans="27:28" x14ac:dyDescent="0.25">
      <c r="AA467">
        <v>463</v>
      </c>
      <c r="AB467">
        <v>0</v>
      </c>
    </row>
    <row r="468" spans="27:28" x14ac:dyDescent="0.25">
      <c r="AA468">
        <v>464</v>
      </c>
      <c r="AB468">
        <v>0</v>
      </c>
    </row>
    <row r="469" spans="27:28" x14ac:dyDescent="0.25">
      <c r="AA469">
        <v>465</v>
      </c>
      <c r="AB469">
        <v>0</v>
      </c>
    </row>
    <row r="470" spans="27:28" x14ac:dyDescent="0.25">
      <c r="AA470">
        <v>466</v>
      </c>
      <c r="AB470">
        <v>0</v>
      </c>
    </row>
    <row r="471" spans="27:28" x14ac:dyDescent="0.25">
      <c r="AA471">
        <v>467</v>
      </c>
      <c r="AB471">
        <v>0</v>
      </c>
    </row>
    <row r="472" spans="27:28" x14ac:dyDescent="0.25">
      <c r="AA472">
        <v>468</v>
      </c>
      <c r="AB472">
        <v>0</v>
      </c>
    </row>
    <row r="473" spans="27:28" x14ac:dyDescent="0.25">
      <c r="AA473">
        <v>469</v>
      </c>
      <c r="AB473">
        <v>48.707000000000001</v>
      </c>
    </row>
    <row r="474" spans="27:28" x14ac:dyDescent="0.25">
      <c r="AA474">
        <v>470</v>
      </c>
      <c r="AB474">
        <v>19.16</v>
      </c>
    </row>
    <row r="475" spans="27:28" x14ac:dyDescent="0.25">
      <c r="AA475">
        <v>471</v>
      </c>
      <c r="AB475">
        <v>17.82</v>
      </c>
    </row>
    <row r="476" spans="27:28" x14ac:dyDescent="0.25">
      <c r="AA476">
        <v>472</v>
      </c>
      <c r="AB476">
        <v>29.475000000000001</v>
      </c>
    </row>
    <row r="477" spans="27:28" x14ac:dyDescent="0.25">
      <c r="AA477">
        <v>473</v>
      </c>
      <c r="AB477">
        <v>0</v>
      </c>
    </row>
    <row r="478" spans="27:28" x14ac:dyDescent="0.25">
      <c r="AA478">
        <v>474</v>
      </c>
      <c r="AB478">
        <v>0</v>
      </c>
    </row>
    <row r="479" spans="27:28" x14ac:dyDescent="0.25">
      <c r="AA479">
        <v>475</v>
      </c>
      <c r="AB479">
        <v>0</v>
      </c>
    </row>
    <row r="480" spans="27:28" x14ac:dyDescent="0.25">
      <c r="AA480">
        <v>476</v>
      </c>
      <c r="AB480">
        <v>0</v>
      </c>
    </row>
    <row r="481" spans="27:28" x14ac:dyDescent="0.25">
      <c r="AA481">
        <v>477</v>
      </c>
      <c r="AB481">
        <v>0</v>
      </c>
    </row>
    <row r="482" spans="27:28" x14ac:dyDescent="0.25">
      <c r="AA482">
        <v>478</v>
      </c>
      <c r="AB482">
        <v>0</v>
      </c>
    </row>
    <row r="483" spans="27:28" x14ac:dyDescent="0.25">
      <c r="AA483">
        <v>479</v>
      </c>
      <c r="AB483">
        <v>0</v>
      </c>
    </row>
    <row r="484" spans="27:28" x14ac:dyDescent="0.25">
      <c r="AA484">
        <v>480</v>
      </c>
      <c r="AB484">
        <v>0</v>
      </c>
    </row>
    <row r="485" spans="27:28" x14ac:dyDescent="0.25">
      <c r="AA485">
        <v>481</v>
      </c>
      <c r="AB485">
        <v>0</v>
      </c>
    </row>
    <row r="486" spans="27:28" x14ac:dyDescent="0.25">
      <c r="AA486">
        <v>482</v>
      </c>
      <c r="AB486">
        <v>0</v>
      </c>
    </row>
    <row r="487" spans="27:28" x14ac:dyDescent="0.25">
      <c r="AA487">
        <v>483</v>
      </c>
      <c r="AB487">
        <v>0</v>
      </c>
    </row>
    <row r="488" spans="27:28" x14ac:dyDescent="0.25">
      <c r="AA488">
        <v>484</v>
      </c>
      <c r="AB488">
        <v>0</v>
      </c>
    </row>
    <row r="489" spans="27:28" x14ac:dyDescent="0.25">
      <c r="AA489">
        <v>485</v>
      </c>
      <c r="AB489">
        <v>0</v>
      </c>
    </row>
    <row r="490" spans="27:28" x14ac:dyDescent="0.25">
      <c r="AA490">
        <v>486</v>
      </c>
      <c r="AB490">
        <v>0</v>
      </c>
    </row>
    <row r="491" spans="27:28" x14ac:dyDescent="0.25">
      <c r="AA491">
        <v>487</v>
      </c>
      <c r="AB491">
        <v>0</v>
      </c>
    </row>
    <row r="492" spans="27:28" x14ac:dyDescent="0.25">
      <c r="AA492">
        <v>488</v>
      </c>
      <c r="AB492">
        <v>0</v>
      </c>
    </row>
    <row r="493" spans="27:28" x14ac:dyDescent="0.25">
      <c r="AA493">
        <v>489</v>
      </c>
      <c r="AB493">
        <v>0</v>
      </c>
    </row>
    <row r="494" spans="27:28" x14ac:dyDescent="0.25">
      <c r="AA494">
        <v>490</v>
      </c>
      <c r="AB494">
        <v>13.839</v>
      </c>
    </row>
    <row r="495" spans="27:28" x14ac:dyDescent="0.25">
      <c r="AA495">
        <v>491</v>
      </c>
      <c r="AB495">
        <v>13.3</v>
      </c>
    </row>
    <row r="496" spans="27:28" x14ac:dyDescent="0.25">
      <c r="AA496">
        <v>492</v>
      </c>
      <c r="AB496">
        <v>12.382</v>
      </c>
    </row>
    <row r="497" spans="27:28" x14ac:dyDescent="0.25">
      <c r="AA497">
        <v>493</v>
      </c>
      <c r="AB497">
        <v>6.5270000000000001</v>
      </c>
    </row>
    <row r="498" spans="27:28" x14ac:dyDescent="0.25">
      <c r="AA498">
        <v>494</v>
      </c>
      <c r="AB498">
        <v>0</v>
      </c>
    </row>
    <row r="499" spans="27:28" x14ac:dyDescent="0.25">
      <c r="AA499">
        <v>495</v>
      </c>
      <c r="AB499">
        <v>36.155000000000001</v>
      </c>
    </row>
    <row r="500" spans="27:28" x14ac:dyDescent="0.25">
      <c r="AA500">
        <v>496</v>
      </c>
      <c r="AB500">
        <v>26.236000000000001</v>
      </c>
    </row>
    <row r="501" spans="27:28" x14ac:dyDescent="0.25">
      <c r="AA501">
        <v>497</v>
      </c>
      <c r="AB501">
        <v>28.754000000000001</v>
      </c>
    </row>
    <row r="502" spans="27:28" x14ac:dyDescent="0.25">
      <c r="AA502">
        <v>498</v>
      </c>
      <c r="AB502">
        <v>0</v>
      </c>
    </row>
    <row r="503" spans="27:28" x14ac:dyDescent="0.25">
      <c r="AA503">
        <v>499</v>
      </c>
      <c r="AB503">
        <v>0</v>
      </c>
    </row>
  </sheetData>
  <mergeCells count="1"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42717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8.86295360197702E-17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2.658886080593106E-2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7" t="s">
        <v>323</v>
      </c>
      <c r="C3" s="87"/>
      <c r="D3" s="87"/>
      <c r="E3">
        <f>1.5*26/30</f>
        <v>1.3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76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-2.9472000572551118</v>
      </c>
      <c r="Q5" s="13">
        <f>(P5-P$5)*$G$18*10000</f>
        <v>0</v>
      </c>
    </row>
    <row r="6" spans="1:17" x14ac:dyDescent="0.25">
      <c r="A6" t="s">
        <v>0</v>
      </c>
      <c r="C6" s="76"/>
      <c r="E6">
        <f>25*0.05</f>
        <v>1.25</v>
      </c>
      <c r="G6" s="5" t="s">
        <v>153</v>
      </c>
      <c r="H6" s="4">
        <v>4E+18</v>
      </c>
      <c r="I6" s="3" t="s">
        <v>155</v>
      </c>
      <c r="J6" s="17" t="s">
        <v>97</v>
      </c>
      <c r="K6" s="3">
        <f>C7+5</f>
        <v>605</v>
      </c>
      <c r="M6"/>
      <c r="O6" s="3">
        <f>O5+1</f>
        <v>1</v>
      </c>
      <c r="P6" s="13">
        <f t="shared" ref="P6:P69" si="0">$C$24*O6+$C$21</f>
        <v>-2.9029920563962852</v>
      </c>
      <c r="Q6" s="13">
        <f t="shared" ref="Q6:Q69" si="1">(P6-P$5)*$G$18*10000</f>
        <v>44.999999999999908</v>
      </c>
    </row>
    <row r="7" spans="1:17" x14ac:dyDescent="0.25">
      <c r="B7" t="s">
        <v>1</v>
      </c>
      <c r="C7" s="76">
        <v>600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0"/>
        <v>-2.8587840555374586</v>
      </c>
      <c r="Q7" s="13">
        <f t="shared" si="1"/>
        <v>89.999999999999815</v>
      </c>
    </row>
    <row r="8" spans="1:17" x14ac:dyDescent="0.25">
      <c r="B8" t="s">
        <v>2</v>
      </c>
      <c r="C8" s="76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-2.8145760546786316</v>
      </c>
      <c r="Q8" s="13">
        <f t="shared" si="1"/>
        <v>135.00000000000017</v>
      </c>
    </row>
    <row r="9" spans="1:17" x14ac:dyDescent="0.25">
      <c r="B9" t="s">
        <v>3</v>
      </c>
      <c r="C9" s="76">
        <v>150</v>
      </c>
      <c r="E9" s="14">
        <f>E10*1000000000/I1</f>
        <v>1.3205775822989467</v>
      </c>
      <c r="F9" s="5" t="s">
        <v>209</v>
      </c>
      <c r="G9" s="6">
        <f>SQRT(G8/H6)</f>
        <v>20.868355978610293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-2.770368053819805</v>
      </c>
      <c r="Q9" s="13">
        <f t="shared" si="1"/>
        <v>180.00000000000009</v>
      </c>
    </row>
    <row r="10" spans="1:17" x14ac:dyDescent="0.25">
      <c r="B10" t="s">
        <v>4</v>
      </c>
      <c r="C10" s="76">
        <v>250</v>
      </c>
      <c r="E10" s="14">
        <f>0.149/E16</f>
        <v>0.39589919937709855</v>
      </c>
      <c r="F10" s="5" t="s">
        <v>156</v>
      </c>
      <c r="G10" s="6">
        <f xml:space="preserve"> 56414.602*SQRT(H6)</f>
        <v>112829204000000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-2.7261600529609784</v>
      </c>
      <c r="Q10" s="13">
        <f t="shared" si="1"/>
        <v>225</v>
      </c>
    </row>
    <row r="11" spans="1:17" x14ac:dyDescent="0.25">
      <c r="B11" t="s">
        <v>5</v>
      </c>
      <c r="C11" s="76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-2.6819520521021518</v>
      </c>
      <c r="Q11" s="13">
        <f t="shared" si="1"/>
        <v>269.99999999999989</v>
      </c>
    </row>
    <row r="12" spans="1:17" x14ac:dyDescent="0.25">
      <c r="B12" t="s">
        <v>6</v>
      </c>
      <c r="C12" s="76">
        <v>5</v>
      </c>
      <c r="F12" s="5" t="s">
        <v>160</v>
      </c>
      <c r="G12" s="7">
        <f>SQRT(H6/G8)</f>
        <v>4.7919443248187969E-2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-2.6377440512433252</v>
      </c>
      <c r="Q12" s="13">
        <f t="shared" si="1"/>
        <v>314.99999999999977</v>
      </c>
    </row>
    <row r="13" spans="1:17" x14ac:dyDescent="0.25">
      <c r="B13" t="s">
        <v>7</v>
      </c>
      <c r="C13" s="76">
        <v>2</v>
      </c>
      <c r="F13" s="5" t="s">
        <v>161</v>
      </c>
      <c r="G13" s="6">
        <f>0.0001*G7*SQRT(G8/H6)</f>
        <v>1.6694684782888236E-3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-2.5935360503844982</v>
      </c>
      <c r="Q13" s="13">
        <f t="shared" si="1"/>
        <v>360.00000000000017</v>
      </c>
    </row>
    <row r="14" spans="1:17" x14ac:dyDescent="0.25">
      <c r="B14" t="s">
        <v>8</v>
      </c>
      <c r="C14" s="21">
        <f>G24</f>
        <v>2.6831924746576368</v>
      </c>
      <c r="D14" t="s">
        <v>139</v>
      </c>
      <c r="E14" s="14">
        <f>0.5*G14</f>
        <v>8.3473423914441174</v>
      </c>
      <c r="F14" s="5" t="s">
        <v>181</v>
      </c>
      <c r="G14" s="6">
        <f>10000*G13</f>
        <v>16.694684782888235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-2.5493280495256716</v>
      </c>
      <c r="Q14" s="13">
        <f t="shared" si="1"/>
        <v>405.00000000000006</v>
      </c>
    </row>
    <row r="15" spans="1:17" x14ac:dyDescent="0.25">
      <c r="B15" t="s">
        <v>9</v>
      </c>
      <c r="C15" s="76">
        <v>5</v>
      </c>
      <c r="D15" t="s">
        <v>138</v>
      </c>
      <c r="E15" s="14">
        <f>E14/16.7</f>
        <v>0.49984086176312081</v>
      </c>
      <c r="F15" s="5" t="s">
        <v>190</v>
      </c>
      <c r="G15" s="6">
        <f>2*PI()*1000000000000000/G10</f>
        <v>55.687579850156403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-2.505120048666845</v>
      </c>
      <c r="Q15" s="13">
        <f t="shared" si="1"/>
        <v>450</v>
      </c>
    </row>
    <row r="16" spans="1:17" x14ac:dyDescent="0.25">
      <c r="B16" t="s">
        <v>10</v>
      </c>
      <c r="C16" s="76">
        <v>20</v>
      </c>
      <c r="D16" t="s">
        <v>255</v>
      </c>
      <c r="E16" s="14">
        <f>0.0001*G16</f>
        <v>0.37635842718155077</v>
      </c>
      <c r="F16" s="5" t="s">
        <v>163</v>
      </c>
      <c r="G16" s="6">
        <f>2*PI()/G13</f>
        <v>3763.5842718155077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-2.4609120478080184</v>
      </c>
      <c r="Q16" s="13">
        <f t="shared" si="1"/>
        <v>494.99999999999989</v>
      </c>
    </row>
    <row r="17" spans="2:17" x14ac:dyDescent="0.25">
      <c r="B17" t="s">
        <v>11</v>
      </c>
      <c r="C17" s="22">
        <f>G20</f>
        <v>6.0593706776229688</v>
      </c>
      <c r="D17" t="s">
        <v>140</v>
      </c>
      <c r="E17">
        <f>1/G17</f>
        <v>6.2111801242236017E-2</v>
      </c>
      <c r="F17" s="5" t="s">
        <v>165</v>
      </c>
      <c r="G17" s="3">
        <v>16.100000000000001</v>
      </c>
      <c r="H17" s="3" t="s">
        <v>166</v>
      </c>
      <c r="I17" s="1">
        <f>100*I16*G16</f>
        <v>-93.096020547628399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-2.4167040469491914</v>
      </c>
      <c r="Q17" s="13">
        <f t="shared" si="1"/>
        <v>540.00000000000023</v>
      </c>
    </row>
    <row r="18" spans="2:17" x14ac:dyDescent="0.25">
      <c r="B18" t="s">
        <v>110</v>
      </c>
      <c r="C18" s="76">
        <v>8</v>
      </c>
      <c r="D18" t="s">
        <v>141</v>
      </c>
      <c r="E18" s="14">
        <f>10000*G18</f>
        <v>1017.9152896712628</v>
      </c>
      <c r="F18" s="5" t="s">
        <v>195</v>
      </c>
      <c r="G18" s="3">
        <f>0.0001*PI()*G17*G17/G7</f>
        <v>0.10179152896712629</v>
      </c>
      <c r="H18" s="3" t="s">
        <v>162</v>
      </c>
      <c r="I18">
        <f>0.5*100/G18</f>
        <v>491.20000954251867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-2.3724960460903648</v>
      </c>
      <c r="Q18" s="13">
        <f t="shared" si="1"/>
        <v>585.00000000000023</v>
      </c>
    </row>
    <row r="19" spans="2:17" x14ac:dyDescent="0.25">
      <c r="B19" t="s">
        <v>12</v>
      </c>
      <c r="C19" s="23">
        <f>G34/2</f>
        <v>0.75000217919683421</v>
      </c>
      <c r="D19" t="s">
        <v>142</v>
      </c>
      <c r="F19" s="5" t="s">
        <v>196</v>
      </c>
      <c r="G19" s="6">
        <f>G18*G16</f>
        <v>383.10099742472914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-2.3282880452315382</v>
      </c>
      <c r="Q19" s="13">
        <f t="shared" si="1"/>
        <v>630</v>
      </c>
    </row>
    <row r="20" spans="2:17" x14ac:dyDescent="0.25">
      <c r="B20" t="s">
        <v>254</v>
      </c>
      <c r="C20" s="76">
        <v>2</v>
      </c>
      <c r="D20" t="s">
        <v>143</v>
      </c>
      <c r="E20">
        <v>7.1294579999999996</v>
      </c>
      <c r="F20" s="5" t="s">
        <v>11</v>
      </c>
      <c r="G20" s="7">
        <f>0.0001*G17*G16</f>
        <v>6.0593706776229688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-2.2840800443727116</v>
      </c>
      <c r="Q20" s="13">
        <f t="shared" si="1"/>
        <v>674.99999999999989</v>
      </c>
    </row>
    <row r="21" spans="2:17" x14ac:dyDescent="0.25">
      <c r="B21" t="s">
        <v>13</v>
      </c>
      <c r="C21" s="22">
        <f>-0.3/G$18</f>
        <v>-2.9472000572551118</v>
      </c>
      <c r="D21" t="s">
        <v>144</v>
      </c>
      <c r="E21" s="20">
        <f>10000*E20/G16</f>
        <v>18.943266538205709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-2.239872043513885</v>
      </c>
      <c r="Q21" s="13">
        <f t="shared" si="1"/>
        <v>719.99999999999977</v>
      </c>
    </row>
    <row r="22" spans="2:17" x14ac:dyDescent="0.25">
      <c r="B22" t="s">
        <v>14</v>
      </c>
      <c r="C22" s="76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-2.195664042655058</v>
      </c>
      <c r="Q22" s="13">
        <f t="shared" si="1"/>
        <v>765.00000000000023</v>
      </c>
    </row>
    <row r="23" spans="2:17" x14ac:dyDescent="0.25">
      <c r="B23" t="s">
        <v>15</v>
      </c>
      <c r="C23" s="22">
        <f>0.15/G$18</f>
        <v>1.4736000286275559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-2.1514560417962314</v>
      </c>
      <c r="Q23" s="13">
        <f t="shared" si="1"/>
        <v>810.00000000000011</v>
      </c>
    </row>
    <row r="24" spans="2:17" x14ac:dyDescent="0.25">
      <c r="B24" t="s">
        <v>16</v>
      </c>
      <c r="C24" s="76">
        <f>(C23-C21)/100</f>
        <v>4.4208000858826681E-2</v>
      </c>
      <c r="D24" t="s">
        <v>146</v>
      </c>
      <c r="F24" s="5" t="s">
        <v>8</v>
      </c>
      <c r="G24" s="11">
        <f>0.000000000000001*G22*G10</f>
        <v>2.6831924746576368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-2.1072480409374048</v>
      </c>
      <c r="Q24" s="13">
        <f t="shared" si="1"/>
        <v>855.00000000000011</v>
      </c>
    </row>
    <row r="25" spans="2:17" x14ac:dyDescent="0.25">
      <c r="B25" t="s">
        <v>17</v>
      </c>
      <c r="C25" s="76">
        <v>300</v>
      </c>
      <c r="E25">
        <f>G25*375/600</f>
        <v>17.301995296661023</v>
      </c>
      <c r="F25" s="5" t="s">
        <v>175</v>
      </c>
      <c r="G25" s="11">
        <f>C14+C15+C16</f>
        <v>27.683192474657638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-2.0630400400785782</v>
      </c>
      <c r="Q25" s="13">
        <f t="shared" si="1"/>
        <v>900</v>
      </c>
    </row>
    <row r="26" spans="2:17" x14ac:dyDescent="0.25">
      <c r="B26" t="s">
        <v>18</v>
      </c>
      <c r="C26" s="76">
        <v>6</v>
      </c>
      <c r="E26" s="12"/>
      <c r="F26" s="5" t="s">
        <v>178</v>
      </c>
      <c r="G26" s="11">
        <f>G20*C18</f>
        <v>48.47496542098375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-2.0188320392197516</v>
      </c>
      <c r="Q26" s="13">
        <f t="shared" si="1"/>
        <v>944.99999999999989</v>
      </c>
    </row>
    <row r="27" spans="2:17" x14ac:dyDescent="0.25">
      <c r="B27" t="s">
        <v>19</v>
      </c>
      <c r="C27" s="76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73.555394207510602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-1.9746240383609248</v>
      </c>
      <c r="Q27" s="13">
        <f t="shared" si="1"/>
        <v>990</v>
      </c>
    </row>
    <row r="28" spans="2:17" x14ac:dyDescent="0.25">
      <c r="B28" t="s">
        <v>20</v>
      </c>
      <c r="C28" s="76">
        <v>20</v>
      </c>
      <c r="D28">
        <f>2.142311</f>
        <v>2.1423109999999999</v>
      </c>
      <c r="F28" s="5" t="s">
        <v>179</v>
      </c>
      <c r="G28" s="6">
        <f>G26*10000/G16</f>
        <v>128.80000000000004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-1.9304160375020982</v>
      </c>
      <c r="Q28" s="13">
        <f t="shared" si="1"/>
        <v>1035</v>
      </c>
    </row>
    <row r="29" spans="2:17" x14ac:dyDescent="0.25">
      <c r="B29" t="s">
        <v>21</v>
      </c>
      <c r="C29" s="76">
        <v>100</v>
      </c>
      <c r="D29">
        <f>D27/D28</f>
        <v>1.0559008472626059</v>
      </c>
      <c r="E29">
        <f>C14/G29</f>
        <v>58.15497928096142</v>
      </c>
      <c r="F29" s="5" t="s">
        <v>177</v>
      </c>
      <c r="G29" s="3">
        <f>G25/C7</f>
        <v>4.6138654124429399E-2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-1.8862080366432714</v>
      </c>
      <c r="Q29" s="13">
        <f t="shared" si="1"/>
        <v>1080</v>
      </c>
    </row>
    <row r="30" spans="2:17" x14ac:dyDescent="0.25">
      <c r="B30" t="s">
        <v>22</v>
      </c>
      <c r="C30" s="22">
        <f>G12</f>
        <v>4.7919443248187969E-2</v>
      </c>
      <c r="D30" t="s">
        <v>147</v>
      </c>
      <c r="F30" s="5" t="s">
        <v>180</v>
      </c>
      <c r="G30" s="6">
        <f>10000*G29/G16</f>
        <v>0.12259232367918434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-1.8420000357844448</v>
      </c>
      <c r="Q30" s="13">
        <f t="shared" si="1"/>
        <v>1125</v>
      </c>
    </row>
    <row r="31" spans="2:17" x14ac:dyDescent="0.25">
      <c r="B31" t="s">
        <v>23</v>
      </c>
      <c r="C31" s="76">
        <v>2</v>
      </c>
      <c r="D31">
        <f>D29^2</f>
        <v>1.1149265992498891</v>
      </c>
      <c r="E31" s="8">
        <f>C17/G31</f>
        <v>50</v>
      </c>
      <c r="F31" s="5" t="s">
        <v>182</v>
      </c>
      <c r="G31" s="3">
        <f>G26/C8</f>
        <v>0.12118741355245938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-1.797792034925618</v>
      </c>
      <c r="Q31" s="13">
        <f t="shared" si="1"/>
        <v>1170</v>
      </c>
    </row>
    <row r="32" spans="2:17" x14ac:dyDescent="0.25">
      <c r="B32" t="s">
        <v>24</v>
      </c>
      <c r="C32" s="76">
        <v>0.5</v>
      </c>
      <c r="D32">
        <f>D31*0.6</f>
        <v>0.66895595954993348</v>
      </c>
      <c r="F32" s="5" t="s">
        <v>183</v>
      </c>
      <c r="G32" s="6">
        <f>G31*10000/G16</f>
        <v>0.32200000000000012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-1.7535840340667914</v>
      </c>
      <c r="Q32" s="13">
        <f t="shared" si="1"/>
        <v>1215</v>
      </c>
    </row>
    <row r="33" spans="2:17" x14ac:dyDescent="0.25">
      <c r="B33" t="s">
        <v>25</v>
      </c>
      <c r="C33" s="76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-1.7093760332079648</v>
      </c>
      <c r="Q33" s="13">
        <f t="shared" si="1"/>
        <v>1260</v>
      </c>
    </row>
    <row r="34" spans="2:17" x14ac:dyDescent="0.25">
      <c r="B34" t="s">
        <v>26</v>
      </c>
      <c r="C34" s="76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-1.665168032349138</v>
      </c>
      <c r="Q34" s="13">
        <f t="shared" si="1"/>
        <v>1305</v>
      </c>
    </row>
    <row r="35" spans="2:17" x14ac:dyDescent="0.25">
      <c r="B35" t="s">
        <v>27</v>
      </c>
      <c r="C35" s="76">
        <v>3</v>
      </c>
      <c r="D35" t="s">
        <v>129</v>
      </c>
      <c r="F35" s="5" t="s">
        <v>187</v>
      </c>
      <c r="G35" s="13">
        <f>G22*G17*G17*0.000000000000000001*G33/(225.38*225.38)</f>
        <v>0.58361190764528992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-1.6209600314903114</v>
      </c>
      <c r="Q35" s="13">
        <f t="shared" si="1"/>
        <v>1349.9999999999998</v>
      </c>
    </row>
    <row r="36" spans="2:17" x14ac:dyDescent="0.25">
      <c r="B36" t="s">
        <v>28</v>
      </c>
      <c r="C36" s="76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-1.5767520306314846</v>
      </c>
      <c r="Q36" s="13">
        <f t="shared" si="1"/>
        <v>1395.0000000000002</v>
      </c>
    </row>
    <row r="37" spans="2:17" x14ac:dyDescent="0.25">
      <c r="B37" t="s">
        <v>29</v>
      </c>
      <c r="C37" s="76">
        <v>10</v>
      </c>
      <c r="F37" s="5" t="s">
        <v>192</v>
      </c>
      <c r="G37" s="6">
        <f>0.000000000000001*G36*G10</f>
        <v>11.2829204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-1.532544029772658</v>
      </c>
      <c r="Q37" s="13">
        <f t="shared" si="1"/>
        <v>1440</v>
      </c>
    </row>
    <row r="38" spans="2:17" x14ac:dyDescent="0.25">
      <c r="B38" t="s">
        <v>30</v>
      </c>
      <c r="C38" s="76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-1.4883360289138314</v>
      </c>
      <c r="Q38" s="13">
        <f t="shared" si="1"/>
        <v>1485</v>
      </c>
    </row>
    <row r="39" spans="2:17" x14ac:dyDescent="0.25">
      <c r="B39" t="s">
        <v>31</v>
      </c>
      <c r="C39" s="76">
        <v>0.125</v>
      </c>
      <c r="F39" s="5" t="s">
        <v>194</v>
      </c>
      <c r="G39" s="6">
        <f>0.0001*G38*G16</f>
        <v>3.7635842718155077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-1.4441280280550046</v>
      </c>
      <c r="Q39" s="13">
        <f t="shared" si="1"/>
        <v>1530</v>
      </c>
    </row>
    <row r="40" spans="2:17" x14ac:dyDescent="0.25">
      <c r="B40" t="s">
        <v>32</v>
      </c>
      <c r="C40" s="76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-1.399920027196178</v>
      </c>
      <c r="Q40" s="13">
        <f t="shared" si="1"/>
        <v>1575</v>
      </c>
    </row>
    <row r="41" spans="2:17" x14ac:dyDescent="0.25">
      <c r="B41" t="s">
        <v>33</v>
      </c>
      <c r="C41" s="76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-1.3557120263373512</v>
      </c>
      <c r="Q41" s="13">
        <f t="shared" si="1"/>
        <v>1620</v>
      </c>
    </row>
    <row r="42" spans="2:17" x14ac:dyDescent="0.25">
      <c r="B42" t="s">
        <v>34</v>
      </c>
      <c r="C42" s="76">
        <v>1000</v>
      </c>
      <c r="F42" s="5" t="s">
        <v>201</v>
      </c>
      <c r="G42" s="6">
        <f>2*G41*G41*(0.5*PI()+C15-C89)/G19</f>
        <v>-10.572072190722698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-1.3115040254785246</v>
      </c>
      <c r="Q42" s="13">
        <f t="shared" si="1"/>
        <v>1664.9999999999998</v>
      </c>
    </row>
    <row r="43" spans="2:17" x14ac:dyDescent="0.25">
      <c r="B43" t="s">
        <v>35</v>
      </c>
      <c r="C43" s="76">
        <v>1</v>
      </c>
      <c r="F43" s="5" t="s">
        <v>203</v>
      </c>
      <c r="G43" s="6">
        <f>0.5*G41*G41*G13</f>
        <v>0.1258755479916287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-1.267296024619698</v>
      </c>
      <c r="Q43" s="13">
        <f t="shared" si="1"/>
        <v>1709.9999999999998</v>
      </c>
    </row>
    <row r="44" spans="2:17" x14ac:dyDescent="0.25">
      <c r="B44" t="s">
        <v>36</v>
      </c>
      <c r="C44" s="76">
        <v>1</v>
      </c>
      <c r="F44" s="5" t="s">
        <v>203</v>
      </c>
      <c r="G44" s="6">
        <f>G43/G18</f>
        <v>1.2366014074931557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-1.2230880237608712</v>
      </c>
      <c r="Q44" s="13">
        <f t="shared" si="1"/>
        <v>1755</v>
      </c>
    </row>
    <row r="45" spans="2:17" x14ac:dyDescent="0.25">
      <c r="B45" t="s">
        <v>213</v>
      </c>
      <c r="C45" s="76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-1.1788800229020446</v>
      </c>
      <c r="Q45" s="13">
        <f t="shared" si="1"/>
        <v>1800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1.2366014074931559</v>
      </c>
      <c r="H46" s="3"/>
      <c r="I46"/>
      <c r="J46"/>
      <c r="K46" s="3"/>
      <c r="M46"/>
      <c r="O46" s="3">
        <f t="shared" si="2"/>
        <v>41</v>
      </c>
      <c r="P46" s="13">
        <f t="shared" si="0"/>
        <v>-1.1346720220432178</v>
      </c>
      <c r="Q46" s="13">
        <f t="shared" si="1"/>
        <v>1845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-1.0904640211843912</v>
      </c>
      <c r="Q47" s="13">
        <f t="shared" si="1"/>
        <v>1890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-1.0462560203255646</v>
      </c>
      <c r="Q48" s="13">
        <f t="shared" si="1"/>
        <v>1934.9999999999998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-1.0020480194667378</v>
      </c>
      <c r="Q49" s="13">
        <f t="shared" si="1"/>
        <v>1980</v>
      </c>
    </row>
    <row r="50" spans="1:17" x14ac:dyDescent="0.25">
      <c r="B50" t="s">
        <v>37</v>
      </c>
      <c r="C50" s="76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-0.95784001860791124</v>
      </c>
      <c r="Q50" s="13">
        <f t="shared" si="1"/>
        <v>2024.9999999999998</v>
      </c>
    </row>
    <row r="51" spans="1:17" x14ac:dyDescent="0.25">
      <c r="B51" t="s">
        <v>38</v>
      </c>
      <c r="C51" s="76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-0.91363201774908465</v>
      </c>
      <c r="Q51" s="13">
        <f t="shared" si="1"/>
        <v>2070</v>
      </c>
    </row>
    <row r="52" spans="1:17" x14ac:dyDescent="0.25">
      <c r="B52" t="s">
        <v>39</v>
      </c>
      <c r="C52" s="76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-0.86942401689025761</v>
      </c>
      <c r="Q52" s="13">
        <f t="shared" si="1"/>
        <v>2115</v>
      </c>
    </row>
    <row r="53" spans="1:17" x14ac:dyDescent="0.25">
      <c r="B53" t="s">
        <v>40</v>
      </c>
      <c r="C53" s="76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-0.82521601603143102</v>
      </c>
      <c r="Q53" s="13">
        <f t="shared" si="1"/>
        <v>2160</v>
      </c>
    </row>
    <row r="54" spans="1:17" x14ac:dyDescent="0.25">
      <c r="B54" t="s">
        <v>41</v>
      </c>
      <c r="C54" s="76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-0.78100801517260443</v>
      </c>
      <c r="Q54" s="13">
        <f t="shared" si="1"/>
        <v>2205</v>
      </c>
    </row>
    <row r="55" spans="1:17" x14ac:dyDescent="0.25">
      <c r="B55" t="s">
        <v>42</v>
      </c>
      <c r="C55" s="76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-0.73680001431377784</v>
      </c>
      <c r="Q55" s="13">
        <f t="shared" si="1"/>
        <v>2250</v>
      </c>
    </row>
    <row r="56" spans="1:17" x14ac:dyDescent="0.25">
      <c r="A56" t="s">
        <v>43</v>
      </c>
      <c r="C56" s="76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-0.69259201345495125</v>
      </c>
      <c r="Q56" s="13">
        <f t="shared" si="1"/>
        <v>2295</v>
      </c>
    </row>
    <row r="57" spans="1:17" x14ac:dyDescent="0.25">
      <c r="C57" s="76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-0.64838401259612422</v>
      </c>
      <c r="Q57" s="13">
        <f t="shared" si="1"/>
        <v>2340</v>
      </c>
    </row>
    <row r="58" spans="1:17" x14ac:dyDescent="0.25">
      <c r="A58" t="s">
        <v>44</v>
      </c>
      <c r="C58" s="76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-0.60417601173729762</v>
      </c>
      <c r="Q58" s="13">
        <f t="shared" si="1"/>
        <v>2385</v>
      </c>
    </row>
    <row r="59" spans="1:17" x14ac:dyDescent="0.25">
      <c r="B59" t="s">
        <v>45</v>
      </c>
      <c r="C59" s="76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-0.55996801087847103</v>
      </c>
      <c r="Q59" s="13">
        <f t="shared" si="1"/>
        <v>2430</v>
      </c>
    </row>
    <row r="60" spans="1:17" x14ac:dyDescent="0.25">
      <c r="B60" t="s">
        <v>210</v>
      </c>
      <c r="C60" s="76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-0.51576001001964444</v>
      </c>
      <c r="Q60" s="13">
        <f t="shared" si="1"/>
        <v>2475</v>
      </c>
    </row>
    <row r="61" spans="1:17" x14ac:dyDescent="0.25">
      <c r="B61" t="s">
        <v>48</v>
      </c>
      <c r="C61" s="76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-0.47155200916081785</v>
      </c>
      <c r="Q61" s="13">
        <f t="shared" si="1"/>
        <v>2520</v>
      </c>
    </row>
    <row r="62" spans="1:17" x14ac:dyDescent="0.25">
      <c r="B62" t="s">
        <v>214</v>
      </c>
      <c r="C62" s="76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-0.42734400830199082</v>
      </c>
      <c r="Q62" s="13">
        <f t="shared" si="1"/>
        <v>2565</v>
      </c>
    </row>
    <row r="63" spans="1:17" x14ac:dyDescent="0.25">
      <c r="B63" t="s">
        <v>49</v>
      </c>
      <c r="C63" s="76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-0.38313600744316423</v>
      </c>
      <c r="Q63" s="13">
        <f t="shared" si="1"/>
        <v>2610</v>
      </c>
    </row>
    <row r="64" spans="1:17" x14ac:dyDescent="0.25">
      <c r="B64" t="s">
        <v>50</v>
      </c>
      <c r="C64" s="76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-0.33892800658433764</v>
      </c>
      <c r="Q64" s="13">
        <f t="shared" si="1"/>
        <v>2655</v>
      </c>
    </row>
    <row r="65" spans="1:17" x14ac:dyDescent="0.25">
      <c r="B65" t="s">
        <v>51</v>
      </c>
      <c r="C65" s="76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-0.29472000572551105</v>
      </c>
      <c r="Q65" s="13">
        <f t="shared" si="1"/>
        <v>2699.9999999999995</v>
      </c>
    </row>
    <row r="66" spans="1:17" x14ac:dyDescent="0.25">
      <c r="B66" t="s">
        <v>52</v>
      </c>
      <c r="C66" s="76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-0.25051200486668446</v>
      </c>
      <c r="Q66" s="13">
        <f t="shared" si="1"/>
        <v>2744.9999999999995</v>
      </c>
    </row>
    <row r="67" spans="1:17" x14ac:dyDescent="0.25">
      <c r="B67" t="s">
        <v>53</v>
      </c>
      <c r="C67" s="76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-0.20630400400785742</v>
      </c>
      <c r="Q67" s="13">
        <f t="shared" si="1"/>
        <v>2790.0000000000005</v>
      </c>
    </row>
    <row r="68" spans="1:17" x14ac:dyDescent="0.25">
      <c r="B68" t="s">
        <v>54</v>
      </c>
      <c r="C68" s="76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-0.16209600314903083</v>
      </c>
      <c r="Q68" s="13">
        <f t="shared" si="1"/>
        <v>2834.9999999999995</v>
      </c>
    </row>
    <row r="69" spans="1:17" x14ac:dyDescent="0.25">
      <c r="B69" t="s">
        <v>55</v>
      </c>
      <c r="C69" s="76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-0.11788800229020424</v>
      </c>
      <c r="Q69" s="13">
        <f t="shared" si="1"/>
        <v>2880</v>
      </c>
    </row>
    <row r="70" spans="1:17" x14ac:dyDescent="0.25">
      <c r="B70" t="s">
        <v>56</v>
      </c>
      <c r="C70" s="76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-7.3680001431377651E-2</v>
      </c>
      <c r="Q70" s="13">
        <f t="shared" ref="Q70:Q133" si="4">(P70-P$5)*$G$18*10000</f>
        <v>2925</v>
      </c>
    </row>
    <row r="71" spans="1:17" x14ac:dyDescent="0.25">
      <c r="B71" t="s">
        <v>57</v>
      </c>
      <c r="C71" s="76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-2.947200057255106E-2</v>
      </c>
      <c r="Q71" s="13">
        <f t="shared" si="4"/>
        <v>2970</v>
      </c>
    </row>
    <row r="72" spans="1:17" x14ac:dyDescent="0.25">
      <c r="B72" t="s">
        <v>58</v>
      </c>
      <c r="C72" s="76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1.4736000286275974E-2</v>
      </c>
      <c r="Q72" s="13">
        <f t="shared" si="4"/>
        <v>3015</v>
      </c>
    </row>
    <row r="73" spans="1:17" x14ac:dyDescent="0.25">
      <c r="B73" t="s">
        <v>59</v>
      </c>
      <c r="C73" s="76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5.8944001145102565E-2</v>
      </c>
      <c r="Q73" s="13">
        <f t="shared" si="4"/>
        <v>3060</v>
      </c>
    </row>
    <row r="74" spans="1:17" x14ac:dyDescent="0.25">
      <c r="A74" t="s">
        <v>43</v>
      </c>
      <c r="C74" s="76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0.10315200200392916</v>
      </c>
      <c r="Q74" s="13">
        <f t="shared" si="4"/>
        <v>3105</v>
      </c>
    </row>
    <row r="75" spans="1:17" x14ac:dyDescent="0.25">
      <c r="C75" s="76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0.14736000286275575</v>
      </c>
      <c r="Q75" s="13">
        <f t="shared" si="4"/>
        <v>3150</v>
      </c>
    </row>
    <row r="76" spans="1:17" x14ac:dyDescent="0.25">
      <c r="A76" t="s">
        <v>60</v>
      </c>
      <c r="C76" s="76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0.19156800372158234</v>
      </c>
      <c r="Q76" s="13">
        <f t="shared" si="4"/>
        <v>3194.9999999999995</v>
      </c>
    </row>
    <row r="77" spans="1:17" x14ac:dyDescent="0.25">
      <c r="B77" t="s">
        <v>136</v>
      </c>
      <c r="C77" s="76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0.23577600458040937</v>
      </c>
      <c r="Q77" s="13">
        <f t="shared" si="4"/>
        <v>3240</v>
      </c>
    </row>
    <row r="78" spans="1:17" x14ac:dyDescent="0.25">
      <c r="A78" t="s">
        <v>43</v>
      </c>
      <c r="C78" s="76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0.27998400543923596</v>
      </c>
      <c r="Q78" s="13">
        <f t="shared" si="4"/>
        <v>3285</v>
      </c>
    </row>
    <row r="79" spans="1:17" x14ac:dyDescent="0.25">
      <c r="C79" s="76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0.32419200629806255</v>
      </c>
      <c r="Q79" s="13">
        <f t="shared" si="4"/>
        <v>3329.9999999999995</v>
      </c>
    </row>
    <row r="80" spans="1:17" x14ac:dyDescent="0.25">
      <c r="A80" t="s">
        <v>61</v>
      </c>
      <c r="C80" s="76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0.36840000715688914</v>
      </c>
      <c r="Q80" s="13">
        <f t="shared" si="4"/>
        <v>3374.9999999999995</v>
      </c>
    </row>
    <row r="81" spans="2:17" x14ac:dyDescent="0.25">
      <c r="C81" s="76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0.41260800801571573</v>
      </c>
      <c r="Q81" s="13">
        <f t="shared" si="4"/>
        <v>3419.9999999999995</v>
      </c>
    </row>
    <row r="82" spans="2:17" x14ac:dyDescent="0.25">
      <c r="B82" t="s">
        <v>62</v>
      </c>
      <c r="C82" s="76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0.45681600887454277</v>
      </c>
      <c r="Q82" s="13">
        <f t="shared" si="4"/>
        <v>3465.0000000000005</v>
      </c>
    </row>
    <row r="83" spans="2:17" x14ac:dyDescent="0.25">
      <c r="B83" t="s">
        <v>63</v>
      </c>
      <c r="C83" s="76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0.50102400973336936</v>
      </c>
      <c r="Q83" s="13">
        <f t="shared" si="4"/>
        <v>3510</v>
      </c>
    </row>
    <row r="84" spans="2:17" x14ac:dyDescent="0.25">
      <c r="B84" t="s">
        <v>64</v>
      </c>
      <c r="C84" s="76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0.54523201059219595</v>
      </c>
      <c r="Q84" s="13">
        <f t="shared" si="4"/>
        <v>3555</v>
      </c>
    </row>
    <row r="85" spans="2:17" x14ac:dyDescent="0.25">
      <c r="B85" t="s">
        <v>65</v>
      </c>
      <c r="C85" s="76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0.58944001145102254</v>
      </c>
      <c r="Q85" s="13">
        <f t="shared" si="4"/>
        <v>3600</v>
      </c>
    </row>
    <row r="86" spans="2:17" x14ac:dyDescent="0.25">
      <c r="B86" t="s">
        <v>211</v>
      </c>
      <c r="C86" s="76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0.63364801230984913</v>
      </c>
      <c r="Q86" s="13">
        <f t="shared" si="4"/>
        <v>3645</v>
      </c>
    </row>
    <row r="87" spans="2:17" x14ac:dyDescent="0.25">
      <c r="B87" t="s">
        <v>66</v>
      </c>
      <c r="C87" s="76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0.67785601316867616</v>
      </c>
      <c r="Q87" s="13">
        <f t="shared" si="4"/>
        <v>3690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0.72206401402750275</v>
      </c>
      <c r="Q88" s="13">
        <f t="shared" si="4"/>
        <v>3735</v>
      </c>
    </row>
    <row r="89" spans="2:17" x14ac:dyDescent="0.25">
      <c r="B89" t="s">
        <v>68</v>
      </c>
      <c r="C89" s="76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0.76627201488632934</v>
      </c>
      <c r="Q89" s="13">
        <f t="shared" si="4"/>
        <v>3780</v>
      </c>
    </row>
    <row r="90" spans="2:17" x14ac:dyDescent="0.25">
      <c r="B90" t="s">
        <v>69</v>
      </c>
      <c r="C90" s="76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0.81048001574515594</v>
      </c>
      <c r="Q90" s="13">
        <f t="shared" si="4"/>
        <v>3824.9999999999995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0.85468801660398253</v>
      </c>
      <c r="Q91" s="13">
        <f t="shared" si="4"/>
        <v>3869.9999999999995</v>
      </c>
    </row>
    <row r="92" spans="2:17" x14ac:dyDescent="0.25">
      <c r="B92" t="s">
        <v>71</v>
      </c>
      <c r="C92" s="76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0.89889601746280956</v>
      </c>
      <c r="Q92" s="13">
        <f t="shared" si="4"/>
        <v>3915</v>
      </c>
    </row>
    <row r="93" spans="2:17" x14ac:dyDescent="0.25">
      <c r="B93" t="s">
        <v>72</v>
      </c>
      <c r="C93" s="76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0.94310401832163615</v>
      </c>
      <c r="Q93" s="13">
        <f t="shared" si="4"/>
        <v>3960</v>
      </c>
    </row>
    <row r="94" spans="2:17" x14ac:dyDescent="0.25">
      <c r="B94" t="s">
        <v>191</v>
      </c>
      <c r="C94" s="76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0.98731201918046274</v>
      </c>
      <c r="Q94" s="13">
        <f t="shared" si="4"/>
        <v>4004.9999999999995</v>
      </c>
    </row>
    <row r="95" spans="2:17" x14ac:dyDescent="0.25">
      <c r="B95" t="s">
        <v>73</v>
      </c>
      <c r="C95" s="21">
        <f>C21</f>
        <v>-2.9472000572551118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1.0315200200392893</v>
      </c>
      <c r="Q95" s="13">
        <f t="shared" si="4"/>
        <v>4049.9999999999995</v>
      </c>
    </row>
    <row r="96" spans="2:17" x14ac:dyDescent="0.25">
      <c r="B96" t="s">
        <v>215</v>
      </c>
      <c r="C96" s="76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1.0757280208981164</v>
      </c>
      <c r="Q96" s="13">
        <f t="shared" si="4"/>
        <v>4095.0000000000005</v>
      </c>
    </row>
    <row r="97" spans="2:17" x14ac:dyDescent="0.25">
      <c r="B97" t="s">
        <v>216</v>
      </c>
      <c r="C97" s="76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1.1199360217569425</v>
      </c>
      <c r="Q97" s="13">
        <f t="shared" si="4"/>
        <v>4140</v>
      </c>
    </row>
    <row r="98" spans="2:17" x14ac:dyDescent="0.25">
      <c r="B98" t="s">
        <v>74</v>
      </c>
      <c r="C98" s="76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1.1641440226157695</v>
      </c>
      <c r="Q98" s="13">
        <f t="shared" si="4"/>
        <v>4185</v>
      </c>
    </row>
    <row r="99" spans="2:17" x14ac:dyDescent="0.25">
      <c r="B99" t="s">
        <v>75</v>
      </c>
      <c r="C99" s="76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1.2083520234745966</v>
      </c>
      <c r="Q99" s="13">
        <f t="shared" si="4"/>
        <v>4230</v>
      </c>
    </row>
    <row r="100" spans="2:17" x14ac:dyDescent="0.25">
      <c r="B100" t="s">
        <v>76</v>
      </c>
      <c r="C100" s="76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1.2525600243334227</v>
      </c>
      <c r="Q100" s="13">
        <f t="shared" si="4"/>
        <v>4275</v>
      </c>
    </row>
    <row r="101" spans="2:17" x14ac:dyDescent="0.25">
      <c r="B101" t="s">
        <v>77</v>
      </c>
      <c r="C101" s="76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1.2967680251922498</v>
      </c>
      <c r="Q101" s="13">
        <f t="shared" si="4"/>
        <v>4320</v>
      </c>
    </row>
    <row r="102" spans="2:17" x14ac:dyDescent="0.25">
      <c r="B102" t="s">
        <v>78</v>
      </c>
      <c r="C102" s="76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1.3409760260510759</v>
      </c>
      <c r="Q102" s="13">
        <f t="shared" si="4"/>
        <v>4364.9999999999991</v>
      </c>
    </row>
    <row r="103" spans="2:17" x14ac:dyDescent="0.25">
      <c r="B103" t="s">
        <v>79</v>
      </c>
      <c r="C103" s="76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1.3851840269099029</v>
      </c>
      <c r="Q103" s="13">
        <f t="shared" si="4"/>
        <v>4410</v>
      </c>
    </row>
    <row r="104" spans="2:17" x14ac:dyDescent="0.25">
      <c r="B104" t="s">
        <v>80</v>
      </c>
      <c r="C104" s="24">
        <f>C95</f>
        <v>-2.9472000572551118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1.42939202776873</v>
      </c>
      <c r="Q104" s="13">
        <f t="shared" si="4"/>
        <v>4455</v>
      </c>
    </row>
    <row r="105" spans="2:17" x14ac:dyDescent="0.25">
      <c r="B105" t="s">
        <v>81</v>
      </c>
      <c r="C105" s="76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1.4736000286275561</v>
      </c>
      <c r="Q105" s="13">
        <f t="shared" si="4"/>
        <v>4500</v>
      </c>
    </row>
    <row r="106" spans="2:17" x14ac:dyDescent="0.25">
      <c r="B106" t="s">
        <v>82</v>
      </c>
      <c r="C106" s="76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1.5178080294863832</v>
      </c>
      <c r="Q106" s="13">
        <f t="shared" si="4"/>
        <v>4545</v>
      </c>
    </row>
    <row r="107" spans="2:17" x14ac:dyDescent="0.25">
      <c r="B107" t="s">
        <v>83</v>
      </c>
      <c r="C107" s="76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1.5620160303452093</v>
      </c>
      <c r="Q107" s="13">
        <f t="shared" si="4"/>
        <v>4590</v>
      </c>
    </row>
    <row r="108" spans="2:17" x14ac:dyDescent="0.25">
      <c r="B108" t="s">
        <v>84</v>
      </c>
      <c r="C108" s="76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1.6062240312040363</v>
      </c>
      <c r="Q108" s="13">
        <f t="shared" si="4"/>
        <v>4635</v>
      </c>
    </row>
    <row r="109" spans="2:17" x14ac:dyDescent="0.25">
      <c r="B109" t="s">
        <v>85</v>
      </c>
      <c r="C109" s="76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1.6504320320628634</v>
      </c>
      <c r="Q109" s="13">
        <f t="shared" si="4"/>
        <v>4680</v>
      </c>
    </row>
    <row r="110" spans="2:17" x14ac:dyDescent="0.25">
      <c r="B110" t="s">
        <v>86</v>
      </c>
      <c r="C110" s="76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1.6946400329216895</v>
      </c>
      <c r="Q110" s="13">
        <f t="shared" si="4"/>
        <v>4725</v>
      </c>
    </row>
    <row r="111" spans="2:17" x14ac:dyDescent="0.25">
      <c r="B111" t="s">
        <v>87</v>
      </c>
      <c r="C111" s="76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1.7388480337805166</v>
      </c>
      <c r="Q111" s="13">
        <f t="shared" si="4"/>
        <v>4770</v>
      </c>
    </row>
    <row r="112" spans="2:17" x14ac:dyDescent="0.25">
      <c r="B112" t="s">
        <v>43</v>
      </c>
      <c r="C112" s="76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1.7830560346393427</v>
      </c>
      <c r="Q112" s="13">
        <f t="shared" si="4"/>
        <v>4814.9999999999991</v>
      </c>
    </row>
    <row r="113" spans="3:17" x14ac:dyDescent="0.25">
      <c r="C113" s="76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1.8272640354981697</v>
      </c>
      <c r="Q113" s="13">
        <f t="shared" si="4"/>
        <v>4860</v>
      </c>
    </row>
    <row r="114" spans="3:17" x14ac:dyDescent="0.25">
      <c r="C114" s="76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1.8714720363569968</v>
      </c>
      <c r="Q114" s="13">
        <f t="shared" si="4"/>
        <v>4905.0000000000009</v>
      </c>
    </row>
    <row r="115" spans="3:17" x14ac:dyDescent="0.25">
      <c r="C115" s="76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1.9156800372158229</v>
      </c>
      <c r="Q115" s="13">
        <f t="shared" si="4"/>
        <v>4950</v>
      </c>
    </row>
    <row r="116" spans="3:17" x14ac:dyDescent="0.25">
      <c r="C116" s="76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1.95988803807465</v>
      </c>
      <c r="Q116" s="13">
        <f t="shared" si="4"/>
        <v>4995</v>
      </c>
    </row>
    <row r="117" spans="3:17" x14ac:dyDescent="0.25">
      <c r="C117" s="76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2.0040960389334761</v>
      </c>
      <c r="Q117" s="13">
        <f t="shared" si="4"/>
        <v>5040</v>
      </c>
    </row>
    <row r="118" spans="3:17" x14ac:dyDescent="0.25">
      <c r="C118" s="76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2.0483040397923031</v>
      </c>
      <c r="Q118" s="13">
        <f t="shared" si="4"/>
        <v>5084.9999999999991</v>
      </c>
    </row>
    <row r="119" spans="3:17" x14ac:dyDescent="0.25">
      <c r="C119" s="76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2.0925120406511302</v>
      </c>
      <c r="Q119" s="13">
        <f t="shared" si="4"/>
        <v>5130</v>
      </c>
    </row>
    <row r="120" spans="3:17" x14ac:dyDescent="0.25">
      <c r="C120" s="76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2.1367200415099563</v>
      </c>
      <c r="Q120" s="13">
        <f t="shared" si="4"/>
        <v>5175</v>
      </c>
    </row>
    <row r="121" spans="3:17" x14ac:dyDescent="0.25">
      <c r="C121" s="76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2.1809280423687833</v>
      </c>
      <c r="Q121" s="13">
        <f t="shared" si="4"/>
        <v>5220</v>
      </c>
    </row>
    <row r="122" spans="3:17" x14ac:dyDescent="0.25">
      <c r="C122" s="76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2.2251360432276095</v>
      </c>
      <c r="Q122" s="13">
        <f t="shared" si="4"/>
        <v>5265</v>
      </c>
    </row>
    <row r="123" spans="3:17" x14ac:dyDescent="0.25">
      <c r="C123" s="76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2.2693440440864365</v>
      </c>
      <c r="Q123" s="13">
        <f t="shared" si="4"/>
        <v>5310</v>
      </c>
    </row>
    <row r="124" spans="3:17" x14ac:dyDescent="0.25">
      <c r="C124" s="76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2.3135520449452636</v>
      </c>
      <c r="Q124" s="13">
        <f t="shared" si="4"/>
        <v>5355</v>
      </c>
    </row>
    <row r="125" spans="3:17" x14ac:dyDescent="0.25">
      <c r="C125" s="76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2.3577600458040897</v>
      </c>
      <c r="Q125" s="13">
        <f t="shared" si="4"/>
        <v>5399.9999999999991</v>
      </c>
    </row>
    <row r="126" spans="3:17" x14ac:dyDescent="0.25">
      <c r="C126" s="76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2.4019680466629167</v>
      </c>
      <c r="Q126" s="13">
        <f t="shared" si="4"/>
        <v>5445</v>
      </c>
    </row>
    <row r="127" spans="3:17" x14ac:dyDescent="0.25">
      <c r="C127" s="76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2.4461760475217429</v>
      </c>
      <c r="Q127" s="13">
        <f t="shared" si="4"/>
        <v>5489.9999999999991</v>
      </c>
    </row>
    <row r="128" spans="3:17" x14ac:dyDescent="0.25">
      <c r="C128" s="76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2.4903840483805699</v>
      </c>
      <c r="Q128" s="13">
        <f t="shared" si="4"/>
        <v>5535</v>
      </c>
    </row>
    <row r="129" spans="3:17" x14ac:dyDescent="0.25">
      <c r="C129" s="76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2.534592049239397</v>
      </c>
      <c r="Q129" s="13">
        <f t="shared" si="4"/>
        <v>5580.0000000000009</v>
      </c>
    </row>
    <row r="130" spans="3:17" x14ac:dyDescent="0.25">
      <c r="C130" s="76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2.5788000500982231</v>
      </c>
      <c r="Q130" s="13">
        <f t="shared" si="4"/>
        <v>5625</v>
      </c>
    </row>
    <row r="131" spans="3:17" x14ac:dyDescent="0.25">
      <c r="C131" s="76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2.6230080509570501</v>
      </c>
      <c r="Q131" s="13">
        <f t="shared" si="4"/>
        <v>5669.9999999999991</v>
      </c>
    </row>
    <row r="132" spans="3:17" x14ac:dyDescent="0.25">
      <c r="C132" s="76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2.6672160518158763</v>
      </c>
      <c r="Q132" s="13">
        <f t="shared" si="4"/>
        <v>5714.9999999999991</v>
      </c>
    </row>
    <row r="133" spans="3:17" x14ac:dyDescent="0.25">
      <c r="C133" s="76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2.7114240526747033</v>
      </c>
      <c r="Q133" s="13">
        <f t="shared" si="4"/>
        <v>5760</v>
      </c>
    </row>
    <row r="134" spans="3:17" x14ac:dyDescent="0.25">
      <c r="C134" s="76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2.7556320535335304</v>
      </c>
      <c r="Q134" s="13">
        <f t="shared" ref="Q134:Q159" si="7">(P134-P$5)*$G$18*10000</f>
        <v>5805</v>
      </c>
    </row>
    <row r="135" spans="3:17" x14ac:dyDescent="0.25">
      <c r="C135" s="76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2.7998400543923565</v>
      </c>
      <c r="Q135" s="13">
        <f t="shared" si="7"/>
        <v>5850</v>
      </c>
    </row>
    <row r="136" spans="3:17" x14ac:dyDescent="0.25">
      <c r="C136" s="76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2.8440480552511835</v>
      </c>
      <c r="Q136" s="13">
        <f t="shared" si="7"/>
        <v>5895</v>
      </c>
    </row>
    <row r="137" spans="3:17" x14ac:dyDescent="0.25">
      <c r="C137" s="76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2.8882560561100097</v>
      </c>
      <c r="Q137" s="13">
        <f t="shared" si="7"/>
        <v>5940</v>
      </c>
    </row>
    <row r="138" spans="3:17" x14ac:dyDescent="0.25">
      <c r="C138" s="76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2.9324640569688367</v>
      </c>
      <c r="Q138" s="13">
        <f t="shared" si="7"/>
        <v>5985</v>
      </c>
    </row>
    <row r="139" spans="3:17" x14ac:dyDescent="0.25">
      <c r="C139" s="76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2.9766720578276638</v>
      </c>
      <c r="Q139" s="13">
        <f t="shared" si="7"/>
        <v>6030</v>
      </c>
    </row>
    <row r="140" spans="3:17" x14ac:dyDescent="0.25">
      <c r="C140" s="76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3.0208800586864899</v>
      </c>
      <c r="Q140" s="13">
        <f t="shared" si="7"/>
        <v>6074.9999999999991</v>
      </c>
    </row>
    <row r="141" spans="3:17" x14ac:dyDescent="0.25">
      <c r="C141" s="76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3.0650880595453169</v>
      </c>
      <c r="Q141" s="13">
        <f t="shared" si="7"/>
        <v>6120</v>
      </c>
    </row>
    <row r="142" spans="3:17" x14ac:dyDescent="0.25">
      <c r="C142" s="76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3.1092960604041431</v>
      </c>
      <c r="Q142" s="13">
        <f t="shared" si="7"/>
        <v>6164.9999999999991</v>
      </c>
    </row>
    <row r="143" spans="3:17" x14ac:dyDescent="0.25">
      <c r="C143" s="76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3.1535040612629701</v>
      </c>
      <c r="Q143" s="13">
        <f t="shared" si="7"/>
        <v>6210</v>
      </c>
    </row>
    <row r="144" spans="3:17" x14ac:dyDescent="0.25">
      <c r="C144" s="76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3.1977120621217971</v>
      </c>
      <c r="Q144" s="13">
        <f t="shared" si="7"/>
        <v>6255.0000000000009</v>
      </c>
    </row>
    <row r="145" spans="3:17" x14ac:dyDescent="0.25">
      <c r="C145" s="76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3.2419200629806233</v>
      </c>
      <c r="Q145" s="13">
        <f t="shared" si="7"/>
        <v>6300</v>
      </c>
    </row>
    <row r="146" spans="3:17" x14ac:dyDescent="0.25">
      <c r="C146" s="76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3.2861280638394503</v>
      </c>
      <c r="Q146" s="13">
        <f t="shared" si="7"/>
        <v>6344.9999999999991</v>
      </c>
    </row>
    <row r="147" spans="3:17" x14ac:dyDescent="0.25">
      <c r="C147" s="76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3.3303360646982765</v>
      </c>
      <c r="Q147" s="13">
        <f t="shared" si="7"/>
        <v>6389.9999999999991</v>
      </c>
    </row>
    <row r="148" spans="3:17" x14ac:dyDescent="0.25">
      <c r="C148" s="76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3.3745440655571035</v>
      </c>
      <c r="Q148" s="13">
        <f t="shared" si="7"/>
        <v>6435</v>
      </c>
    </row>
    <row r="149" spans="3:17" x14ac:dyDescent="0.25">
      <c r="C149" s="76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3.4187520664159305</v>
      </c>
      <c r="Q149" s="13">
        <f t="shared" si="7"/>
        <v>6480</v>
      </c>
    </row>
    <row r="150" spans="3:17" x14ac:dyDescent="0.25">
      <c r="C150" s="76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3.4629600672747567</v>
      </c>
      <c r="Q150" s="13">
        <f t="shared" si="7"/>
        <v>6525</v>
      </c>
    </row>
    <row r="151" spans="3:17" x14ac:dyDescent="0.25">
      <c r="C151" s="76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3.5071680681335837</v>
      </c>
      <c r="Q151" s="13">
        <f t="shared" si="7"/>
        <v>6570</v>
      </c>
    </row>
    <row r="152" spans="3:17" x14ac:dyDescent="0.25">
      <c r="C152" s="76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3.5513760689924099</v>
      </c>
      <c r="Q152" s="13">
        <f t="shared" si="7"/>
        <v>6615</v>
      </c>
    </row>
    <row r="153" spans="3:17" x14ac:dyDescent="0.25">
      <c r="C153" s="76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3.5955840698512369</v>
      </c>
      <c r="Q153" s="13">
        <f t="shared" si="7"/>
        <v>6659.9999999999991</v>
      </c>
    </row>
    <row r="154" spans="3:17" x14ac:dyDescent="0.25">
      <c r="C154" s="76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3.6397920707100639</v>
      </c>
      <c r="Q154" s="13">
        <f t="shared" si="7"/>
        <v>6705</v>
      </c>
    </row>
    <row r="155" spans="3:17" x14ac:dyDescent="0.25">
      <c r="C155" s="76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3.6840000715688901</v>
      </c>
      <c r="Q155" s="13">
        <f t="shared" si="7"/>
        <v>6749.9999999999991</v>
      </c>
    </row>
    <row r="156" spans="3:17" x14ac:dyDescent="0.25">
      <c r="C156" s="76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3.7282080724277171</v>
      </c>
      <c r="Q156" s="13">
        <f t="shared" si="7"/>
        <v>6795</v>
      </c>
    </row>
    <row r="157" spans="3:17" x14ac:dyDescent="0.25">
      <c r="C157" s="76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3.7724160732865433</v>
      </c>
      <c r="Q157" s="13">
        <f t="shared" si="7"/>
        <v>6839.9999999999991</v>
      </c>
    </row>
    <row r="158" spans="3:17" x14ac:dyDescent="0.25">
      <c r="C158" s="76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3.8166240741453703</v>
      </c>
      <c r="Q158" s="13">
        <f t="shared" si="7"/>
        <v>6885</v>
      </c>
    </row>
    <row r="159" spans="3:17" x14ac:dyDescent="0.25">
      <c r="C159" s="76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3.8608320750041973</v>
      </c>
      <c r="Q159" s="13">
        <f t="shared" si="7"/>
        <v>6930.0000000000009</v>
      </c>
    </row>
    <row r="160" spans="3:17" x14ac:dyDescent="0.25">
      <c r="C160" s="76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76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76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76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76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76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76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76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76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76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76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76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76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76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76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76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76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76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76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76"/>
      <c r="F179" s="5"/>
      <c r="G179" s="3"/>
      <c r="H179" s="3"/>
      <c r="I179"/>
      <c r="J179"/>
      <c r="K179" s="3"/>
      <c r="M179"/>
    </row>
    <row r="180" spans="3:13" x14ac:dyDescent="0.25">
      <c r="C180" s="76"/>
      <c r="F180" s="5"/>
      <c r="G180" s="3"/>
      <c r="H180" s="3"/>
      <c r="I180"/>
      <c r="J180"/>
      <c r="K180" s="3"/>
      <c r="M180"/>
    </row>
    <row r="181" spans="3:13" x14ac:dyDescent="0.25">
      <c r="C181" s="76"/>
      <c r="F181" s="5"/>
      <c r="G181" s="3"/>
      <c r="H181" s="3"/>
      <c r="I181"/>
      <c r="J181"/>
      <c r="K181" s="3"/>
      <c r="M181"/>
    </row>
    <row r="182" spans="3:13" x14ac:dyDescent="0.25">
      <c r="C182" s="76"/>
      <c r="F182" s="5"/>
      <c r="G182" s="3"/>
      <c r="H182" s="3"/>
      <c r="I182"/>
      <c r="J182"/>
      <c r="K182" s="3"/>
      <c r="M182"/>
    </row>
    <row r="183" spans="3:13" x14ac:dyDescent="0.25">
      <c r="C183" s="76"/>
      <c r="F183" s="5"/>
      <c r="G183" s="3"/>
      <c r="H183" s="3"/>
      <c r="I183"/>
      <c r="J183"/>
      <c r="K183" s="3"/>
      <c r="M183"/>
    </row>
    <row r="184" spans="3:13" x14ac:dyDescent="0.25">
      <c r="C184" s="76"/>
      <c r="F184" s="5"/>
      <c r="G184" s="3"/>
      <c r="H184" s="3"/>
      <c r="I184"/>
      <c r="J184"/>
      <c r="K184" s="3"/>
      <c r="M184"/>
    </row>
    <row r="185" spans="3:13" x14ac:dyDescent="0.25">
      <c r="C185" s="76"/>
      <c r="F185" s="5"/>
      <c r="G185" s="3"/>
      <c r="H185" s="3"/>
      <c r="I185"/>
      <c r="J185"/>
      <c r="K185" s="3"/>
      <c r="M185"/>
    </row>
    <row r="186" spans="3:13" x14ac:dyDescent="0.25">
      <c r="C186" s="76"/>
      <c r="F186" s="5"/>
      <c r="G186" s="3"/>
      <c r="H186" s="3"/>
      <c r="I186"/>
      <c r="J186"/>
      <c r="K186" s="3"/>
      <c r="M186"/>
    </row>
    <row r="187" spans="3:13" x14ac:dyDescent="0.25">
      <c r="C187" s="76"/>
      <c r="F187" s="5"/>
      <c r="G187" s="3"/>
      <c r="H187" s="3"/>
      <c r="I187"/>
      <c r="J187"/>
      <c r="K187" s="3"/>
      <c r="M187"/>
    </row>
    <row r="188" spans="3:13" x14ac:dyDescent="0.25">
      <c r="C188" s="76"/>
      <c r="F188" s="5"/>
      <c r="G188" s="3"/>
      <c r="H188" s="3"/>
      <c r="I188"/>
      <c r="J188"/>
      <c r="K188" s="3"/>
      <c r="M188"/>
    </row>
    <row r="189" spans="3:13" x14ac:dyDescent="0.25">
      <c r="C189" s="76"/>
      <c r="F189" s="5"/>
      <c r="G189" s="3"/>
      <c r="H189" s="3"/>
      <c r="I189"/>
      <c r="J189"/>
      <c r="K189" s="3"/>
      <c r="M189"/>
    </row>
    <row r="190" spans="3:13" x14ac:dyDescent="0.25">
      <c r="C190" s="76"/>
      <c r="F190" s="5"/>
      <c r="G190" s="3"/>
      <c r="H190" s="3"/>
      <c r="I190"/>
      <c r="J190"/>
      <c r="K190" s="3"/>
      <c r="M190"/>
    </row>
    <row r="191" spans="3:13" x14ac:dyDescent="0.25">
      <c r="C191" s="76"/>
      <c r="F191" s="5"/>
      <c r="G191" s="3"/>
      <c r="H191" s="3"/>
      <c r="I191"/>
      <c r="J191"/>
      <c r="K191" s="3"/>
      <c r="M191"/>
    </row>
    <row r="192" spans="3:13" x14ac:dyDescent="0.25">
      <c r="C192" s="76"/>
      <c r="F192" s="5"/>
      <c r="G192" s="3"/>
      <c r="H192" s="3"/>
      <c r="I192"/>
      <c r="J192"/>
      <c r="K192" s="3"/>
      <c r="M192"/>
    </row>
    <row r="193" spans="3:13" x14ac:dyDescent="0.25">
      <c r="C193" s="76"/>
      <c r="F193" s="5"/>
      <c r="G193" s="3"/>
      <c r="H193" s="3"/>
      <c r="I193"/>
      <c r="J193"/>
      <c r="K193" s="3"/>
      <c r="M193"/>
    </row>
    <row r="194" spans="3:13" x14ac:dyDescent="0.25">
      <c r="C194" s="76"/>
      <c r="F194" s="5"/>
      <c r="G194" s="3"/>
      <c r="H194" s="3"/>
      <c r="I194"/>
      <c r="J194"/>
      <c r="K194" s="3"/>
      <c r="M194"/>
    </row>
    <row r="195" spans="3:13" x14ac:dyDescent="0.25">
      <c r="C195" s="76"/>
      <c r="F195" s="5"/>
      <c r="G195" s="3"/>
      <c r="H195" s="3"/>
      <c r="I195"/>
      <c r="J195"/>
      <c r="K195" s="3"/>
      <c r="M195"/>
    </row>
    <row r="196" spans="3:13" x14ac:dyDescent="0.25">
      <c r="C196" s="76"/>
      <c r="F196" s="5"/>
      <c r="G196" s="3"/>
      <c r="H196" s="3"/>
      <c r="I196"/>
      <c r="J196"/>
      <c r="K196" s="3"/>
      <c r="M196"/>
    </row>
    <row r="197" spans="3:13" x14ac:dyDescent="0.25">
      <c r="C197" s="76"/>
      <c r="F197" s="5"/>
      <c r="G197" s="3"/>
      <c r="H197" s="3"/>
      <c r="I197"/>
      <c r="J197"/>
      <c r="K197" s="3"/>
      <c r="M197"/>
    </row>
    <row r="198" spans="3:13" x14ac:dyDescent="0.25">
      <c r="C198" s="76"/>
      <c r="F198" s="5"/>
      <c r="G198" s="3"/>
      <c r="H198" s="3"/>
      <c r="I198"/>
      <c r="J198"/>
      <c r="K198" s="3"/>
      <c r="M198"/>
    </row>
    <row r="199" spans="3:13" x14ac:dyDescent="0.25">
      <c r="C199" s="76"/>
      <c r="F199" s="5"/>
      <c r="G199" s="3"/>
      <c r="H199" s="3"/>
      <c r="I199"/>
      <c r="J199"/>
      <c r="K199" s="3"/>
      <c r="M199"/>
    </row>
    <row r="200" spans="3:13" x14ac:dyDescent="0.25">
      <c r="C200" s="76"/>
      <c r="F200" s="5"/>
      <c r="G200" s="3"/>
      <c r="H200" s="3"/>
      <c r="I200"/>
      <c r="J200"/>
      <c r="K200" s="3"/>
      <c r="M200"/>
    </row>
    <row r="201" spans="3:13" x14ac:dyDescent="0.25">
      <c r="C201" s="76"/>
      <c r="F201" s="5"/>
      <c r="G201" s="3"/>
      <c r="H201" s="3"/>
      <c r="I201"/>
      <c r="J201"/>
      <c r="K201" s="3"/>
      <c r="M201"/>
    </row>
    <row r="202" spans="3:13" x14ac:dyDescent="0.25">
      <c r="C202" s="76"/>
      <c r="F202" s="5"/>
      <c r="G202" s="3"/>
      <c r="H202" s="3"/>
      <c r="I202"/>
      <c r="J202"/>
      <c r="K202" s="3"/>
      <c r="M202"/>
    </row>
    <row r="203" spans="3:13" x14ac:dyDescent="0.25">
      <c r="C203" s="76"/>
      <c r="F203" s="5"/>
      <c r="G203" s="3"/>
      <c r="H203" s="3"/>
      <c r="I203"/>
      <c r="J203"/>
      <c r="K203" s="3"/>
      <c r="M203"/>
    </row>
    <row r="204" spans="3:13" x14ac:dyDescent="0.25">
      <c r="C204" s="76"/>
      <c r="F204" s="5"/>
      <c r="G204" s="3"/>
      <c r="H204" s="3"/>
      <c r="I204"/>
      <c r="J204"/>
      <c r="K204" s="3"/>
      <c r="M204"/>
    </row>
    <row r="205" spans="3:13" x14ac:dyDescent="0.25">
      <c r="C205" s="76"/>
      <c r="F205" s="5"/>
      <c r="G205" s="3"/>
      <c r="H205" s="3"/>
      <c r="I205"/>
      <c r="J205"/>
      <c r="K205" s="3"/>
      <c r="M205"/>
    </row>
    <row r="206" spans="3:13" x14ac:dyDescent="0.25">
      <c r="C206" s="76"/>
      <c r="F206" s="5"/>
      <c r="G206" s="3"/>
      <c r="H206" s="3"/>
      <c r="I206"/>
      <c r="J206"/>
      <c r="K206" s="3"/>
      <c r="M206"/>
    </row>
    <row r="207" spans="3:13" x14ac:dyDescent="0.25">
      <c r="C207" s="76"/>
      <c r="F207" s="5"/>
      <c r="G207" s="3"/>
      <c r="H207" s="3"/>
      <c r="I207"/>
      <c r="J207"/>
      <c r="K207" s="3"/>
      <c r="M207"/>
    </row>
    <row r="208" spans="3:13" x14ac:dyDescent="0.25">
      <c r="C208" s="76"/>
      <c r="F208" s="5"/>
      <c r="G208" s="3"/>
      <c r="H208" s="3"/>
      <c r="I208"/>
      <c r="J208"/>
      <c r="K208" s="3"/>
      <c r="M208"/>
    </row>
    <row r="209" spans="3:13" x14ac:dyDescent="0.25">
      <c r="C209" s="76"/>
      <c r="F209" s="5"/>
      <c r="G209" s="3"/>
      <c r="H209" s="3"/>
      <c r="I209"/>
      <c r="J209"/>
      <c r="K209" s="3"/>
      <c r="M209"/>
    </row>
    <row r="210" spans="3:13" x14ac:dyDescent="0.25">
      <c r="C210" s="76"/>
      <c r="F210" s="5"/>
      <c r="G210" s="3"/>
      <c r="H210" s="3"/>
      <c r="I210"/>
      <c r="J210"/>
      <c r="K210" s="3"/>
      <c r="M210"/>
    </row>
    <row r="211" spans="3:13" x14ac:dyDescent="0.25">
      <c r="C211" s="76"/>
      <c r="F211" s="5"/>
      <c r="G211" s="3"/>
      <c r="H211" s="3"/>
      <c r="I211"/>
      <c r="J211"/>
      <c r="K211" s="3"/>
      <c r="M211"/>
    </row>
    <row r="212" spans="3:13" x14ac:dyDescent="0.25">
      <c r="C212" s="76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activeCell="D13" sqref="D13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42738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8.86295360197702E-17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2.658886080593106E-2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8" t="s">
        <v>326</v>
      </c>
      <c r="C3" s="88"/>
      <c r="D3" s="88"/>
      <c r="E3">
        <f>1.5*26/30</f>
        <v>1.3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D4">
        <f>0.75*16.1/20</f>
        <v>0.60375000000000001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77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-1.9098593171027445</v>
      </c>
      <c r="Q5" s="13">
        <f>(P5-P$5)*$G$18*10000</f>
        <v>0</v>
      </c>
    </row>
    <row r="6" spans="1:17" x14ac:dyDescent="0.25">
      <c r="A6" t="s">
        <v>0</v>
      </c>
      <c r="C6" s="77"/>
      <c r="E6">
        <f>25*0.05</f>
        <v>1.25</v>
      </c>
      <c r="G6" s="5" t="s">
        <v>153</v>
      </c>
      <c r="H6" s="4">
        <v>4E+18</v>
      </c>
      <c r="I6" s="3" t="s">
        <v>155</v>
      </c>
      <c r="J6" s="17" t="s">
        <v>97</v>
      </c>
      <c r="K6" s="3">
        <f>C7+5</f>
        <v>605</v>
      </c>
      <c r="M6"/>
      <c r="O6" s="3">
        <f>O5+1</f>
        <v>1</v>
      </c>
      <c r="P6" s="13">
        <f t="shared" ref="P6:P69" si="0">$C$24*O6+$C$21</f>
        <v>-1.8812114273462033</v>
      </c>
      <c r="Q6" s="13">
        <f t="shared" ref="Q6:Q69" si="1">(P6-P$5)*$G$18*10000</f>
        <v>45.000000000000057</v>
      </c>
    </row>
    <row r="7" spans="1:17" x14ac:dyDescent="0.25">
      <c r="B7" t="s">
        <v>1</v>
      </c>
      <c r="C7" s="77">
        <v>600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0"/>
        <v>-1.8525635375896621</v>
      </c>
      <c r="Q7" s="13">
        <f t="shared" si="1"/>
        <v>90.000000000000114</v>
      </c>
    </row>
    <row r="8" spans="1:17" x14ac:dyDescent="0.25">
      <c r="B8" t="s">
        <v>2</v>
      </c>
      <c r="C8" s="77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-1.8239156478331209</v>
      </c>
      <c r="Q8" s="13">
        <f t="shared" si="1"/>
        <v>135.00000000000014</v>
      </c>
    </row>
    <row r="9" spans="1:17" x14ac:dyDescent="0.25">
      <c r="B9" t="s">
        <v>3</v>
      </c>
      <c r="C9" s="77">
        <v>150</v>
      </c>
      <c r="E9" s="14">
        <f>E10*1000000000/I1</f>
        <v>1.3205775822989467</v>
      </c>
      <c r="F9" s="5" t="s">
        <v>209</v>
      </c>
      <c r="G9" s="6">
        <f>SQRT(G8/H6)</f>
        <v>20.868355978610293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-1.7952677580765799</v>
      </c>
      <c r="Q9" s="13">
        <f t="shared" si="1"/>
        <v>179.99999999999986</v>
      </c>
    </row>
    <row r="10" spans="1:17" x14ac:dyDescent="0.25">
      <c r="B10" t="s">
        <v>4</v>
      </c>
      <c r="C10" s="77">
        <v>250</v>
      </c>
      <c r="E10" s="14">
        <f>0.149/E16</f>
        <v>0.39589919937709855</v>
      </c>
      <c r="F10" s="5" t="s">
        <v>156</v>
      </c>
      <c r="G10" s="6">
        <f xml:space="preserve"> 56414.602*SQRT(H6)</f>
        <v>112829204000000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-1.7666198683200387</v>
      </c>
      <c r="Q10" s="13">
        <f t="shared" si="1"/>
        <v>224.99999999999991</v>
      </c>
    </row>
    <row r="11" spans="1:17" x14ac:dyDescent="0.25">
      <c r="B11" t="s">
        <v>5</v>
      </c>
      <c r="C11" s="77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-1.7379719785634975</v>
      </c>
      <c r="Q11" s="13">
        <f t="shared" si="1"/>
        <v>269.99999999999994</v>
      </c>
    </row>
    <row r="12" spans="1:17" x14ac:dyDescent="0.25">
      <c r="B12" t="s">
        <v>6</v>
      </c>
      <c r="C12" s="77">
        <v>5</v>
      </c>
      <c r="F12" s="5" t="s">
        <v>160</v>
      </c>
      <c r="G12" s="7">
        <f>SQRT(H6/G8)</f>
        <v>4.7919443248187969E-2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-1.7093240888069563</v>
      </c>
      <c r="Q12" s="13">
        <f t="shared" si="1"/>
        <v>315</v>
      </c>
    </row>
    <row r="13" spans="1:17" x14ac:dyDescent="0.25">
      <c r="B13" t="s">
        <v>7</v>
      </c>
      <c r="C13" s="77">
        <v>2</v>
      </c>
      <c r="F13" s="5" t="s">
        <v>161</v>
      </c>
      <c r="G13" s="6">
        <f>0.0001*G7*SQRT(G8/H6)</f>
        <v>1.6694684782888236E-3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-1.6806761990504151</v>
      </c>
      <c r="Q13" s="13">
        <f t="shared" si="1"/>
        <v>360.00000000000011</v>
      </c>
    </row>
    <row r="14" spans="1:17" x14ac:dyDescent="0.25">
      <c r="B14" t="s">
        <v>8</v>
      </c>
      <c r="C14" s="21">
        <f>G24</f>
        <v>2.6831924746576368</v>
      </c>
      <c r="D14" t="s">
        <v>139</v>
      </c>
      <c r="E14" s="14">
        <f>0.5*G14</f>
        <v>8.3473423914441174</v>
      </c>
      <c r="F14" s="5" t="s">
        <v>181</v>
      </c>
      <c r="G14" s="6">
        <f>10000*G13</f>
        <v>16.694684782888235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-1.6520283092938741</v>
      </c>
      <c r="Q14" s="13">
        <f t="shared" si="1"/>
        <v>404.99999999999983</v>
      </c>
    </row>
    <row r="15" spans="1:17" x14ac:dyDescent="0.25">
      <c r="B15" t="s">
        <v>9</v>
      </c>
      <c r="C15" s="77">
        <v>5</v>
      </c>
      <c r="D15" t="s">
        <v>138</v>
      </c>
      <c r="E15" s="14">
        <f>E14/16.7</f>
        <v>0.49984086176312081</v>
      </c>
      <c r="F15" s="5" t="s">
        <v>190</v>
      </c>
      <c r="G15" s="6">
        <f>2*PI()*1000000000000000/G10</f>
        <v>55.687579850156403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-1.6233804195373329</v>
      </c>
      <c r="Q15" s="13">
        <f t="shared" si="1"/>
        <v>449.99999999999983</v>
      </c>
    </row>
    <row r="16" spans="1:17" x14ac:dyDescent="0.25">
      <c r="B16" t="s">
        <v>10</v>
      </c>
      <c r="C16" s="77">
        <v>20</v>
      </c>
      <c r="D16" t="s">
        <v>255</v>
      </c>
      <c r="E16" s="14">
        <f>0.0001*G16</f>
        <v>0.37635842718155077</v>
      </c>
      <c r="F16" s="5" t="s">
        <v>163</v>
      </c>
      <c r="G16" s="6">
        <f>2*PI()/G13</f>
        <v>3763.5842718155077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-1.5947325297807917</v>
      </c>
      <c r="Q16" s="13">
        <f t="shared" si="1"/>
        <v>494.99999999999989</v>
      </c>
    </row>
    <row r="17" spans="2:17" x14ac:dyDescent="0.25">
      <c r="B17" t="s">
        <v>11</v>
      </c>
      <c r="C17" s="22">
        <f>G20</f>
        <v>7.5271685436310154</v>
      </c>
      <c r="D17" t="s">
        <v>140</v>
      </c>
      <c r="E17">
        <f>1/G17</f>
        <v>0.05</v>
      </c>
      <c r="F17" s="5" t="s">
        <v>165</v>
      </c>
      <c r="G17" s="3">
        <v>20</v>
      </c>
      <c r="H17" s="3" t="s">
        <v>166</v>
      </c>
      <c r="I17" s="1">
        <f>100*I16*G16</f>
        <v>-93.096020547628399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-1.5660846400242505</v>
      </c>
      <c r="Q17" s="13">
        <f t="shared" si="1"/>
        <v>539.99999999999989</v>
      </c>
    </row>
    <row r="18" spans="2:17" x14ac:dyDescent="0.25">
      <c r="B18" t="s">
        <v>110</v>
      </c>
      <c r="C18" s="77">
        <v>7</v>
      </c>
      <c r="D18" t="s">
        <v>141</v>
      </c>
      <c r="E18" s="14">
        <f>10000*G18</f>
        <v>1570.7963267948962</v>
      </c>
      <c r="F18" s="5" t="s">
        <v>195</v>
      </c>
      <c r="G18" s="3">
        <f>0.0001*PI()*G17*G17/G7</f>
        <v>0.15707963267948963</v>
      </c>
      <c r="H18" s="3" t="s">
        <v>162</v>
      </c>
      <c r="I18">
        <f>0.5*100/G18</f>
        <v>318.30988618379075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-1.5374367502677093</v>
      </c>
      <c r="Q18" s="13">
        <f t="shared" si="1"/>
        <v>585</v>
      </c>
    </row>
    <row r="19" spans="2:17" x14ac:dyDescent="0.25">
      <c r="B19" t="s">
        <v>12</v>
      </c>
      <c r="C19" s="23">
        <v>0.60375000000000001</v>
      </c>
      <c r="D19" t="s">
        <v>142</v>
      </c>
      <c r="E19">
        <f>2*C19</f>
        <v>1.2075</v>
      </c>
      <c r="F19" s="5" t="s">
        <v>196</v>
      </c>
      <c r="G19" s="6">
        <f>G18*G16</f>
        <v>591.18243497508445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-1.5087888605111681</v>
      </c>
      <c r="Q19" s="13">
        <f t="shared" si="1"/>
        <v>630</v>
      </c>
    </row>
    <row r="20" spans="2:17" x14ac:dyDescent="0.25">
      <c r="B20" t="s">
        <v>254</v>
      </c>
      <c r="C20" s="77">
        <v>2</v>
      </c>
      <c r="D20" t="s">
        <v>143</v>
      </c>
      <c r="E20">
        <v>7.1294579999999996</v>
      </c>
      <c r="F20" s="5" t="s">
        <v>11</v>
      </c>
      <c r="G20" s="7">
        <f>0.0001*G17*G16</f>
        <v>7.5271685436310154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-1.4801409707546269</v>
      </c>
      <c r="Q20" s="13">
        <f t="shared" si="1"/>
        <v>675</v>
      </c>
    </row>
    <row r="21" spans="2:17" x14ac:dyDescent="0.25">
      <c r="B21" t="s">
        <v>13</v>
      </c>
      <c r="C21" s="22">
        <f>-0.3/G$18</f>
        <v>-1.9098593171027445</v>
      </c>
      <c r="D21" t="s">
        <v>144</v>
      </c>
      <c r="E21" s="20">
        <f>10000*E20/G16</f>
        <v>18.943266538205709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-1.4514930809980857</v>
      </c>
      <c r="Q21" s="13">
        <f t="shared" si="1"/>
        <v>720.00000000000023</v>
      </c>
    </row>
    <row r="22" spans="2:17" x14ac:dyDescent="0.25">
      <c r="B22" t="s">
        <v>14</v>
      </c>
      <c r="C22" s="77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-1.4228451912415447</v>
      </c>
      <c r="Q22" s="13">
        <f t="shared" si="1"/>
        <v>764.99999999999989</v>
      </c>
    </row>
    <row r="23" spans="2:17" x14ac:dyDescent="0.25">
      <c r="B23" t="s">
        <v>15</v>
      </c>
      <c r="C23" s="22">
        <f>0.15/G$18</f>
        <v>0.95492965855137224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-1.3941973014850035</v>
      </c>
      <c r="Q23" s="13">
        <f t="shared" si="1"/>
        <v>809.99999999999989</v>
      </c>
    </row>
    <row r="24" spans="2:17" x14ac:dyDescent="0.25">
      <c r="B24" t="s">
        <v>16</v>
      </c>
      <c r="C24" s="77">
        <f>(C23-C21)/100</f>
        <v>2.8647889756541166E-2</v>
      </c>
      <c r="D24" t="s">
        <v>146</v>
      </c>
      <c r="F24" s="5" t="s">
        <v>8</v>
      </c>
      <c r="G24" s="11">
        <f>0.000000000000001*G22*G10</f>
        <v>2.6831924746576368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-1.3655494117284623</v>
      </c>
      <c r="Q24" s="13">
        <f t="shared" si="1"/>
        <v>854.99999999999989</v>
      </c>
    </row>
    <row r="25" spans="2:17" x14ac:dyDescent="0.25">
      <c r="B25" t="s">
        <v>17</v>
      </c>
      <c r="C25" s="77">
        <v>300</v>
      </c>
      <c r="E25">
        <f>G25*375/600</f>
        <v>17.301995296661023</v>
      </c>
      <c r="F25" s="5" t="s">
        <v>175</v>
      </c>
      <c r="G25" s="11">
        <f>C14+C15+C16</f>
        <v>27.683192474657638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-1.3369015219719211</v>
      </c>
      <c r="Q25" s="13">
        <f t="shared" si="1"/>
        <v>900</v>
      </c>
    </row>
    <row r="26" spans="2:17" x14ac:dyDescent="0.25">
      <c r="B26" t="s">
        <v>18</v>
      </c>
      <c r="C26" s="77">
        <v>6</v>
      </c>
      <c r="E26" s="12"/>
      <c r="F26" s="5" t="s">
        <v>178</v>
      </c>
      <c r="G26" s="11">
        <f>G20*C18</f>
        <v>52.69017980541711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-1.3082536322153802</v>
      </c>
      <c r="Q26" s="13">
        <f t="shared" si="1"/>
        <v>944.99999999999977</v>
      </c>
    </row>
    <row r="27" spans="2:17" x14ac:dyDescent="0.25">
      <c r="B27" t="s">
        <v>19</v>
      </c>
      <c r="C27" s="77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73.555394207510602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-1.279605742458839</v>
      </c>
      <c r="Q27" s="13">
        <f t="shared" si="1"/>
        <v>989.99999999999977</v>
      </c>
    </row>
    <row r="28" spans="2:17" x14ac:dyDescent="0.25">
      <c r="B28" t="s">
        <v>20</v>
      </c>
      <c r="C28" s="77">
        <v>20</v>
      </c>
      <c r="D28">
        <f>2.142311</f>
        <v>2.1423109999999999</v>
      </c>
      <c r="F28" s="5" t="s">
        <v>179</v>
      </c>
      <c r="G28" s="6">
        <f>G26*10000/G16</f>
        <v>140.00000000000003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-1.2509578527022978</v>
      </c>
      <c r="Q28" s="13">
        <f t="shared" si="1"/>
        <v>1034.9999999999998</v>
      </c>
    </row>
    <row r="29" spans="2:17" x14ac:dyDescent="0.25">
      <c r="B29" t="s">
        <v>21</v>
      </c>
      <c r="C29" s="77">
        <v>100</v>
      </c>
      <c r="D29">
        <f>D27/D28</f>
        <v>1.0559008472626059</v>
      </c>
      <c r="E29">
        <f>C14/G29</f>
        <v>58.15497928096142</v>
      </c>
      <c r="F29" s="5" t="s">
        <v>177</v>
      </c>
      <c r="G29" s="3">
        <f>G25/C7</f>
        <v>4.6138654124429399E-2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-1.2223099629457566</v>
      </c>
      <c r="Q29" s="13">
        <f t="shared" si="1"/>
        <v>1079.9999999999998</v>
      </c>
    </row>
    <row r="30" spans="2:17" x14ac:dyDescent="0.25">
      <c r="B30" t="s">
        <v>22</v>
      </c>
      <c r="C30" s="22">
        <f>G12</f>
        <v>4.7919443248187969E-2</v>
      </c>
      <c r="D30" t="s">
        <v>147</v>
      </c>
      <c r="F30" s="5" t="s">
        <v>180</v>
      </c>
      <c r="G30" s="6">
        <f>10000*G29/G16</f>
        <v>0.12259232367918434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-1.1936620731892154</v>
      </c>
      <c r="Q30" s="13">
        <f t="shared" si="1"/>
        <v>1125</v>
      </c>
    </row>
    <row r="31" spans="2:17" x14ac:dyDescent="0.25">
      <c r="B31" t="s">
        <v>23</v>
      </c>
      <c r="C31" s="77">
        <v>2</v>
      </c>
      <c r="D31">
        <f>D29^2</f>
        <v>1.1149265992498891</v>
      </c>
      <c r="E31" s="8">
        <f>C17/G31</f>
        <v>57.142857142857139</v>
      </c>
      <c r="F31" s="5" t="s">
        <v>182</v>
      </c>
      <c r="G31" s="3">
        <f>G26/C8</f>
        <v>0.13172544951354279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-1.1650141834326742</v>
      </c>
      <c r="Q31" s="13">
        <f t="shared" si="1"/>
        <v>1170</v>
      </c>
    </row>
    <row r="32" spans="2:17" x14ac:dyDescent="0.25">
      <c r="B32" t="s">
        <v>24</v>
      </c>
      <c r="C32" s="77">
        <v>0.5</v>
      </c>
      <c r="D32">
        <f>D31*0.6</f>
        <v>0.66895595954993348</v>
      </c>
      <c r="F32" s="5" t="s">
        <v>183</v>
      </c>
      <c r="G32" s="6">
        <f>G31*10000/G16</f>
        <v>0.35000000000000003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-1.136366293676133</v>
      </c>
      <c r="Q32" s="13">
        <f t="shared" si="1"/>
        <v>1215</v>
      </c>
    </row>
    <row r="33" spans="2:17" x14ac:dyDescent="0.25">
      <c r="B33" t="s">
        <v>25</v>
      </c>
      <c r="C33" s="77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-1.1077184039195918</v>
      </c>
      <c r="Q33" s="13">
        <f t="shared" si="1"/>
        <v>1260</v>
      </c>
    </row>
    <row r="34" spans="2:17" x14ac:dyDescent="0.25">
      <c r="B34" t="s">
        <v>26</v>
      </c>
      <c r="C34" s="77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-1.0790705141630506</v>
      </c>
      <c r="Q34" s="13">
        <f t="shared" si="1"/>
        <v>1305</v>
      </c>
    </row>
    <row r="35" spans="2:17" x14ac:dyDescent="0.25">
      <c r="B35" t="s">
        <v>27</v>
      </c>
      <c r="C35" s="77">
        <v>3</v>
      </c>
      <c r="D35" t="s">
        <v>129</v>
      </c>
      <c r="F35" s="5" t="s">
        <v>187</v>
      </c>
      <c r="G35" s="13">
        <f>G22*G17*G17*0.000000000000000001*G33/(225.38*225.38)</f>
        <v>0.90060091454078139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-1.0504226244065094</v>
      </c>
      <c r="Q35" s="13">
        <f t="shared" si="1"/>
        <v>1350</v>
      </c>
    </row>
    <row r="36" spans="2:17" x14ac:dyDescent="0.25">
      <c r="B36" t="s">
        <v>28</v>
      </c>
      <c r="C36" s="77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-1.0217747346499684</v>
      </c>
      <c r="Q36" s="13">
        <f t="shared" si="1"/>
        <v>1394.9999999999998</v>
      </c>
    </row>
    <row r="37" spans="2:17" x14ac:dyDescent="0.25">
      <c r="B37" t="s">
        <v>29</v>
      </c>
      <c r="C37" s="77">
        <v>10</v>
      </c>
      <c r="F37" s="5" t="s">
        <v>192</v>
      </c>
      <c r="G37" s="6">
        <f>0.000000000000001*G36*G10</f>
        <v>11.2829204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-0.99312684489342717</v>
      </c>
      <c r="Q37" s="13">
        <f t="shared" si="1"/>
        <v>1440</v>
      </c>
    </row>
    <row r="38" spans="2:17" x14ac:dyDescent="0.25">
      <c r="B38" t="s">
        <v>30</v>
      </c>
      <c r="C38" s="77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-0.96447895513688597</v>
      </c>
      <c r="Q38" s="13">
        <f t="shared" si="1"/>
        <v>1485</v>
      </c>
    </row>
    <row r="39" spans="2:17" x14ac:dyDescent="0.25">
      <c r="B39" t="s">
        <v>31</v>
      </c>
      <c r="C39" s="77">
        <v>0.125</v>
      </c>
      <c r="F39" s="5" t="s">
        <v>194</v>
      </c>
      <c r="G39" s="6">
        <f>0.0001*G38*G16</f>
        <v>3.7635842718155077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-0.93583106538034488</v>
      </c>
      <c r="Q39" s="13">
        <f t="shared" si="1"/>
        <v>1530</v>
      </c>
    </row>
    <row r="40" spans="2:17" x14ac:dyDescent="0.25">
      <c r="B40" t="s">
        <v>32</v>
      </c>
      <c r="C40" s="77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-0.90718317562380357</v>
      </c>
      <c r="Q40" s="13">
        <f t="shared" si="1"/>
        <v>1575</v>
      </c>
    </row>
    <row r="41" spans="2:17" x14ac:dyDescent="0.25">
      <c r="B41" t="s">
        <v>33</v>
      </c>
      <c r="C41" s="77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-0.87853528586726259</v>
      </c>
      <c r="Q41" s="13">
        <f t="shared" si="1"/>
        <v>1619.9999999999998</v>
      </c>
    </row>
    <row r="42" spans="2:17" x14ac:dyDescent="0.25">
      <c r="B42" t="s">
        <v>34</v>
      </c>
      <c r="C42" s="77">
        <v>1000</v>
      </c>
      <c r="F42" s="5" t="s">
        <v>201</v>
      </c>
      <c r="G42" s="6">
        <f>2*G41*G41*(0.5*PI()+C15-C89)/G19</f>
        <v>-6.8509670813930779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-0.84988739611072139</v>
      </c>
      <c r="Q42" s="13">
        <f t="shared" si="1"/>
        <v>1664.9999999999998</v>
      </c>
    </row>
    <row r="43" spans="2:17" x14ac:dyDescent="0.25">
      <c r="B43" t="s">
        <v>35</v>
      </c>
      <c r="C43" s="77">
        <v>1</v>
      </c>
      <c r="F43" s="5" t="s">
        <v>203</v>
      </c>
      <c r="G43" s="6">
        <f>0.5*G41*G41*G13</f>
        <v>0.1258755479916287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-0.82123950635418019</v>
      </c>
      <c r="Q43" s="13">
        <f t="shared" si="1"/>
        <v>1709.9999999999998</v>
      </c>
    </row>
    <row r="44" spans="2:17" x14ac:dyDescent="0.25">
      <c r="B44" t="s">
        <v>36</v>
      </c>
      <c r="C44" s="77">
        <v>1</v>
      </c>
      <c r="F44" s="5" t="s">
        <v>203</v>
      </c>
      <c r="G44" s="6">
        <f>G43/G18</f>
        <v>0.80134862709075239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-0.79259161659763899</v>
      </c>
      <c r="Q44" s="13">
        <f t="shared" si="1"/>
        <v>1755</v>
      </c>
    </row>
    <row r="45" spans="2:17" x14ac:dyDescent="0.25">
      <c r="B45" t="s">
        <v>213</v>
      </c>
      <c r="C45" s="77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-0.76394372684109779</v>
      </c>
      <c r="Q45" s="13">
        <f t="shared" si="1"/>
        <v>1800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0.8013486270907525</v>
      </c>
      <c r="H46" s="3"/>
      <c r="I46"/>
      <c r="J46"/>
      <c r="K46" s="3"/>
      <c r="M46"/>
      <c r="O46" s="3">
        <f t="shared" si="2"/>
        <v>41</v>
      </c>
      <c r="P46" s="13">
        <f t="shared" si="0"/>
        <v>-0.73529583708455659</v>
      </c>
      <c r="Q46" s="13">
        <f t="shared" si="1"/>
        <v>1845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-0.70664794732801561</v>
      </c>
      <c r="Q47" s="13">
        <f t="shared" si="1"/>
        <v>1889.9999999999998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-0.67800005757147441</v>
      </c>
      <c r="Q48" s="13">
        <f t="shared" si="1"/>
        <v>1934.9999999999998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-0.64935216781493321</v>
      </c>
      <c r="Q49" s="13">
        <f t="shared" si="1"/>
        <v>1979.9999999999998</v>
      </c>
    </row>
    <row r="50" spans="1:17" x14ac:dyDescent="0.25">
      <c r="B50" t="s">
        <v>37</v>
      </c>
      <c r="C50" s="77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-0.62070427805839201</v>
      </c>
      <c r="Q50" s="13">
        <f t="shared" si="1"/>
        <v>2024.9999999999998</v>
      </c>
    </row>
    <row r="51" spans="1:17" x14ac:dyDescent="0.25">
      <c r="B51" t="s">
        <v>38</v>
      </c>
      <c r="C51" s="77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-0.59205638830185081</v>
      </c>
      <c r="Q51" s="13">
        <f t="shared" si="1"/>
        <v>2070</v>
      </c>
    </row>
    <row r="52" spans="1:17" x14ac:dyDescent="0.25">
      <c r="B52" t="s">
        <v>39</v>
      </c>
      <c r="C52" s="77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-0.56340849854530961</v>
      </c>
      <c r="Q52" s="13">
        <f t="shared" si="1"/>
        <v>2115</v>
      </c>
    </row>
    <row r="53" spans="1:17" x14ac:dyDescent="0.25">
      <c r="B53" t="s">
        <v>40</v>
      </c>
      <c r="C53" s="77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-0.53476060878876863</v>
      </c>
      <c r="Q53" s="13">
        <f t="shared" si="1"/>
        <v>2159.9999999999995</v>
      </c>
    </row>
    <row r="54" spans="1:17" x14ac:dyDescent="0.25">
      <c r="B54" t="s">
        <v>41</v>
      </c>
      <c r="C54" s="77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-0.50611271903222743</v>
      </c>
      <c r="Q54" s="13">
        <f t="shared" si="1"/>
        <v>2204.9999999999995</v>
      </c>
    </row>
    <row r="55" spans="1:17" x14ac:dyDescent="0.25">
      <c r="B55" t="s">
        <v>42</v>
      </c>
      <c r="C55" s="77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-0.47746482927568623</v>
      </c>
      <c r="Q55" s="13">
        <f t="shared" si="1"/>
        <v>2250</v>
      </c>
    </row>
    <row r="56" spans="1:17" x14ac:dyDescent="0.25">
      <c r="A56" t="s">
        <v>43</v>
      </c>
      <c r="C56" s="77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-0.44881693951914503</v>
      </c>
      <c r="Q56" s="13">
        <f t="shared" si="1"/>
        <v>2295</v>
      </c>
    </row>
    <row r="57" spans="1:17" x14ac:dyDescent="0.25">
      <c r="C57" s="77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-0.42016904976260383</v>
      </c>
      <c r="Q57" s="13">
        <f t="shared" si="1"/>
        <v>2340</v>
      </c>
    </row>
    <row r="58" spans="1:17" x14ac:dyDescent="0.25">
      <c r="A58" t="s">
        <v>44</v>
      </c>
      <c r="C58" s="77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-0.39152116000606263</v>
      </c>
      <c r="Q58" s="13">
        <f t="shared" si="1"/>
        <v>2385</v>
      </c>
    </row>
    <row r="59" spans="1:17" x14ac:dyDescent="0.25">
      <c r="B59" t="s">
        <v>45</v>
      </c>
      <c r="C59" s="77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-0.36287327024952143</v>
      </c>
      <c r="Q59" s="13">
        <f t="shared" si="1"/>
        <v>2430</v>
      </c>
    </row>
    <row r="60" spans="1:17" x14ac:dyDescent="0.25">
      <c r="B60" t="s">
        <v>210</v>
      </c>
      <c r="C60" s="77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-0.33422538049298045</v>
      </c>
      <c r="Q60" s="13">
        <f t="shared" si="1"/>
        <v>2474.9999999999995</v>
      </c>
    </row>
    <row r="61" spans="1:17" x14ac:dyDescent="0.25">
      <c r="B61" t="s">
        <v>48</v>
      </c>
      <c r="C61" s="77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-0.30557749073643925</v>
      </c>
      <c r="Q61" s="13">
        <f t="shared" si="1"/>
        <v>2520</v>
      </c>
    </row>
    <row r="62" spans="1:17" x14ac:dyDescent="0.25">
      <c r="B62" t="s">
        <v>214</v>
      </c>
      <c r="C62" s="77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-0.27692960097989805</v>
      </c>
      <c r="Q62" s="13">
        <f t="shared" si="1"/>
        <v>2565</v>
      </c>
    </row>
    <row r="63" spans="1:17" x14ac:dyDescent="0.25">
      <c r="B63" t="s">
        <v>49</v>
      </c>
      <c r="C63" s="77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-0.24828171122335685</v>
      </c>
      <c r="Q63" s="13">
        <f t="shared" si="1"/>
        <v>2610</v>
      </c>
    </row>
    <row r="64" spans="1:17" x14ac:dyDescent="0.25">
      <c r="B64" t="s">
        <v>50</v>
      </c>
      <c r="C64" s="77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-0.21963382146681565</v>
      </c>
      <c r="Q64" s="13">
        <f t="shared" si="1"/>
        <v>2655</v>
      </c>
    </row>
    <row r="65" spans="1:17" x14ac:dyDescent="0.25">
      <c r="B65" t="s">
        <v>51</v>
      </c>
      <c r="C65" s="77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-0.19098593171027445</v>
      </c>
      <c r="Q65" s="13">
        <f t="shared" si="1"/>
        <v>2700</v>
      </c>
    </row>
    <row r="66" spans="1:17" x14ac:dyDescent="0.25">
      <c r="B66" t="s">
        <v>52</v>
      </c>
      <c r="C66" s="77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-0.16233804195373347</v>
      </c>
      <c r="Q66" s="13">
        <f t="shared" si="1"/>
        <v>2744.9999999999995</v>
      </c>
    </row>
    <row r="67" spans="1:17" x14ac:dyDescent="0.25">
      <c r="B67" t="s">
        <v>53</v>
      </c>
      <c r="C67" s="77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-0.13369015219719227</v>
      </c>
      <c r="Q67" s="13">
        <f t="shared" si="1"/>
        <v>2789.9999999999995</v>
      </c>
    </row>
    <row r="68" spans="1:17" x14ac:dyDescent="0.25">
      <c r="B68" t="s">
        <v>54</v>
      </c>
      <c r="C68" s="77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-0.10504226244065107</v>
      </c>
      <c r="Q68" s="13">
        <f t="shared" si="1"/>
        <v>2834.9999999999995</v>
      </c>
    </row>
    <row r="69" spans="1:17" x14ac:dyDescent="0.25">
      <c r="B69" t="s">
        <v>55</v>
      </c>
      <c r="C69" s="77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-7.6394372684109868E-2</v>
      </c>
      <c r="Q69" s="13">
        <f t="shared" si="1"/>
        <v>2880</v>
      </c>
    </row>
    <row r="70" spans="1:17" x14ac:dyDescent="0.25">
      <c r="B70" t="s">
        <v>56</v>
      </c>
      <c r="C70" s="77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-4.7746482927568668E-2</v>
      </c>
      <c r="Q70" s="13">
        <f t="shared" ref="Q70:Q133" si="4">(P70-P$5)*$G$18*10000</f>
        <v>2925</v>
      </c>
    </row>
    <row r="71" spans="1:17" x14ac:dyDescent="0.25">
      <c r="B71" t="s">
        <v>57</v>
      </c>
      <c r="C71" s="77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-1.9098593171027467E-2</v>
      </c>
      <c r="Q71" s="13">
        <f t="shared" si="4"/>
        <v>2970</v>
      </c>
    </row>
    <row r="72" spans="1:17" x14ac:dyDescent="0.25">
      <c r="B72" t="s">
        <v>58</v>
      </c>
      <c r="C72" s="77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9.5492965855137335E-3</v>
      </c>
      <c r="Q72" s="13">
        <f t="shared" si="4"/>
        <v>3015</v>
      </c>
    </row>
    <row r="73" spans="1:17" x14ac:dyDescent="0.25">
      <c r="B73" t="s">
        <v>59</v>
      </c>
      <c r="C73" s="77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3.8197186342054712E-2</v>
      </c>
      <c r="Q73" s="13">
        <f t="shared" si="4"/>
        <v>3060</v>
      </c>
    </row>
    <row r="74" spans="1:17" x14ac:dyDescent="0.25">
      <c r="A74" t="s">
        <v>43</v>
      </c>
      <c r="C74" s="77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6.6845076098595912E-2</v>
      </c>
      <c r="Q74" s="13">
        <f t="shared" si="4"/>
        <v>3105</v>
      </c>
    </row>
    <row r="75" spans="1:17" x14ac:dyDescent="0.25">
      <c r="C75" s="77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9.5492965855137335E-2</v>
      </c>
      <c r="Q75" s="13">
        <f t="shared" si="4"/>
        <v>3150</v>
      </c>
    </row>
    <row r="76" spans="1:17" x14ac:dyDescent="0.25">
      <c r="A76" t="s">
        <v>60</v>
      </c>
      <c r="C76" s="77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0.12414085561167809</v>
      </c>
      <c r="Q76" s="13">
        <f t="shared" si="4"/>
        <v>3194.9999999999995</v>
      </c>
    </row>
    <row r="77" spans="1:17" x14ac:dyDescent="0.25">
      <c r="B77" t="s">
        <v>136</v>
      </c>
      <c r="C77" s="77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0.15278874536821929</v>
      </c>
      <c r="Q77" s="13">
        <f t="shared" si="4"/>
        <v>3239.9999999999995</v>
      </c>
    </row>
    <row r="78" spans="1:17" x14ac:dyDescent="0.25">
      <c r="A78" t="s">
        <v>43</v>
      </c>
      <c r="C78" s="77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0.18143663512476049</v>
      </c>
      <c r="Q78" s="13">
        <f t="shared" si="4"/>
        <v>3284.9999999999995</v>
      </c>
    </row>
    <row r="79" spans="1:17" x14ac:dyDescent="0.25">
      <c r="C79" s="77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0.21008452488130169</v>
      </c>
      <c r="Q79" s="13">
        <f t="shared" si="4"/>
        <v>3329.9999999999995</v>
      </c>
    </row>
    <row r="80" spans="1:17" x14ac:dyDescent="0.25">
      <c r="A80" t="s">
        <v>61</v>
      </c>
      <c r="C80" s="77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0.23873241463784289</v>
      </c>
      <c r="Q80" s="13">
        <f t="shared" si="4"/>
        <v>3374.9999999999995</v>
      </c>
    </row>
    <row r="81" spans="2:17" x14ac:dyDescent="0.25">
      <c r="C81" s="77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0.26738030439438409</v>
      </c>
      <c r="Q81" s="13">
        <f t="shared" si="4"/>
        <v>3419.9999999999995</v>
      </c>
    </row>
    <row r="82" spans="2:17" x14ac:dyDescent="0.25">
      <c r="B82" t="s">
        <v>62</v>
      </c>
      <c r="C82" s="77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0.29602819415092529</v>
      </c>
      <c r="Q82" s="13">
        <f t="shared" si="4"/>
        <v>3464.9999999999995</v>
      </c>
    </row>
    <row r="83" spans="2:17" x14ac:dyDescent="0.25">
      <c r="B83" t="s">
        <v>63</v>
      </c>
      <c r="C83" s="77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0.3246760839074665</v>
      </c>
      <c r="Q83" s="13">
        <f t="shared" si="4"/>
        <v>3510</v>
      </c>
    </row>
    <row r="84" spans="2:17" x14ac:dyDescent="0.25">
      <c r="B84" t="s">
        <v>64</v>
      </c>
      <c r="C84" s="77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0.3533239736640077</v>
      </c>
      <c r="Q84" s="13">
        <f t="shared" si="4"/>
        <v>3555</v>
      </c>
    </row>
    <row r="85" spans="2:17" x14ac:dyDescent="0.25">
      <c r="B85" t="s">
        <v>65</v>
      </c>
      <c r="C85" s="77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0.3819718634205489</v>
      </c>
      <c r="Q85" s="13">
        <f t="shared" si="4"/>
        <v>3600</v>
      </c>
    </row>
    <row r="86" spans="2:17" x14ac:dyDescent="0.25">
      <c r="B86" t="s">
        <v>211</v>
      </c>
      <c r="C86" s="77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0.4106197531770901</v>
      </c>
      <c r="Q86" s="13">
        <f t="shared" si="4"/>
        <v>3645</v>
      </c>
    </row>
    <row r="87" spans="2:17" x14ac:dyDescent="0.25">
      <c r="B87" t="s">
        <v>66</v>
      </c>
      <c r="C87" s="77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0.4392676429336313</v>
      </c>
      <c r="Q87" s="13">
        <f t="shared" si="4"/>
        <v>3690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0.4679155326901725</v>
      </c>
      <c r="Q88" s="13">
        <f t="shared" si="4"/>
        <v>3735</v>
      </c>
    </row>
    <row r="89" spans="2:17" x14ac:dyDescent="0.25">
      <c r="B89" t="s">
        <v>68</v>
      </c>
      <c r="C89" s="77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0.49656342244671325</v>
      </c>
      <c r="Q89" s="13">
        <f t="shared" si="4"/>
        <v>3779.9999999999995</v>
      </c>
    </row>
    <row r="90" spans="2:17" x14ac:dyDescent="0.25">
      <c r="B90" t="s">
        <v>69</v>
      </c>
      <c r="C90" s="77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0.52521131220325445</v>
      </c>
      <c r="Q90" s="13">
        <f t="shared" si="4"/>
        <v>3824.9999999999995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0.55385920195979566</v>
      </c>
      <c r="Q91" s="13">
        <f t="shared" si="4"/>
        <v>3869.9999999999995</v>
      </c>
    </row>
    <row r="92" spans="2:17" x14ac:dyDescent="0.25">
      <c r="B92" t="s">
        <v>71</v>
      </c>
      <c r="C92" s="77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0.58250709171633686</v>
      </c>
      <c r="Q92" s="13">
        <f t="shared" si="4"/>
        <v>3914.9999999999995</v>
      </c>
    </row>
    <row r="93" spans="2:17" x14ac:dyDescent="0.25">
      <c r="B93" t="s">
        <v>72</v>
      </c>
      <c r="C93" s="77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0.61115498147287806</v>
      </c>
      <c r="Q93" s="13">
        <f t="shared" si="4"/>
        <v>3959.9999999999995</v>
      </c>
    </row>
    <row r="94" spans="2:17" x14ac:dyDescent="0.25">
      <c r="B94" t="s">
        <v>191</v>
      </c>
      <c r="C94" s="77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0.63980287122941926</v>
      </c>
      <c r="Q94" s="13">
        <f t="shared" si="4"/>
        <v>4004.9999999999995</v>
      </c>
    </row>
    <row r="95" spans="2:17" x14ac:dyDescent="0.25">
      <c r="B95" t="s">
        <v>73</v>
      </c>
      <c r="C95" s="21">
        <f>C21</f>
        <v>-1.9098593171027445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0.66845076098596046</v>
      </c>
      <c r="Q95" s="13">
        <f t="shared" si="4"/>
        <v>4049.9999999999995</v>
      </c>
    </row>
    <row r="96" spans="2:17" x14ac:dyDescent="0.25">
      <c r="B96" t="s">
        <v>215</v>
      </c>
      <c r="C96" s="77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0.69709865074250166</v>
      </c>
      <c r="Q96" s="13">
        <f t="shared" si="4"/>
        <v>4094.9999999999995</v>
      </c>
    </row>
    <row r="97" spans="2:17" x14ac:dyDescent="0.25">
      <c r="B97" t="s">
        <v>216</v>
      </c>
      <c r="C97" s="77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0.72574654049904286</v>
      </c>
      <c r="Q97" s="13">
        <f t="shared" si="4"/>
        <v>4140</v>
      </c>
    </row>
    <row r="98" spans="2:17" x14ac:dyDescent="0.25">
      <c r="B98" t="s">
        <v>74</v>
      </c>
      <c r="C98" s="77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0.75439443025558406</v>
      </c>
      <c r="Q98" s="13">
        <f t="shared" si="4"/>
        <v>4185</v>
      </c>
    </row>
    <row r="99" spans="2:17" x14ac:dyDescent="0.25">
      <c r="B99" t="s">
        <v>75</v>
      </c>
      <c r="C99" s="77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0.78304232001212526</v>
      </c>
      <c r="Q99" s="13">
        <f t="shared" si="4"/>
        <v>4230</v>
      </c>
    </row>
    <row r="100" spans="2:17" x14ac:dyDescent="0.25">
      <c r="B100" t="s">
        <v>76</v>
      </c>
      <c r="C100" s="77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0.81169020976866646</v>
      </c>
      <c r="Q100" s="13">
        <f t="shared" si="4"/>
        <v>4275</v>
      </c>
    </row>
    <row r="101" spans="2:17" x14ac:dyDescent="0.25">
      <c r="B101" t="s">
        <v>77</v>
      </c>
      <c r="C101" s="77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0.84033809952520722</v>
      </c>
      <c r="Q101" s="13">
        <f t="shared" si="4"/>
        <v>4319.9999999999991</v>
      </c>
    </row>
    <row r="102" spans="2:17" x14ac:dyDescent="0.25">
      <c r="B102" t="s">
        <v>78</v>
      </c>
      <c r="C102" s="77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0.86898598928174842</v>
      </c>
      <c r="Q102" s="13">
        <f t="shared" si="4"/>
        <v>4364.9999999999991</v>
      </c>
    </row>
    <row r="103" spans="2:17" x14ac:dyDescent="0.25">
      <c r="B103" t="s">
        <v>79</v>
      </c>
      <c r="C103" s="77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0.89763387903828962</v>
      </c>
      <c r="Q103" s="13">
        <f t="shared" si="4"/>
        <v>4409.9999999999991</v>
      </c>
    </row>
    <row r="104" spans="2:17" x14ac:dyDescent="0.25">
      <c r="B104" t="s">
        <v>80</v>
      </c>
      <c r="C104" s="24">
        <f>C95</f>
        <v>-1.9098593171027445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0.92628176879483082</v>
      </c>
      <c r="Q104" s="13">
        <f t="shared" si="4"/>
        <v>4454.9999999999991</v>
      </c>
    </row>
    <row r="105" spans="2:17" x14ac:dyDescent="0.25">
      <c r="B105" t="s">
        <v>81</v>
      </c>
      <c r="C105" s="77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0.95492965855137202</v>
      </c>
      <c r="Q105" s="13">
        <f t="shared" si="4"/>
        <v>4500</v>
      </c>
    </row>
    <row r="106" spans="2:17" x14ac:dyDescent="0.25">
      <c r="B106" t="s">
        <v>82</v>
      </c>
      <c r="C106" s="77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0.98357754830791322</v>
      </c>
      <c r="Q106" s="13">
        <f t="shared" si="4"/>
        <v>4545</v>
      </c>
    </row>
    <row r="107" spans="2:17" x14ac:dyDescent="0.25">
      <c r="B107" t="s">
        <v>83</v>
      </c>
      <c r="C107" s="77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1.0122254380644544</v>
      </c>
      <c r="Q107" s="13">
        <f t="shared" si="4"/>
        <v>4590</v>
      </c>
    </row>
    <row r="108" spans="2:17" x14ac:dyDescent="0.25">
      <c r="B108" t="s">
        <v>84</v>
      </c>
      <c r="C108" s="77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1.0408733278209956</v>
      </c>
      <c r="Q108" s="13">
        <f t="shared" si="4"/>
        <v>4635</v>
      </c>
    </row>
    <row r="109" spans="2:17" x14ac:dyDescent="0.25">
      <c r="B109" t="s">
        <v>85</v>
      </c>
      <c r="C109" s="77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1.0695212175775368</v>
      </c>
      <c r="Q109" s="13">
        <f t="shared" si="4"/>
        <v>4680</v>
      </c>
    </row>
    <row r="110" spans="2:17" x14ac:dyDescent="0.25">
      <c r="B110" t="s">
        <v>86</v>
      </c>
      <c r="C110" s="77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1.098169107334078</v>
      </c>
      <c r="Q110" s="13">
        <f t="shared" si="4"/>
        <v>4725</v>
      </c>
    </row>
    <row r="111" spans="2:17" x14ac:dyDescent="0.25">
      <c r="B111" t="s">
        <v>87</v>
      </c>
      <c r="C111" s="77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1.1268169970906192</v>
      </c>
      <c r="Q111" s="13">
        <f t="shared" si="4"/>
        <v>4770</v>
      </c>
    </row>
    <row r="112" spans="2:17" x14ac:dyDescent="0.25">
      <c r="B112" t="s">
        <v>43</v>
      </c>
      <c r="C112" s="77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1.1554648868471604</v>
      </c>
      <c r="Q112" s="13">
        <f t="shared" si="4"/>
        <v>4815</v>
      </c>
    </row>
    <row r="113" spans="3:17" x14ac:dyDescent="0.25">
      <c r="C113" s="77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1.1841127766037016</v>
      </c>
      <c r="Q113" s="13">
        <f t="shared" si="4"/>
        <v>4860</v>
      </c>
    </row>
    <row r="114" spans="3:17" x14ac:dyDescent="0.25">
      <c r="C114" s="77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1.2127606663602424</v>
      </c>
      <c r="Q114" s="13">
        <f t="shared" si="4"/>
        <v>4904.9999999999991</v>
      </c>
    </row>
    <row r="115" spans="3:17" x14ac:dyDescent="0.25">
      <c r="C115" s="77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1.2414085561167836</v>
      </c>
      <c r="Q115" s="13">
        <f t="shared" si="4"/>
        <v>4949.9999999999991</v>
      </c>
    </row>
    <row r="116" spans="3:17" x14ac:dyDescent="0.25">
      <c r="C116" s="77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1.2700564458733248</v>
      </c>
      <c r="Q116" s="13">
        <f t="shared" si="4"/>
        <v>4994.9999999999991</v>
      </c>
    </row>
    <row r="117" spans="3:17" x14ac:dyDescent="0.25">
      <c r="C117" s="77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1.298704335629866</v>
      </c>
      <c r="Q117" s="13">
        <f t="shared" si="4"/>
        <v>5040</v>
      </c>
    </row>
    <row r="118" spans="3:17" x14ac:dyDescent="0.25">
      <c r="C118" s="77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1.3273522253864072</v>
      </c>
      <c r="Q118" s="13">
        <f t="shared" si="4"/>
        <v>5084.9999999999991</v>
      </c>
    </row>
    <row r="119" spans="3:17" x14ac:dyDescent="0.25">
      <c r="C119" s="77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1.3560001151429484</v>
      </c>
      <c r="Q119" s="13">
        <f t="shared" si="4"/>
        <v>5130</v>
      </c>
    </row>
    <row r="120" spans="3:17" x14ac:dyDescent="0.25">
      <c r="C120" s="77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1.3846480048994896</v>
      </c>
      <c r="Q120" s="13">
        <f t="shared" si="4"/>
        <v>5175</v>
      </c>
    </row>
    <row r="121" spans="3:17" x14ac:dyDescent="0.25">
      <c r="C121" s="77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1.4132958946560308</v>
      </c>
      <c r="Q121" s="13">
        <f t="shared" si="4"/>
        <v>5220</v>
      </c>
    </row>
    <row r="122" spans="3:17" x14ac:dyDescent="0.25">
      <c r="C122" s="77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1.441943784412572</v>
      </c>
      <c r="Q122" s="13">
        <f t="shared" si="4"/>
        <v>5265</v>
      </c>
    </row>
    <row r="123" spans="3:17" x14ac:dyDescent="0.25">
      <c r="C123" s="77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1.4705916741691132</v>
      </c>
      <c r="Q123" s="13">
        <f t="shared" si="4"/>
        <v>5310</v>
      </c>
    </row>
    <row r="124" spans="3:17" x14ac:dyDescent="0.25">
      <c r="C124" s="77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1.4992395639256544</v>
      </c>
      <c r="Q124" s="13">
        <f t="shared" si="4"/>
        <v>5355</v>
      </c>
    </row>
    <row r="125" spans="3:17" x14ac:dyDescent="0.25">
      <c r="C125" s="77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1.5278874536821956</v>
      </c>
      <c r="Q125" s="13">
        <f t="shared" si="4"/>
        <v>5400</v>
      </c>
    </row>
    <row r="126" spans="3:17" x14ac:dyDescent="0.25">
      <c r="C126" s="77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1.5565353434387368</v>
      </c>
      <c r="Q126" s="13">
        <f t="shared" si="4"/>
        <v>5445</v>
      </c>
    </row>
    <row r="127" spans="3:17" x14ac:dyDescent="0.25">
      <c r="C127" s="77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1.5851832331952775</v>
      </c>
      <c r="Q127" s="13">
        <f t="shared" si="4"/>
        <v>5489.9999999999991</v>
      </c>
    </row>
    <row r="128" spans="3:17" x14ac:dyDescent="0.25">
      <c r="C128" s="77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1.6138311229518187</v>
      </c>
      <c r="Q128" s="13">
        <f t="shared" si="4"/>
        <v>5535</v>
      </c>
    </row>
    <row r="129" spans="3:17" x14ac:dyDescent="0.25">
      <c r="C129" s="77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1.6424790127083599</v>
      </c>
      <c r="Q129" s="13">
        <f t="shared" si="4"/>
        <v>5579.9999999999991</v>
      </c>
    </row>
    <row r="130" spans="3:17" x14ac:dyDescent="0.25">
      <c r="C130" s="77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1.6711269024649011</v>
      </c>
      <c r="Q130" s="13">
        <f t="shared" si="4"/>
        <v>5625</v>
      </c>
    </row>
    <row r="131" spans="3:17" x14ac:dyDescent="0.25">
      <c r="C131" s="77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1.6997747922214423</v>
      </c>
      <c r="Q131" s="13">
        <f t="shared" si="4"/>
        <v>5669.9999999999991</v>
      </c>
    </row>
    <row r="132" spans="3:17" x14ac:dyDescent="0.25">
      <c r="C132" s="77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1.7284226819779835</v>
      </c>
      <c r="Q132" s="13">
        <f t="shared" si="4"/>
        <v>5715</v>
      </c>
    </row>
    <row r="133" spans="3:17" x14ac:dyDescent="0.25">
      <c r="C133" s="77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1.7570705717345247</v>
      </c>
      <c r="Q133" s="13">
        <f t="shared" si="4"/>
        <v>5760</v>
      </c>
    </row>
    <row r="134" spans="3:17" x14ac:dyDescent="0.25">
      <c r="C134" s="77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1.7857184614910659</v>
      </c>
      <c r="Q134" s="13">
        <f t="shared" ref="Q134:Q159" si="7">(P134-P$5)*$G$18*10000</f>
        <v>5805</v>
      </c>
    </row>
    <row r="135" spans="3:17" x14ac:dyDescent="0.25">
      <c r="C135" s="77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1.8143663512476071</v>
      </c>
      <c r="Q135" s="13">
        <f t="shared" si="7"/>
        <v>5850</v>
      </c>
    </row>
    <row r="136" spans="3:17" x14ac:dyDescent="0.25">
      <c r="C136" s="77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1.8430142410041483</v>
      </c>
      <c r="Q136" s="13">
        <f t="shared" si="7"/>
        <v>5895</v>
      </c>
    </row>
    <row r="137" spans="3:17" x14ac:dyDescent="0.25">
      <c r="C137" s="77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1.8716621307606895</v>
      </c>
      <c r="Q137" s="13">
        <f t="shared" si="7"/>
        <v>5940</v>
      </c>
    </row>
    <row r="138" spans="3:17" x14ac:dyDescent="0.25">
      <c r="C138" s="77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1.9003100205172307</v>
      </c>
      <c r="Q138" s="13">
        <f t="shared" si="7"/>
        <v>5985</v>
      </c>
    </row>
    <row r="139" spans="3:17" x14ac:dyDescent="0.25">
      <c r="C139" s="77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1.9289579102737719</v>
      </c>
      <c r="Q139" s="13">
        <f t="shared" si="7"/>
        <v>6030</v>
      </c>
    </row>
    <row r="140" spans="3:17" x14ac:dyDescent="0.25">
      <c r="C140" s="77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1.9576058000303127</v>
      </c>
      <c r="Q140" s="13">
        <f t="shared" si="7"/>
        <v>6074.9999999999991</v>
      </c>
    </row>
    <row r="141" spans="3:17" x14ac:dyDescent="0.25">
      <c r="C141" s="77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1.9862536897868539</v>
      </c>
      <c r="Q141" s="13">
        <f t="shared" si="7"/>
        <v>6120</v>
      </c>
    </row>
    <row r="142" spans="3:17" x14ac:dyDescent="0.25">
      <c r="C142" s="77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2.0149015795433951</v>
      </c>
      <c r="Q142" s="13">
        <f t="shared" si="7"/>
        <v>6164.9999999999991</v>
      </c>
    </row>
    <row r="143" spans="3:17" x14ac:dyDescent="0.25">
      <c r="C143" s="77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2.0435494692999363</v>
      </c>
      <c r="Q143" s="13">
        <f t="shared" si="7"/>
        <v>6210</v>
      </c>
    </row>
    <row r="144" spans="3:17" x14ac:dyDescent="0.25">
      <c r="C144" s="77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2.0721973590564775</v>
      </c>
      <c r="Q144" s="13">
        <f t="shared" si="7"/>
        <v>6254.9999999999991</v>
      </c>
    </row>
    <row r="145" spans="3:17" x14ac:dyDescent="0.25">
      <c r="C145" s="77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2.1008452488130192</v>
      </c>
      <c r="Q145" s="13">
        <f t="shared" si="7"/>
        <v>6300</v>
      </c>
    </row>
    <row r="146" spans="3:17" x14ac:dyDescent="0.25">
      <c r="C146" s="77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2.1294931385695599</v>
      </c>
      <c r="Q146" s="13">
        <f t="shared" si="7"/>
        <v>6344.9999999999991</v>
      </c>
    </row>
    <row r="147" spans="3:17" x14ac:dyDescent="0.25">
      <c r="C147" s="77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2.1581410283261007</v>
      </c>
      <c r="Q147" s="13">
        <f t="shared" si="7"/>
        <v>6389.9999999999991</v>
      </c>
    </row>
    <row r="148" spans="3:17" x14ac:dyDescent="0.25">
      <c r="C148" s="77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2.1867889180826423</v>
      </c>
      <c r="Q148" s="13">
        <f t="shared" si="7"/>
        <v>6435</v>
      </c>
    </row>
    <row r="149" spans="3:17" x14ac:dyDescent="0.25">
      <c r="C149" s="77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2.2154368078391831</v>
      </c>
      <c r="Q149" s="13">
        <f t="shared" si="7"/>
        <v>6479.9999999999991</v>
      </c>
    </row>
    <row r="150" spans="3:17" x14ac:dyDescent="0.25">
      <c r="C150" s="77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2.2440846975957247</v>
      </c>
      <c r="Q150" s="13">
        <f t="shared" si="7"/>
        <v>6525</v>
      </c>
    </row>
    <row r="151" spans="3:17" x14ac:dyDescent="0.25">
      <c r="C151" s="77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2.2727325873522655</v>
      </c>
      <c r="Q151" s="13">
        <f t="shared" si="7"/>
        <v>6569.9999999999991</v>
      </c>
    </row>
    <row r="152" spans="3:17" x14ac:dyDescent="0.25">
      <c r="C152" s="77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2.3013804771088071</v>
      </c>
      <c r="Q152" s="13">
        <f t="shared" si="7"/>
        <v>6615</v>
      </c>
    </row>
    <row r="153" spans="3:17" x14ac:dyDescent="0.25">
      <c r="C153" s="77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2.3300283668653479</v>
      </c>
      <c r="Q153" s="13">
        <f t="shared" si="7"/>
        <v>6659.9999999999991</v>
      </c>
    </row>
    <row r="154" spans="3:17" x14ac:dyDescent="0.25">
      <c r="C154" s="77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2.3586762566218895</v>
      </c>
      <c r="Q154" s="13">
        <f t="shared" si="7"/>
        <v>6705</v>
      </c>
    </row>
    <row r="155" spans="3:17" x14ac:dyDescent="0.25">
      <c r="C155" s="77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2.3873241463784303</v>
      </c>
      <c r="Q155" s="13">
        <f t="shared" si="7"/>
        <v>6749.9999999999991</v>
      </c>
    </row>
    <row r="156" spans="3:17" x14ac:dyDescent="0.25">
      <c r="C156" s="77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2.4159720361349719</v>
      </c>
      <c r="Q156" s="13">
        <f t="shared" si="7"/>
        <v>6795</v>
      </c>
    </row>
    <row r="157" spans="3:17" x14ac:dyDescent="0.25">
      <c r="C157" s="77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2.4446199258915127</v>
      </c>
      <c r="Q157" s="13">
        <f t="shared" si="7"/>
        <v>6839.9999999999991</v>
      </c>
    </row>
    <row r="158" spans="3:17" x14ac:dyDescent="0.25">
      <c r="C158" s="77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2.4732678156480543</v>
      </c>
      <c r="Q158" s="13">
        <f t="shared" si="7"/>
        <v>6885</v>
      </c>
    </row>
    <row r="159" spans="3:17" x14ac:dyDescent="0.25">
      <c r="C159" s="77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2.5019157054045951</v>
      </c>
      <c r="Q159" s="13">
        <f t="shared" si="7"/>
        <v>6929.9999999999991</v>
      </c>
    </row>
    <row r="160" spans="3:17" x14ac:dyDescent="0.25">
      <c r="C160" s="77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77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77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77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77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77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77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77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77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77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77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77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77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77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77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77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77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77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77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77"/>
      <c r="F179" s="5"/>
      <c r="G179" s="3"/>
      <c r="H179" s="3"/>
      <c r="I179"/>
      <c r="J179"/>
      <c r="K179" s="3"/>
      <c r="M179"/>
    </row>
    <row r="180" spans="3:13" x14ac:dyDescent="0.25">
      <c r="C180" s="77"/>
      <c r="F180" s="5"/>
      <c r="G180" s="3"/>
      <c r="H180" s="3"/>
      <c r="I180"/>
      <c r="J180"/>
      <c r="K180" s="3"/>
      <c r="M180"/>
    </row>
    <row r="181" spans="3:13" x14ac:dyDescent="0.25">
      <c r="C181" s="77"/>
      <c r="F181" s="5"/>
      <c r="G181" s="3"/>
      <c r="H181" s="3"/>
      <c r="I181"/>
      <c r="J181"/>
      <c r="K181" s="3"/>
      <c r="M181"/>
    </row>
    <row r="182" spans="3:13" x14ac:dyDescent="0.25">
      <c r="C182" s="77"/>
      <c r="F182" s="5"/>
      <c r="G182" s="3"/>
      <c r="H182" s="3"/>
      <c r="I182"/>
      <c r="J182"/>
      <c r="K182" s="3"/>
      <c r="M182"/>
    </row>
    <row r="183" spans="3:13" x14ac:dyDescent="0.25">
      <c r="C183" s="77"/>
      <c r="F183" s="5"/>
      <c r="G183" s="3"/>
      <c r="H183" s="3"/>
      <c r="I183"/>
      <c r="J183"/>
      <c r="K183" s="3"/>
      <c r="M183"/>
    </row>
    <row r="184" spans="3:13" x14ac:dyDescent="0.25">
      <c r="C184" s="77"/>
      <c r="F184" s="5"/>
      <c r="G184" s="3"/>
      <c r="H184" s="3"/>
      <c r="I184"/>
      <c r="J184"/>
      <c r="K184" s="3"/>
      <c r="M184"/>
    </row>
    <row r="185" spans="3:13" x14ac:dyDescent="0.25">
      <c r="C185" s="77"/>
      <c r="F185" s="5"/>
      <c r="G185" s="3"/>
      <c r="H185" s="3"/>
      <c r="I185"/>
      <c r="J185"/>
      <c r="K185" s="3"/>
      <c r="M185"/>
    </row>
    <row r="186" spans="3:13" x14ac:dyDescent="0.25">
      <c r="C186" s="77"/>
      <c r="F186" s="5"/>
      <c r="G186" s="3"/>
      <c r="H186" s="3"/>
      <c r="I186"/>
      <c r="J186"/>
      <c r="K186" s="3"/>
      <c r="M186"/>
    </row>
    <row r="187" spans="3:13" x14ac:dyDescent="0.25">
      <c r="C187" s="77"/>
      <c r="F187" s="5"/>
      <c r="G187" s="3"/>
      <c r="H187" s="3"/>
      <c r="I187"/>
      <c r="J187"/>
      <c r="K187" s="3"/>
      <c r="M187"/>
    </row>
    <row r="188" spans="3:13" x14ac:dyDescent="0.25">
      <c r="C188" s="77"/>
      <c r="F188" s="5"/>
      <c r="G188" s="3"/>
      <c r="H188" s="3"/>
      <c r="I188"/>
      <c r="J188"/>
      <c r="K188" s="3"/>
      <c r="M188"/>
    </row>
    <row r="189" spans="3:13" x14ac:dyDescent="0.25">
      <c r="C189" s="77"/>
      <c r="F189" s="5"/>
      <c r="G189" s="3"/>
      <c r="H189" s="3"/>
      <c r="I189"/>
      <c r="J189"/>
      <c r="K189" s="3"/>
      <c r="M189"/>
    </row>
    <row r="190" spans="3:13" x14ac:dyDescent="0.25">
      <c r="C190" s="77"/>
      <c r="F190" s="5"/>
      <c r="G190" s="3"/>
      <c r="H190" s="3"/>
      <c r="I190"/>
      <c r="J190"/>
      <c r="K190" s="3"/>
      <c r="M190"/>
    </row>
    <row r="191" spans="3:13" x14ac:dyDescent="0.25">
      <c r="C191" s="77"/>
      <c r="F191" s="5"/>
      <c r="G191" s="3"/>
      <c r="H191" s="3"/>
      <c r="I191"/>
      <c r="J191"/>
      <c r="K191" s="3"/>
      <c r="M191"/>
    </row>
    <row r="192" spans="3:13" x14ac:dyDescent="0.25">
      <c r="C192" s="77"/>
      <c r="F192" s="5"/>
      <c r="G192" s="3"/>
      <c r="H192" s="3"/>
      <c r="I192"/>
      <c r="J192"/>
      <c r="K192" s="3"/>
      <c r="M192"/>
    </row>
    <row r="193" spans="3:13" x14ac:dyDescent="0.25">
      <c r="C193" s="77"/>
      <c r="F193" s="5"/>
      <c r="G193" s="3"/>
      <c r="H193" s="3"/>
      <c r="I193"/>
      <c r="J193"/>
      <c r="K193" s="3"/>
      <c r="M193"/>
    </row>
    <row r="194" spans="3:13" x14ac:dyDescent="0.25">
      <c r="C194" s="77"/>
      <c r="F194" s="5"/>
      <c r="G194" s="3"/>
      <c r="H194" s="3"/>
      <c r="I194"/>
      <c r="J194"/>
      <c r="K194" s="3"/>
      <c r="M194"/>
    </row>
    <row r="195" spans="3:13" x14ac:dyDescent="0.25">
      <c r="C195" s="77"/>
      <c r="F195" s="5"/>
      <c r="G195" s="3"/>
      <c r="H195" s="3"/>
      <c r="I195"/>
      <c r="J195"/>
      <c r="K195" s="3"/>
      <c r="M195"/>
    </row>
    <row r="196" spans="3:13" x14ac:dyDescent="0.25">
      <c r="C196" s="77"/>
      <c r="F196" s="5"/>
      <c r="G196" s="3"/>
      <c r="H196" s="3"/>
      <c r="I196"/>
      <c r="J196"/>
      <c r="K196" s="3"/>
      <c r="M196"/>
    </row>
    <row r="197" spans="3:13" x14ac:dyDescent="0.25">
      <c r="C197" s="77"/>
      <c r="F197" s="5"/>
      <c r="G197" s="3"/>
      <c r="H197" s="3"/>
      <c r="I197"/>
      <c r="J197"/>
      <c r="K197" s="3"/>
      <c r="M197"/>
    </row>
    <row r="198" spans="3:13" x14ac:dyDescent="0.25">
      <c r="C198" s="77"/>
      <c r="F198" s="5"/>
      <c r="G198" s="3"/>
      <c r="H198" s="3"/>
      <c r="I198"/>
      <c r="J198"/>
      <c r="K198" s="3"/>
      <c r="M198"/>
    </row>
    <row r="199" spans="3:13" x14ac:dyDescent="0.25">
      <c r="C199" s="77"/>
      <c r="F199" s="5"/>
      <c r="G199" s="3"/>
      <c r="H199" s="3"/>
      <c r="I199"/>
      <c r="J199"/>
      <c r="K199" s="3"/>
      <c r="M199"/>
    </row>
    <row r="200" spans="3:13" x14ac:dyDescent="0.25">
      <c r="C200" s="77"/>
      <c r="F200" s="5"/>
      <c r="G200" s="3"/>
      <c r="H200" s="3"/>
      <c r="I200"/>
      <c r="J200"/>
      <c r="K200" s="3"/>
      <c r="M200"/>
    </row>
    <row r="201" spans="3:13" x14ac:dyDescent="0.25">
      <c r="C201" s="77"/>
      <c r="F201" s="5"/>
      <c r="G201" s="3"/>
      <c r="H201" s="3"/>
      <c r="I201"/>
      <c r="J201"/>
      <c r="K201" s="3"/>
      <c r="M201"/>
    </row>
    <row r="202" spans="3:13" x14ac:dyDescent="0.25">
      <c r="C202" s="77"/>
      <c r="F202" s="5"/>
      <c r="G202" s="3"/>
      <c r="H202" s="3"/>
      <c r="I202"/>
      <c r="J202"/>
      <c r="K202" s="3"/>
      <c r="M202"/>
    </row>
    <row r="203" spans="3:13" x14ac:dyDescent="0.25">
      <c r="C203" s="77"/>
      <c r="F203" s="5"/>
      <c r="G203" s="3"/>
      <c r="H203" s="3"/>
      <c r="I203"/>
      <c r="J203"/>
      <c r="K203" s="3"/>
      <c r="M203"/>
    </row>
    <row r="204" spans="3:13" x14ac:dyDescent="0.25">
      <c r="C204" s="77"/>
      <c r="F204" s="5"/>
      <c r="G204" s="3"/>
      <c r="H204" s="3"/>
      <c r="I204"/>
      <c r="J204"/>
      <c r="K204" s="3"/>
      <c r="M204"/>
    </row>
    <row r="205" spans="3:13" x14ac:dyDescent="0.25">
      <c r="C205" s="77"/>
      <c r="F205" s="5"/>
      <c r="G205" s="3"/>
      <c r="H205" s="3"/>
      <c r="I205"/>
      <c r="J205"/>
      <c r="K205" s="3"/>
      <c r="M205"/>
    </row>
    <row r="206" spans="3:13" x14ac:dyDescent="0.25">
      <c r="C206" s="77"/>
      <c r="F206" s="5"/>
      <c r="G206" s="3"/>
      <c r="H206" s="3"/>
      <c r="I206"/>
      <c r="J206"/>
      <c r="K206" s="3"/>
      <c r="M206"/>
    </row>
    <row r="207" spans="3:13" x14ac:dyDescent="0.25">
      <c r="C207" s="77"/>
      <c r="F207" s="5"/>
      <c r="G207" s="3"/>
      <c r="H207" s="3"/>
      <c r="I207"/>
      <c r="J207"/>
      <c r="K207" s="3"/>
      <c r="M207"/>
    </row>
    <row r="208" spans="3:13" x14ac:dyDescent="0.25">
      <c r="C208" s="77"/>
      <c r="F208" s="5"/>
      <c r="G208" s="3"/>
      <c r="H208" s="3"/>
      <c r="I208"/>
      <c r="J208"/>
      <c r="K208" s="3"/>
      <c r="M208"/>
    </row>
    <row r="209" spans="3:13" x14ac:dyDescent="0.25">
      <c r="C209" s="77"/>
      <c r="F209" s="5"/>
      <c r="G209" s="3"/>
      <c r="H209" s="3"/>
      <c r="I209"/>
      <c r="J209"/>
      <c r="K209" s="3"/>
      <c r="M209"/>
    </row>
    <row r="210" spans="3:13" x14ac:dyDescent="0.25">
      <c r="C210" s="77"/>
      <c r="F210" s="5"/>
      <c r="G210" s="3"/>
      <c r="H210" s="3"/>
      <c r="I210"/>
      <c r="J210"/>
      <c r="K210" s="3"/>
      <c r="M210"/>
    </row>
    <row r="211" spans="3:13" x14ac:dyDescent="0.25">
      <c r="C211" s="77"/>
      <c r="F211" s="5"/>
      <c r="G211" s="3"/>
      <c r="H211" s="3"/>
      <c r="I211"/>
      <c r="J211"/>
      <c r="K211" s="3"/>
      <c r="M211"/>
    </row>
    <row r="212" spans="3:13" x14ac:dyDescent="0.25">
      <c r="C212" s="77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activeCell="E20" sqref="E20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42738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8.86295360197702E-17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2.658886080593106E-2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7" t="s">
        <v>324</v>
      </c>
      <c r="C3" s="87"/>
      <c r="D3" s="87"/>
      <c r="E3">
        <f>1.5*26/30</f>
        <v>1.3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D4">
        <f>0.75*16.1/20</f>
        <v>0.60375000000000001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78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-1.5915494309189537</v>
      </c>
      <c r="Q5" s="13">
        <f>(P5-P$5)*$G$18*10000</f>
        <v>0</v>
      </c>
    </row>
    <row r="6" spans="1:17" x14ac:dyDescent="0.25">
      <c r="A6" t="s">
        <v>0</v>
      </c>
      <c r="C6" s="78"/>
      <c r="E6">
        <f>25*0.05</f>
        <v>1.25</v>
      </c>
      <c r="G6" s="5" t="s">
        <v>153</v>
      </c>
      <c r="H6" s="4">
        <v>4E+18</v>
      </c>
      <c r="I6" s="3" t="s">
        <v>155</v>
      </c>
      <c r="J6" s="17" t="s">
        <v>97</v>
      </c>
      <c r="K6" s="3">
        <f>C7+5</f>
        <v>605</v>
      </c>
      <c r="M6"/>
      <c r="O6" s="3">
        <f>O5+1</f>
        <v>1</v>
      </c>
      <c r="P6" s="13">
        <f t="shared" ref="P6:P69" si="0">$C$24*O6+$C$21</f>
        <v>-1.5629015411624125</v>
      </c>
      <c r="Q6" s="13">
        <f t="shared" ref="Q6:Q69" si="1">(P6-P$5)*$G$18*10000</f>
        <v>45.000000000000057</v>
      </c>
    </row>
    <row r="7" spans="1:17" x14ac:dyDescent="0.25">
      <c r="B7" t="s">
        <v>1</v>
      </c>
      <c r="C7" s="78">
        <v>600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0"/>
        <v>-1.5342536514058713</v>
      </c>
      <c r="Q7" s="13">
        <f t="shared" si="1"/>
        <v>90.000000000000114</v>
      </c>
    </row>
    <row r="8" spans="1:17" x14ac:dyDescent="0.25">
      <c r="B8" t="s">
        <v>2</v>
      </c>
      <c r="C8" s="78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-1.5056057616493304</v>
      </c>
      <c r="Q8" s="13">
        <f t="shared" si="1"/>
        <v>134.9999999999998</v>
      </c>
    </row>
    <row r="9" spans="1:17" x14ac:dyDescent="0.25">
      <c r="B9" t="s">
        <v>3</v>
      </c>
      <c r="C9" s="78">
        <v>150</v>
      </c>
      <c r="E9" s="14">
        <f>E10*1000000000/I1</f>
        <v>1.3205775822989467</v>
      </c>
      <c r="F9" s="5" t="s">
        <v>209</v>
      </c>
      <c r="G9" s="6">
        <f>SQRT(G8/H6)</f>
        <v>20.868355978610293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-1.4769578718927892</v>
      </c>
      <c r="Q9" s="13">
        <f t="shared" si="1"/>
        <v>179.99999999999986</v>
      </c>
    </row>
    <row r="10" spans="1:17" x14ac:dyDescent="0.25">
      <c r="B10" t="s">
        <v>4</v>
      </c>
      <c r="C10" s="78">
        <v>250</v>
      </c>
      <c r="E10" s="14">
        <f>0.149/E16</f>
        <v>0.39589919937709855</v>
      </c>
      <c r="F10" s="5" t="s">
        <v>156</v>
      </c>
      <c r="G10" s="6">
        <f xml:space="preserve"> 56414.602*SQRT(H6)</f>
        <v>112829204000000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-1.448309982136248</v>
      </c>
      <c r="Q10" s="13">
        <f t="shared" si="1"/>
        <v>224.99999999999991</v>
      </c>
    </row>
    <row r="11" spans="1:17" x14ac:dyDescent="0.25">
      <c r="B11" t="s">
        <v>5</v>
      </c>
      <c r="C11" s="78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-1.4196620923797068</v>
      </c>
      <c r="Q11" s="13">
        <f t="shared" si="1"/>
        <v>269.99999999999994</v>
      </c>
    </row>
    <row r="12" spans="1:17" x14ac:dyDescent="0.25">
      <c r="B12" t="s">
        <v>6</v>
      </c>
      <c r="C12" s="78">
        <v>5</v>
      </c>
      <c r="F12" s="5" t="s">
        <v>160</v>
      </c>
      <c r="G12" s="7">
        <f>SQRT(H6/G8)</f>
        <v>4.7919443248187969E-2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-1.3910142026231656</v>
      </c>
      <c r="Q12" s="13">
        <f t="shared" si="1"/>
        <v>315</v>
      </c>
    </row>
    <row r="13" spans="1:17" x14ac:dyDescent="0.25">
      <c r="B13" t="s">
        <v>7</v>
      </c>
      <c r="C13" s="78">
        <v>2</v>
      </c>
      <c r="F13" s="5" t="s">
        <v>161</v>
      </c>
      <c r="G13" s="6">
        <f>0.0001*G7*SQRT(G8/H6)</f>
        <v>1.6694684782888236E-3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-1.3623663128666244</v>
      </c>
      <c r="Q13" s="13">
        <f t="shared" si="1"/>
        <v>360.00000000000011</v>
      </c>
    </row>
    <row r="14" spans="1:17" x14ac:dyDescent="0.25">
      <c r="B14" t="s">
        <v>8</v>
      </c>
      <c r="C14" s="21">
        <f>G24</f>
        <v>2.6831924746576368</v>
      </c>
      <c r="D14" t="s">
        <v>139</v>
      </c>
      <c r="E14" s="14">
        <f>0.5*G14</f>
        <v>8.3473423914441174</v>
      </c>
      <c r="F14" s="5" t="s">
        <v>181</v>
      </c>
      <c r="G14" s="6">
        <f>10000*G13</f>
        <v>16.694684782888235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-1.3337184231100832</v>
      </c>
      <c r="Q14" s="13">
        <f t="shared" si="1"/>
        <v>405.00000000000017</v>
      </c>
    </row>
    <row r="15" spans="1:17" x14ac:dyDescent="0.25">
      <c r="B15" t="s">
        <v>9</v>
      </c>
      <c r="C15" s="78">
        <v>5</v>
      </c>
      <c r="D15" t="s">
        <v>138</v>
      </c>
      <c r="E15" s="14">
        <f>E14/16.7</f>
        <v>0.49984086176312081</v>
      </c>
      <c r="F15" s="5" t="s">
        <v>190</v>
      </c>
      <c r="G15" s="6">
        <f>2*PI()*1000000000000000/G10</f>
        <v>55.687579850156403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-1.305070533353542</v>
      </c>
      <c r="Q15" s="13">
        <f t="shared" si="1"/>
        <v>450.00000000000017</v>
      </c>
    </row>
    <row r="16" spans="1:17" x14ac:dyDescent="0.25">
      <c r="B16" t="s">
        <v>10</v>
      </c>
      <c r="C16" s="78">
        <v>20</v>
      </c>
      <c r="D16" t="s">
        <v>255</v>
      </c>
      <c r="E16" s="14">
        <f>0.0001*G16</f>
        <v>0.37635842718155077</v>
      </c>
      <c r="F16" s="5" t="s">
        <v>163</v>
      </c>
      <c r="G16" s="6">
        <f>2*PI()/G13</f>
        <v>3763.5842718155077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-1.276422643597001</v>
      </c>
      <c r="Q16" s="13">
        <f t="shared" si="1"/>
        <v>494.99999999999989</v>
      </c>
    </row>
    <row r="17" spans="2:17" x14ac:dyDescent="0.25">
      <c r="B17" t="s">
        <v>11</v>
      </c>
      <c r="C17" s="22">
        <f>G20</f>
        <v>7.5271685436310154</v>
      </c>
      <c r="D17" t="s">
        <v>140</v>
      </c>
      <c r="E17">
        <f>1/G17</f>
        <v>0.05</v>
      </c>
      <c r="F17" s="5" t="s">
        <v>165</v>
      </c>
      <c r="G17" s="3">
        <v>20</v>
      </c>
      <c r="H17" s="3" t="s">
        <v>166</v>
      </c>
      <c r="I17" s="1">
        <f>100*I16*G16</f>
        <v>-93.096020547628399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-1.2477747538404598</v>
      </c>
      <c r="Q17" s="13">
        <f t="shared" si="1"/>
        <v>539.99999999999989</v>
      </c>
    </row>
    <row r="18" spans="2:17" x14ac:dyDescent="0.25">
      <c r="B18" t="s">
        <v>110</v>
      </c>
      <c r="C18" s="78">
        <v>7</v>
      </c>
      <c r="D18" t="s">
        <v>141</v>
      </c>
      <c r="E18" s="14">
        <f>10000*G18</f>
        <v>1570.7963267948962</v>
      </c>
      <c r="F18" s="5" t="s">
        <v>195</v>
      </c>
      <c r="G18" s="3">
        <f>0.0001*PI()*G17*G17/G7</f>
        <v>0.15707963267948963</v>
      </c>
      <c r="H18" s="3" t="s">
        <v>162</v>
      </c>
      <c r="I18">
        <f>0.5*100/G18</f>
        <v>318.30988618379075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-1.2191268640839186</v>
      </c>
      <c r="Q18" s="13">
        <f t="shared" si="1"/>
        <v>585</v>
      </c>
    </row>
    <row r="19" spans="2:17" x14ac:dyDescent="0.25">
      <c r="B19" t="s">
        <v>12</v>
      </c>
      <c r="C19" s="23">
        <v>0.60375000000000001</v>
      </c>
      <c r="D19" t="s">
        <v>142</v>
      </c>
      <c r="E19">
        <f>2*C19</f>
        <v>1.2075</v>
      </c>
      <c r="F19" s="5" t="s">
        <v>196</v>
      </c>
      <c r="G19" s="6">
        <f>G18*G16</f>
        <v>591.18243497508445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-1.1904789743273774</v>
      </c>
      <c r="Q19" s="13">
        <f t="shared" si="1"/>
        <v>630</v>
      </c>
    </row>
    <row r="20" spans="2:17" x14ac:dyDescent="0.25">
      <c r="B20" t="s">
        <v>254</v>
      </c>
      <c r="C20" s="78">
        <v>2</v>
      </c>
      <c r="D20" t="s">
        <v>143</v>
      </c>
      <c r="E20">
        <v>7.1294579999999996</v>
      </c>
      <c r="F20" s="5" t="s">
        <v>11</v>
      </c>
      <c r="G20" s="7">
        <f>0.0001*G17*G16</f>
        <v>7.5271685436310154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-1.1618310845708362</v>
      </c>
      <c r="Q20" s="13">
        <f t="shared" si="1"/>
        <v>675</v>
      </c>
    </row>
    <row r="21" spans="2:17" x14ac:dyDescent="0.25">
      <c r="B21" t="s">
        <v>13</v>
      </c>
      <c r="C21" s="22">
        <f>-0.25/G$18</f>
        <v>-1.5915494309189537</v>
      </c>
      <c r="D21" t="s">
        <v>144</v>
      </c>
      <c r="E21" s="20">
        <f>10000*E20/G16</f>
        <v>18.943266538205709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-1.1331831948142952</v>
      </c>
      <c r="Q21" s="13">
        <f t="shared" si="1"/>
        <v>719.99999999999977</v>
      </c>
    </row>
    <row r="22" spans="2:17" x14ac:dyDescent="0.25">
      <c r="B22" t="s">
        <v>14</v>
      </c>
      <c r="C22" s="78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-1.104535305057754</v>
      </c>
      <c r="Q22" s="13">
        <f t="shared" si="1"/>
        <v>764.99999999999989</v>
      </c>
    </row>
    <row r="23" spans="2:17" x14ac:dyDescent="0.25">
      <c r="B23" t="s">
        <v>15</v>
      </c>
      <c r="C23" s="22">
        <f>0.2/G$18</f>
        <v>1.273239544735163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-1.0758874153012128</v>
      </c>
      <c r="Q23" s="13">
        <f t="shared" si="1"/>
        <v>809.99999999999989</v>
      </c>
    </row>
    <row r="24" spans="2:17" x14ac:dyDescent="0.25">
      <c r="B24" t="s">
        <v>16</v>
      </c>
      <c r="C24" s="78">
        <f>(C23-C21)/100</f>
        <v>2.8647889756541166E-2</v>
      </c>
      <c r="D24" t="s">
        <v>146</v>
      </c>
      <c r="F24" s="5" t="s">
        <v>8</v>
      </c>
      <c r="G24" s="11">
        <f>0.000000000000001*G22*G10</f>
        <v>2.6831924746576368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-1.0472395255446716</v>
      </c>
      <c r="Q24" s="13">
        <f t="shared" si="1"/>
        <v>854.99999999999989</v>
      </c>
    </row>
    <row r="25" spans="2:17" x14ac:dyDescent="0.25">
      <c r="B25" t="s">
        <v>17</v>
      </c>
      <c r="C25" s="78">
        <v>300</v>
      </c>
      <c r="E25">
        <f>G25*375/600</f>
        <v>17.301995296661023</v>
      </c>
      <c r="F25" s="5" t="s">
        <v>175</v>
      </c>
      <c r="G25" s="11">
        <f>C14+C15+C16</f>
        <v>27.683192474657638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-1.0185916357881304</v>
      </c>
      <c r="Q25" s="13">
        <f t="shared" si="1"/>
        <v>900</v>
      </c>
    </row>
    <row r="26" spans="2:17" x14ac:dyDescent="0.25">
      <c r="B26" t="s">
        <v>18</v>
      </c>
      <c r="C26" s="78">
        <v>6</v>
      </c>
      <c r="E26" s="12"/>
      <c r="F26" s="5" t="s">
        <v>178</v>
      </c>
      <c r="G26" s="11">
        <f>G20*C18</f>
        <v>52.69017980541711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-0.9899437460315893</v>
      </c>
      <c r="Q26" s="13">
        <f t="shared" si="1"/>
        <v>944.99999999999989</v>
      </c>
    </row>
    <row r="27" spans="2:17" x14ac:dyDescent="0.25">
      <c r="B27" t="s">
        <v>19</v>
      </c>
      <c r="C27" s="78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73.555394207510602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-0.9612958562750481</v>
      </c>
      <c r="Q27" s="13">
        <f t="shared" si="1"/>
        <v>989.99999999999989</v>
      </c>
    </row>
    <row r="28" spans="2:17" x14ac:dyDescent="0.25">
      <c r="B28" t="s">
        <v>20</v>
      </c>
      <c r="C28" s="78">
        <v>20</v>
      </c>
      <c r="D28">
        <f>2.142311</f>
        <v>2.1423109999999999</v>
      </c>
      <c r="F28" s="5" t="s">
        <v>179</v>
      </c>
      <c r="G28" s="6">
        <f>G26*10000/G16</f>
        <v>140.00000000000003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-0.9326479665185069</v>
      </c>
      <c r="Q28" s="13">
        <f t="shared" si="1"/>
        <v>1035</v>
      </c>
    </row>
    <row r="29" spans="2:17" x14ac:dyDescent="0.25">
      <c r="B29" t="s">
        <v>21</v>
      </c>
      <c r="C29" s="78">
        <v>100</v>
      </c>
      <c r="D29">
        <f>D27/D28</f>
        <v>1.0559008472626059</v>
      </c>
      <c r="E29">
        <f>C14/G29</f>
        <v>58.15497928096142</v>
      </c>
      <c r="F29" s="5" t="s">
        <v>177</v>
      </c>
      <c r="G29" s="3">
        <f>G25/C7</f>
        <v>4.6138654124429399E-2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-0.90400007676196581</v>
      </c>
      <c r="Q29" s="13">
        <f t="shared" si="1"/>
        <v>1079.9999999999998</v>
      </c>
    </row>
    <row r="30" spans="2:17" x14ac:dyDescent="0.25">
      <c r="B30" t="s">
        <v>22</v>
      </c>
      <c r="C30" s="22">
        <f>G12</f>
        <v>4.7919443248187969E-2</v>
      </c>
      <c r="D30" t="s">
        <v>147</v>
      </c>
      <c r="F30" s="5" t="s">
        <v>180</v>
      </c>
      <c r="G30" s="6">
        <f>10000*G29/G16</f>
        <v>0.12259232367918434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-0.87535218700542461</v>
      </c>
      <c r="Q30" s="13">
        <f t="shared" si="1"/>
        <v>1125</v>
      </c>
    </row>
    <row r="31" spans="2:17" x14ac:dyDescent="0.25">
      <c r="B31" t="s">
        <v>23</v>
      </c>
      <c r="C31" s="78">
        <v>2</v>
      </c>
      <c r="D31">
        <f>D29^2</f>
        <v>1.1149265992498891</v>
      </c>
      <c r="E31" s="8">
        <f>C17/G31</f>
        <v>57.142857142857139</v>
      </c>
      <c r="F31" s="5" t="s">
        <v>182</v>
      </c>
      <c r="G31" s="3">
        <f>G26/C8</f>
        <v>0.13172544951354279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-0.84670429724888341</v>
      </c>
      <c r="Q31" s="13">
        <f t="shared" si="1"/>
        <v>1170</v>
      </c>
    </row>
    <row r="32" spans="2:17" x14ac:dyDescent="0.25">
      <c r="B32" t="s">
        <v>24</v>
      </c>
      <c r="C32" s="78">
        <v>0.5</v>
      </c>
      <c r="D32">
        <f>D31*0.6</f>
        <v>0.66895595954993348</v>
      </c>
      <c r="F32" s="5" t="s">
        <v>183</v>
      </c>
      <c r="G32" s="6">
        <f>G31*10000/G16</f>
        <v>0.35000000000000003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-0.81805640749234221</v>
      </c>
      <c r="Q32" s="13">
        <f t="shared" si="1"/>
        <v>1215</v>
      </c>
    </row>
    <row r="33" spans="2:17" x14ac:dyDescent="0.25">
      <c r="B33" t="s">
        <v>25</v>
      </c>
      <c r="C33" s="78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-0.78940851773580112</v>
      </c>
      <c r="Q33" s="13">
        <f t="shared" si="1"/>
        <v>1260</v>
      </c>
    </row>
    <row r="34" spans="2:17" x14ac:dyDescent="0.25">
      <c r="B34" t="s">
        <v>26</v>
      </c>
      <c r="C34" s="78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-0.76076062797925992</v>
      </c>
      <c r="Q34" s="13">
        <f t="shared" si="1"/>
        <v>1305</v>
      </c>
    </row>
    <row r="35" spans="2:17" x14ac:dyDescent="0.25">
      <c r="B35" t="s">
        <v>27</v>
      </c>
      <c r="C35" s="78">
        <v>3</v>
      </c>
      <c r="D35" t="s">
        <v>129</v>
      </c>
      <c r="F35" s="5" t="s">
        <v>187</v>
      </c>
      <c r="G35" s="13">
        <f>G22*G17*G17*0.000000000000000001*G33/(225.38*225.38)</f>
        <v>0.90060091454078139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-0.73211273822271872</v>
      </c>
      <c r="Q35" s="13">
        <f t="shared" si="1"/>
        <v>1350</v>
      </c>
    </row>
    <row r="36" spans="2:17" x14ac:dyDescent="0.25">
      <c r="B36" t="s">
        <v>28</v>
      </c>
      <c r="C36" s="78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-0.70346484846617763</v>
      </c>
      <c r="Q36" s="13">
        <f t="shared" si="1"/>
        <v>1394.9999999999998</v>
      </c>
    </row>
    <row r="37" spans="2:17" x14ac:dyDescent="0.25">
      <c r="B37" t="s">
        <v>29</v>
      </c>
      <c r="C37" s="78">
        <v>10</v>
      </c>
      <c r="F37" s="5" t="s">
        <v>192</v>
      </c>
      <c r="G37" s="6">
        <f>0.000000000000001*G36*G10</f>
        <v>11.2829204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-0.67481695870963643</v>
      </c>
      <c r="Q37" s="13">
        <f t="shared" si="1"/>
        <v>1440</v>
      </c>
    </row>
    <row r="38" spans="2:17" x14ac:dyDescent="0.25">
      <c r="B38" t="s">
        <v>30</v>
      </c>
      <c r="C38" s="78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-0.64616906895309523</v>
      </c>
      <c r="Q38" s="13">
        <f t="shared" si="1"/>
        <v>1485</v>
      </c>
    </row>
    <row r="39" spans="2:17" x14ac:dyDescent="0.25">
      <c r="B39" t="s">
        <v>31</v>
      </c>
      <c r="C39" s="78">
        <v>0.125</v>
      </c>
      <c r="F39" s="5" t="s">
        <v>194</v>
      </c>
      <c r="G39" s="6">
        <f>0.0001*G38*G16</f>
        <v>3.7635842718155077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-0.61752117919655414</v>
      </c>
      <c r="Q39" s="13">
        <f t="shared" si="1"/>
        <v>1530</v>
      </c>
    </row>
    <row r="40" spans="2:17" x14ac:dyDescent="0.25">
      <c r="B40" t="s">
        <v>32</v>
      </c>
      <c r="C40" s="78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-0.58887328944001283</v>
      </c>
      <c r="Q40" s="13">
        <f t="shared" si="1"/>
        <v>1575</v>
      </c>
    </row>
    <row r="41" spans="2:17" x14ac:dyDescent="0.25">
      <c r="B41" t="s">
        <v>33</v>
      </c>
      <c r="C41" s="78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-0.56022539968347185</v>
      </c>
      <c r="Q41" s="13">
        <f t="shared" si="1"/>
        <v>1619.9999999999998</v>
      </c>
    </row>
    <row r="42" spans="2:17" x14ac:dyDescent="0.25">
      <c r="B42" t="s">
        <v>34</v>
      </c>
      <c r="C42" s="78">
        <v>1000</v>
      </c>
      <c r="F42" s="5" t="s">
        <v>201</v>
      </c>
      <c r="G42" s="6">
        <f>2*G41*G41*(0.5*PI()+C15-C89)/G19</f>
        <v>-6.8509670813930779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-0.53157750992693065</v>
      </c>
      <c r="Q42" s="13">
        <f t="shared" si="1"/>
        <v>1664.9999999999998</v>
      </c>
    </row>
    <row r="43" spans="2:17" x14ac:dyDescent="0.25">
      <c r="B43" t="s">
        <v>35</v>
      </c>
      <c r="C43" s="78">
        <v>1</v>
      </c>
      <c r="F43" s="5" t="s">
        <v>203</v>
      </c>
      <c r="G43" s="6">
        <f>0.5*G41*G41*G13</f>
        <v>0.1258755479916287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-0.50292962017038945</v>
      </c>
      <c r="Q43" s="13">
        <f t="shared" si="1"/>
        <v>1709.9999999999998</v>
      </c>
    </row>
    <row r="44" spans="2:17" x14ac:dyDescent="0.25">
      <c r="B44" t="s">
        <v>36</v>
      </c>
      <c r="C44" s="78">
        <v>1</v>
      </c>
      <c r="F44" s="5" t="s">
        <v>203</v>
      </c>
      <c r="G44" s="6">
        <f>G43/G18</f>
        <v>0.80134862709075239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-0.47428173041384825</v>
      </c>
      <c r="Q44" s="13">
        <f t="shared" si="1"/>
        <v>1755</v>
      </c>
    </row>
    <row r="45" spans="2:17" x14ac:dyDescent="0.25">
      <c r="B45" t="s">
        <v>213</v>
      </c>
      <c r="C45" s="78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-0.44563384065730705</v>
      </c>
      <c r="Q45" s="13">
        <f t="shared" si="1"/>
        <v>1800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0.8013486270907525</v>
      </c>
      <c r="H46" s="3"/>
      <c r="I46"/>
      <c r="J46"/>
      <c r="K46" s="3"/>
      <c r="M46"/>
      <c r="O46" s="3">
        <f t="shared" si="2"/>
        <v>41</v>
      </c>
      <c r="P46" s="13">
        <f t="shared" si="0"/>
        <v>-0.41698595090076584</v>
      </c>
      <c r="Q46" s="13">
        <f t="shared" si="1"/>
        <v>1845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-0.38833806114422487</v>
      </c>
      <c r="Q47" s="13">
        <f t="shared" si="1"/>
        <v>1889.9999999999998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-0.35969017138768367</v>
      </c>
      <c r="Q48" s="13">
        <f t="shared" si="1"/>
        <v>1934.9999999999998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-0.33104228163114247</v>
      </c>
      <c r="Q49" s="13">
        <f t="shared" si="1"/>
        <v>1979.9999999999998</v>
      </c>
    </row>
    <row r="50" spans="1:17" x14ac:dyDescent="0.25">
      <c r="B50" t="s">
        <v>37</v>
      </c>
      <c r="C50" s="78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-0.30239439187460126</v>
      </c>
      <c r="Q50" s="13">
        <f t="shared" si="1"/>
        <v>2024.9999999999998</v>
      </c>
    </row>
    <row r="51" spans="1:17" x14ac:dyDescent="0.25">
      <c r="B51" t="s">
        <v>38</v>
      </c>
      <c r="C51" s="78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-0.27374650211806006</v>
      </c>
      <c r="Q51" s="13">
        <f t="shared" si="1"/>
        <v>2070</v>
      </c>
    </row>
    <row r="52" spans="1:17" x14ac:dyDescent="0.25">
      <c r="B52" t="s">
        <v>39</v>
      </c>
      <c r="C52" s="78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-0.24509861236151886</v>
      </c>
      <c r="Q52" s="13">
        <f t="shared" si="1"/>
        <v>2115</v>
      </c>
    </row>
    <row r="53" spans="1:17" x14ac:dyDescent="0.25">
      <c r="B53" t="s">
        <v>40</v>
      </c>
      <c r="C53" s="78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-0.21645072260497789</v>
      </c>
      <c r="Q53" s="13">
        <f t="shared" si="1"/>
        <v>2159.9999999999995</v>
      </c>
    </row>
    <row r="54" spans="1:17" x14ac:dyDescent="0.25">
      <c r="B54" t="s">
        <v>41</v>
      </c>
      <c r="C54" s="78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-0.18780283284843668</v>
      </c>
      <c r="Q54" s="13">
        <f t="shared" si="1"/>
        <v>2204.9999999999995</v>
      </c>
    </row>
    <row r="55" spans="1:17" x14ac:dyDescent="0.25">
      <c r="B55" t="s">
        <v>42</v>
      </c>
      <c r="C55" s="78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-0.15915494309189548</v>
      </c>
      <c r="Q55" s="13">
        <f t="shared" si="1"/>
        <v>2250</v>
      </c>
    </row>
    <row r="56" spans="1:17" x14ac:dyDescent="0.25">
      <c r="A56" t="s">
        <v>43</v>
      </c>
      <c r="C56" s="78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-0.13050705333535428</v>
      </c>
      <c r="Q56" s="13">
        <f t="shared" si="1"/>
        <v>2295</v>
      </c>
    </row>
    <row r="57" spans="1:17" x14ac:dyDescent="0.25">
      <c r="C57" s="78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-0.10185916357881308</v>
      </c>
      <c r="Q57" s="13">
        <f t="shared" si="1"/>
        <v>2340</v>
      </c>
    </row>
    <row r="58" spans="1:17" x14ac:dyDescent="0.25">
      <c r="A58" t="s">
        <v>44</v>
      </c>
      <c r="C58" s="78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-7.3211273822271883E-2</v>
      </c>
      <c r="Q58" s="13">
        <f t="shared" si="1"/>
        <v>2385</v>
      </c>
    </row>
    <row r="59" spans="1:17" x14ac:dyDescent="0.25">
      <c r="B59" t="s">
        <v>45</v>
      </c>
      <c r="C59" s="78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-4.4563384065730682E-2</v>
      </c>
      <c r="Q59" s="13">
        <f t="shared" si="1"/>
        <v>2430</v>
      </c>
    </row>
    <row r="60" spans="1:17" x14ac:dyDescent="0.25">
      <c r="B60" t="s">
        <v>210</v>
      </c>
      <c r="C60" s="78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-1.5915494309189704E-2</v>
      </c>
      <c r="Q60" s="13">
        <f t="shared" si="1"/>
        <v>2474.9999999999995</v>
      </c>
    </row>
    <row r="61" spans="1:17" x14ac:dyDescent="0.25">
      <c r="B61" t="s">
        <v>48</v>
      </c>
      <c r="C61" s="78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1.2732395447351497E-2</v>
      </c>
      <c r="Q61" s="13">
        <f t="shared" si="1"/>
        <v>2520</v>
      </c>
    </row>
    <row r="62" spans="1:17" x14ac:dyDescent="0.25">
      <c r="B62" t="s">
        <v>214</v>
      </c>
      <c r="C62" s="78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4.1380285203892697E-2</v>
      </c>
      <c r="Q62" s="13">
        <f t="shared" si="1"/>
        <v>2565</v>
      </c>
    </row>
    <row r="63" spans="1:17" x14ac:dyDescent="0.25">
      <c r="B63" t="s">
        <v>49</v>
      </c>
      <c r="C63" s="78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7.0028174960433898E-2</v>
      </c>
      <c r="Q63" s="13">
        <f t="shared" si="1"/>
        <v>2610</v>
      </c>
    </row>
    <row r="64" spans="1:17" x14ac:dyDescent="0.25">
      <c r="B64" t="s">
        <v>50</v>
      </c>
      <c r="C64" s="78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9.8676064716975098E-2</v>
      </c>
      <c r="Q64" s="13">
        <f t="shared" si="1"/>
        <v>2655</v>
      </c>
    </row>
    <row r="65" spans="1:17" x14ac:dyDescent="0.25">
      <c r="B65" t="s">
        <v>51</v>
      </c>
      <c r="C65" s="78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0.1273239544735163</v>
      </c>
      <c r="Q65" s="13">
        <f t="shared" si="1"/>
        <v>2700</v>
      </c>
    </row>
    <row r="66" spans="1:17" x14ac:dyDescent="0.25">
      <c r="B66" t="s">
        <v>52</v>
      </c>
      <c r="C66" s="78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0.15597184423005728</v>
      </c>
      <c r="Q66" s="13">
        <f t="shared" si="1"/>
        <v>2744.9999999999995</v>
      </c>
    </row>
    <row r="67" spans="1:17" x14ac:dyDescent="0.25">
      <c r="B67" t="s">
        <v>53</v>
      </c>
      <c r="C67" s="78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0.18461973398659848</v>
      </c>
      <c r="Q67" s="13">
        <f t="shared" si="1"/>
        <v>2789.9999999999995</v>
      </c>
    </row>
    <row r="68" spans="1:17" x14ac:dyDescent="0.25">
      <c r="B68" t="s">
        <v>54</v>
      </c>
      <c r="C68" s="78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0.21326762374313968</v>
      </c>
      <c r="Q68" s="13">
        <f t="shared" si="1"/>
        <v>2834.9999999999995</v>
      </c>
    </row>
    <row r="69" spans="1:17" x14ac:dyDescent="0.25">
      <c r="B69" t="s">
        <v>55</v>
      </c>
      <c r="C69" s="78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0.24191551349968088</v>
      </c>
      <c r="Q69" s="13">
        <f t="shared" si="1"/>
        <v>2880</v>
      </c>
    </row>
    <row r="70" spans="1:17" x14ac:dyDescent="0.25">
      <c r="B70" t="s">
        <v>56</v>
      </c>
      <c r="C70" s="78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0.27056340325622208</v>
      </c>
      <c r="Q70" s="13">
        <f t="shared" ref="Q70:Q133" si="4">(P70-P$5)*$G$18*10000</f>
        <v>2925</v>
      </c>
    </row>
    <row r="71" spans="1:17" x14ac:dyDescent="0.25">
      <c r="B71" t="s">
        <v>57</v>
      </c>
      <c r="C71" s="78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0.29921129301276328</v>
      </c>
      <c r="Q71" s="13">
        <f t="shared" si="4"/>
        <v>2970</v>
      </c>
    </row>
    <row r="72" spans="1:17" x14ac:dyDescent="0.25">
      <c r="B72" t="s">
        <v>58</v>
      </c>
      <c r="C72" s="78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0.32785918276930448</v>
      </c>
      <c r="Q72" s="13">
        <f t="shared" si="4"/>
        <v>3015</v>
      </c>
    </row>
    <row r="73" spans="1:17" x14ac:dyDescent="0.25">
      <c r="B73" t="s">
        <v>59</v>
      </c>
      <c r="C73" s="78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0.35650707252584546</v>
      </c>
      <c r="Q73" s="13">
        <f t="shared" si="4"/>
        <v>3060</v>
      </c>
    </row>
    <row r="74" spans="1:17" x14ac:dyDescent="0.25">
      <c r="A74" t="s">
        <v>43</v>
      </c>
      <c r="C74" s="78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0.38515496228238666</v>
      </c>
      <c r="Q74" s="13">
        <f t="shared" si="4"/>
        <v>3105</v>
      </c>
    </row>
    <row r="75" spans="1:17" x14ac:dyDescent="0.25">
      <c r="C75" s="78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0.41380285203892808</v>
      </c>
      <c r="Q75" s="13">
        <f t="shared" si="4"/>
        <v>3150</v>
      </c>
    </row>
    <row r="76" spans="1:17" x14ac:dyDescent="0.25">
      <c r="A76" t="s">
        <v>60</v>
      </c>
      <c r="C76" s="78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0.44245074179546884</v>
      </c>
      <c r="Q76" s="13">
        <f t="shared" si="4"/>
        <v>3194.9999999999995</v>
      </c>
    </row>
    <row r="77" spans="1:17" x14ac:dyDescent="0.25">
      <c r="B77" t="s">
        <v>136</v>
      </c>
      <c r="C77" s="78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0.47109863155201004</v>
      </c>
      <c r="Q77" s="13">
        <f t="shared" si="4"/>
        <v>3239.9999999999995</v>
      </c>
    </row>
    <row r="78" spans="1:17" x14ac:dyDescent="0.25">
      <c r="A78" t="s">
        <v>43</v>
      </c>
      <c r="C78" s="78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0.49974652130855124</v>
      </c>
      <c r="Q78" s="13">
        <f t="shared" si="4"/>
        <v>3284.9999999999995</v>
      </c>
    </row>
    <row r="79" spans="1:17" x14ac:dyDescent="0.25">
      <c r="C79" s="78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0.52839441106509244</v>
      </c>
      <c r="Q79" s="13">
        <f t="shared" si="4"/>
        <v>3329.9999999999995</v>
      </c>
    </row>
    <row r="80" spans="1:17" x14ac:dyDescent="0.25">
      <c r="A80" t="s">
        <v>61</v>
      </c>
      <c r="C80" s="78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0.55704230082163364</v>
      </c>
      <c r="Q80" s="13">
        <f t="shared" si="4"/>
        <v>3374.9999999999995</v>
      </c>
    </row>
    <row r="81" spans="2:17" x14ac:dyDescent="0.25">
      <c r="C81" s="78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0.58569019057817484</v>
      </c>
      <c r="Q81" s="13">
        <f t="shared" si="4"/>
        <v>3419.9999999999995</v>
      </c>
    </row>
    <row r="82" spans="2:17" x14ac:dyDescent="0.25">
      <c r="B82" t="s">
        <v>62</v>
      </c>
      <c r="C82" s="78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0.61433808033471604</v>
      </c>
      <c r="Q82" s="13">
        <f t="shared" si="4"/>
        <v>3464.9999999999995</v>
      </c>
    </row>
    <row r="83" spans="2:17" x14ac:dyDescent="0.25">
      <c r="B83" t="s">
        <v>63</v>
      </c>
      <c r="C83" s="78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0.64298597009125724</v>
      </c>
      <c r="Q83" s="13">
        <f t="shared" si="4"/>
        <v>3510</v>
      </c>
    </row>
    <row r="84" spans="2:17" x14ac:dyDescent="0.25">
      <c r="B84" t="s">
        <v>64</v>
      </c>
      <c r="C84" s="78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0.67163385984779844</v>
      </c>
      <c r="Q84" s="13">
        <f t="shared" si="4"/>
        <v>3555</v>
      </c>
    </row>
    <row r="85" spans="2:17" x14ac:dyDescent="0.25">
      <c r="B85" t="s">
        <v>65</v>
      </c>
      <c r="C85" s="78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0.70028174960433964</v>
      </c>
      <c r="Q85" s="13">
        <f t="shared" si="4"/>
        <v>3600</v>
      </c>
    </row>
    <row r="86" spans="2:17" x14ac:dyDescent="0.25">
      <c r="B86" t="s">
        <v>211</v>
      </c>
      <c r="C86" s="78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0.72892963936088084</v>
      </c>
      <c r="Q86" s="13">
        <f t="shared" si="4"/>
        <v>3645</v>
      </c>
    </row>
    <row r="87" spans="2:17" x14ac:dyDescent="0.25">
      <c r="B87" t="s">
        <v>66</v>
      </c>
      <c r="C87" s="78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0.75757752911742204</v>
      </c>
      <c r="Q87" s="13">
        <f t="shared" si="4"/>
        <v>3690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0.78622541887396324</v>
      </c>
      <c r="Q88" s="13">
        <f t="shared" si="4"/>
        <v>3735</v>
      </c>
    </row>
    <row r="89" spans="2:17" x14ac:dyDescent="0.25">
      <c r="B89" t="s">
        <v>68</v>
      </c>
      <c r="C89" s="78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0.814873308630504</v>
      </c>
      <c r="Q89" s="13">
        <f t="shared" si="4"/>
        <v>3779.9999999999995</v>
      </c>
    </row>
    <row r="90" spans="2:17" x14ac:dyDescent="0.25">
      <c r="B90" t="s">
        <v>69</v>
      </c>
      <c r="C90" s="78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0.8435211983870452</v>
      </c>
      <c r="Q90" s="13">
        <f t="shared" si="4"/>
        <v>3824.9999999999995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0.8721690881435864</v>
      </c>
      <c r="Q91" s="13">
        <f t="shared" si="4"/>
        <v>3869.9999999999995</v>
      </c>
    </row>
    <row r="92" spans="2:17" x14ac:dyDescent="0.25">
      <c r="B92" t="s">
        <v>71</v>
      </c>
      <c r="C92" s="78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0.9008169779001276</v>
      </c>
      <c r="Q92" s="13">
        <f t="shared" si="4"/>
        <v>3914.9999999999995</v>
      </c>
    </row>
    <row r="93" spans="2:17" x14ac:dyDescent="0.25">
      <c r="B93" t="s">
        <v>72</v>
      </c>
      <c r="C93" s="78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0.9294648676566688</v>
      </c>
      <c r="Q93" s="13">
        <f t="shared" si="4"/>
        <v>3959.9999999999995</v>
      </c>
    </row>
    <row r="94" spans="2:17" x14ac:dyDescent="0.25">
      <c r="B94" t="s">
        <v>191</v>
      </c>
      <c r="C94" s="78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0.95811275741321</v>
      </c>
      <c r="Q94" s="13">
        <f t="shared" si="4"/>
        <v>4004.9999999999995</v>
      </c>
    </row>
    <row r="95" spans="2:17" x14ac:dyDescent="0.25">
      <c r="B95" t="s">
        <v>73</v>
      </c>
      <c r="C95" s="21">
        <f>C21</f>
        <v>-1.5915494309189537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0.9867606471697512</v>
      </c>
      <c r="Q95" s="13">
        <f t="shared" si="4"/>
        <v>4049.9999999999995</v>
      </c>
    </row>
    <row r="96" spans="2:17" x14ac:dyDescent="0.25">
      <c r="B96" t="s">
        <v>215</v>
      </c>
      <c r="C96" s="78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1.0154085369262924</v>
      </c>
      <c r="Q96" s="13">
        <f t="shared" si="4"/>
        <v>4094.9999999999995</v>
      </c>
    </row>
    <row r="97" spans="2:17" x14ac:dyDescent="0.25">
      <c r="B97" t="s">
        <v>216</v>
      </c>
      <c r="C97" s="78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1.0440564266828336</v>
      </c>
      <c r="Q97" s="13">
        <f t="shared" si="4"/>
        <v>4140</v>
      </c>
    </row>
    <row r="98" spans="2:17" x14ac:dyDescent="0.25">
      <c r="B98" t="s">
        <v>74</v>
      </c>
      <c r="C98" s="78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1.0727043164393748</v>
      </c>
      <c r="Q98" s="13">
        <f t="shared" si="4"/>
        <v>4185</v>
      </c>
    </row>
    <row r="99" spans="2:17" x14ac:dyDescent="0.25">
      <c r="B99" t="s">
        <v>75</v>
      </c>
      <c r="C99" s="78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1.101352206195916</v>
      </c>
      <c r="Q99" s="13">
        <f t="shared" si="4"/>
        <v>4230</v>
      </c>
    </row>
    <row r="100" spans="2:17" x14ac:dyDescent="0.25">
      <c r="B100" t="s">
        <v>76</v>
      </c>
      <c r="C100" s="78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1.1300000959524572</v>
      </c>
      <c r="Q100" s="13">
        <f t="shared" si="4"/>
        <v>4275</v>
      </c>
    </row>
    <row r="101" spans="2:17" x14ac:dyDescent="0.25">
      <c r="B101" t="s">
        <v>77</v>
      </c>
      <c r="C101" s="78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1.158647985708998</v>
      </c>
      <c r="Q101" s="13">
        <f t="shared" si="4"/>
        <v>4319.9999999999991</v>
      </c>
    </row>
    <row r="102" spans="2:17" x14ac:dyDescent="0.25">
      <c r="B102" t="s">
        <v>78</v>
      </c>
      <c r="C102" s="78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1.1872958754655392</v>
      </c>
      <c r="Q102" s="13">
        <f t="shared" si="4"/>
        <v>4364.9999999999991</v>
      </c>
    </row>
    <row r="103" spans="2:17" x14ac:dyDescent="0.25">
      <c r="B103" t="s">
        <v>79</v>
      </c>
      <c r="C103" s="78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1.2159437652220804</v>
      </c>
      <c r="Q103" s="13">
        <f t="shared" si="4"/>
        <v>4409.9999999999991</v>
      </c>
    </row>
    <row r="104" spans="2:17" x14ac:dyDescent="0.25">
      <c r="B104" t="s">
        <v>80</v>
      </c>
      <c r="C104" s="24">
        <f>C95</f>
        <v>-1.5915494309189537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1.2445916549786216</v>
      </c>
      <c r="Q104" s="13">
        <f t="shared" si="4"/>
        <v>4454.9999999999991</v>
      </c>
    </row>
    <row r="105" spans="2:17" x14ac:dyDescent="0.25">
      <c r="B105" t="s">
        <v>81</v>
      </c>
      <c r="C105" s="78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1.2732395447351628</v>
      </c>
      <c r="Q105" s="13">
        <f t="shared" si="4"/>
        <v>4500</v>
      </c>
    </row>
    <row r="106" spans="2:17" x14ac:dyDescent="0.25">
      <c r="B106" t="s">
        <v>82</v>
      </c>
      <c r="C106" s="78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1.301887434491704</v>
      </c>
      <c r="Q106" s="13">
        <f t="shared" si="4"/>
        <v>4545</v>
      </c>
    </row>
    <row r="107" spans="2:17" x14ac:dyDescent="0.25">
      <c r="B107" t="s">
        <v>83</v>
      </c>
      <c r="C107" s="78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1.3305353242482452</v>
      </c>
      <c r="Q107" s="13">
        <f t="shared" si="4"/>
        <v>4590</v>
      </c>
    </row>
    <row r="108" spans="2:17" x14ac:dyDescent="0.25">
      <c r="B108" t="s">
        <v>84</v>
      </c>
      <c r="C108" s="78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1.3591832140047864</v>
      </c>
      <c r="Q108" s="13">
        <f t="shared" si="4"/>
        <v>4635</v>
      </c>
    </row>
    <row r="109" spans="2:17" x14ac:dyDescent="0.25">
      <c r="B109" t="s">
        <v>85</v>
      </c>
      <c r="C109" s="78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1.3878311037613276</v>
      </c>
      <c r="Q109" s="13">
        <f t="shared" si="4"/>
        <v>4680</v>
      </c>
    </row>
    <row r="110" spans="2:17" x14ac:dyDescent="0.25">
      <c r="B110" t="s">
        <v>86</v>
      </c>
      <c r="C110" s="78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1.4164789935178688</v>
      </c>
      <c r="Q110" s="13">
        <f t="shared" si="4"/>
        <v>4725</v>
      </c>
    </row>
    <row r="111" spans="2:17" x14ac:dyDescent="0.25">
      <c r="B111" t="s">
        <v>87</v>
      </c>
      <c r="C111" s="78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1.44512688327441</v>
      </c>
      <c r="Q111" s="13">
        <f t="shared" si="4"/>
        <v>4770</v>
      </c>
    </row>
    <row r="112" spans="2:17" x14ac:dyDescent="0.25">
      <c r="B112" t="s">
        <v>43</v>
      </c>
      <c r="C112" s="78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1.4737747730309512</v>
      </c>
      <c r="Q112" s="13">
        <f t="shared" si="4"/>
        <v>4815</v>
      </c>
    </row>
    <row r="113" spans="3:17" x14ac:dyDescent="0.25">
      <c r="C113" s="78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1.5024226627874924</v>
      </c>
      <c r="Q113" s="13">
        <f t="shared" si="4"/>
        <v>4860</v>
      </c>
    </row>
    <row r="114" spans="3:17" x14ac:dyDescent="0.25">
      <c r="C114" s="78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1.5310705525440331</v>
      </c>
      <c r="Q114" s="13">
        <f t="shared" si="4"/>
        <v>4904.9999999999991</v>
      </c>
    </row>
    <row r="115" spans="3:17" x14ac:dyDescent="0.25">
      <c r="C115" s="78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1.5597184423005743</v>
      </c>
      <c r="Q115" s="13">
        <f t="shared" si="4"/>
        <v>4949.9999999999991</v>
      </c>
    </row>
    <row r="116" spans="3:17" x14ac:dyDescent="0.25">
      <c r="C116" s="78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1.5883663320571155</v>
      </c>
      <c r="Q116" s="13">
        <f t="shared" si="4"/>
        <v>4994.9999999999991</v>
      </c>
    </row>
    <row r="117" spans="3:17" x14ac:dyDescent="0.25">
      <c r="C117" s="78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1.6170142218136567</v>
      </c>
      <c r="Q117" s="13">
        <f t="shared" si="4"/>
        <v>5040</v>
      </c>
    </row>
    <row r="118" spans="3:17" x14ac:dyDescent="0.25">
      <c r="C118" s="78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1.6456621115701979</v>
      </c>
      <c r="Q118" s="13">
        <f t="shared" si="4"/>
        <v>5084.9999999999991</v>
      </c>
    </row>
    <row r="119" spans="3:17" x14ac:dyDescent="0.25">
      <c r="C119" s="78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1.6743100013267391</v>
      </c>
      <c r="Q119" s="13">
        <f t="shared" si="4"/>
        <v>5130</v>
      </c>
    </row>
    <row r="120" spans="3:17" x14ac:dyDescent="0.25">
      <c r="C120" s="78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1.7029578910832803</v>
      </c>
      <c r="Q120" s="13">
        <f t="shared" si="4"/>
        <v>5175</v>
      </c>
    </row>
    <row r="121" spans="3:17" x14ac:dyDescent="0.25">
      <c r="C121" s="78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1.7316057808398215</v>
      </c>
      <c r="Q121" s="13">
        <f t="shared" si="4"/>
        <v>5220</v>
      </c>
    </row>
    <row r="122" spans="3:17" x14ac:dyDescent="0.25">
      <c r="C122" s="78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1.7602536705963627</v>
      </c>
      <c r="Q122" s="13">
        <f t="shared" si="4"/>
        <v>5265</v>
      </c>
    </row>
    <row r="123" spans="3:17" x14ac:dyDescent="0.25">
      <c r="C123" s="78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1.7889015603529039</v>
      </c>
      <c r="Q123" s="13">
        <f t="shared" si="4"/>
        <v>5310</v>
      </c>
    </row>
    <row r="124" spans="3:17" x14ac:dyDescent="0.25">
      <c r="C124" s="78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1.8175494501094451</v>
      </c>
      <c r="Q124" s="13">
        <f t="shared" si="4"/>
        <v>5355</v>
      </c>
    </row>
    <row r="125" spans="3:17" x14ac:dyDescent="0.25">
      <c r="C125" s="78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1.8461973398659863</v>
      </c>
      <c r="Q125" s="13">
        <f t="shared" si="4"/>
        <v>5400</v>
      </c>
    </row>
    <row r="126" spans="3:17" x14ac:dyDescent="0.25">
      <c r="C126" s="78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1.8748452296225275</v>
      </c>
      <c r="Q126" s="13">
        <f t="shared" si="4"/>
        <v>5445</v>
      </c>
    </row>
    <row r="127" spans="3:17" x14ac:dyDescent="0.25">
      <c r="C127" s="78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1.9034931193790683</v>
      </c>
      <c r="Q127" s="13">
        <f t="shared" si="4"/>
        <v>5489.9999999999991</v>
      </c>
    </row>
    <row r="128" spans="3:17" x14ac:dyDescent="0.25">
      <c r="C128" s="78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1.9321410091356095</v>
      </c>
      <c r="Q128" s="13">
        <f t="shared" si="4"/>
        <v>5535</v>
      </c>
    </row>
    <row r="129" spans="3:17" x14ac:dyDescent="0.25">
      <c r="C129" s="78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1.9607888988921507</v>
      </c>
      <c r="Q129" s="13">
        <f t="shared" si="4"/>
        <v>5579.9999999999991</v>
      </c>
    </row>
    <row r="130" spans="3:17" x14ac:dyDescent="0.25">
      <c r="C130" s="78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1.9894367886486919</v>
      </c>
      <c r="Q130" s="13">
        <f t="shared" si="4"/>
        <v>5625</v>
      </c>
    </row>
    <row r="131" spans="3:17" x14ac:dyDescent="0.25">
      <c r="C131" s="78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2.0180846784052333</v>
      </c>
      <c r="Q131" s="13">
        <f t="shared" si="4"/>
        <v>5669.9999999999991</v>
      </c>
    </row>
    <row r="132" spans="3:17" x14ac:dyDescent="0.25">
      <c r="C132" s="78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2.0467325681617741</v>
      </c>
      <c r="Q132" s="13">
        <f t="shared" si="4"/>
        <v>5714.9999999999991</v>
      </c>
    </row>
    <row r="133" spans="3:17" x14ac:dyDescent="0.25">
      <c r="C133" s="78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2.0753804579183157</v>
      </c>
      <c r="Q133" s="13">
        <f t="shared" si="4"/>
        <v>5760</v>
      </c>
    </row>
    <row r="134" spans="3:17" x14ac:dyDescent="0.25">
      <c r="C134" s="78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2.1040283476748565</v>
      </c>
      <c r="Q134" s="13">
        <f t="shared" ref="Q134:Q159" si="7">(P134-P$5)*$G$18*10000</f>
        <v>5804.9999999999991</v>
      </c>
    </row>
    <row r="135" spans="3:17" x14ac:dyDescent="0.25">
      <c r="C135" s="78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2.1326762374313981</v>
      </c>
      <c r="Q135" s="13">
        <f t="shared" si="7"/>
        <v>5850</v>
      </c>
    </row>
    <row r="136" spans="3:17" x14ac:dyDescent="0.25">
      <c r="C136" s="78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2.1613241271879389</v>
      </c>
      <c r="Q136" s="13">
        <f t="shared" si="7"/>
        <v>5894.9999999999991</v>
      </c>
    </row>
    <row r="137" spans="3:17" x14ac:dyDescent="0.25">
      <c r="C137" s="78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2.1899720169444805</v>
      </c>
      <c r="Q137" s="13">
        <f t="shared" si="7"/>
        <v>5940</v>
      </c>
    </row>
    <row r="138" spans="3:17" x14ac:dyDescent="0.25">
      <c r="C138" s="78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2.2186199067010213</v>
      </c>
      <c r="Q138" s="13">
        <f t="shared" si="7"/>
        <v>5984.9999999999991</v>
      </c>
    </row>
    <row r="139" spans="3:17" x14ac:dyDescent="0.25">
      <c r="C139" s="78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2.2472677964575629</v>
      </c>
      <c r="Q139" s="13">
        <f t="shared" si="7"/>
        <v>6030</v>
      </c>
    </row>
    <row r="140" spans="3:17" x14ac:dyDescent="0.25">
      <c r="C140" s="78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2.2759156862141037</v>
      </c>
      <c r="Q140" s="13">
        <f t="shared" si="7"/>
        <v>6074.9999999999991</v>
      </c>
    </row>
    <row r="141" spans="3:17" x14ac:dyDescent="0.25">
      <c r="C141" s="78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2.3045635759706444</v>
      </c>
      <c r="Q141" s="13">
        <f t="shared" si="7"/>
        <v>6119.9999999999991</v>
      </c>
    </row>
    <row r="142" spans="3:17" x14ac:dyDescent="0.25">
      <c r="C142" s="78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2.3332114657271861</v>
      </c>
      <c r="Q142" s="13">
        <f t="shared" si="7"/>
        <v>6164.9999999999991</v>
      </c>
    </row>
    <row r="143" spans="3:17" x14ac:dyDescent="0.25">
      <c r="C143" s="78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2.3618593554837268</v>
      </c>
      <c r="Q143" s="13">
        <f t="shared" si="7"/>
        <v>6209.9999999999991</v>
      </c>
    </row>
    <row r="144" spans="3:17" x14ac:dyDescent="0.25">
      <c r="C144" s="78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2.3905072452402685</v>
      </c>
      <c r="Q144" s="13">
        <f t="shared" si="7"/>
        <v>6254.9999999999991</v>
      </c>
    </row>
    <row r="145" spans="3:17" x14ac:dyDescent="0.25">
      <c r="C145" s="78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2.4191551349968101</v>
      </c>
      <c r="Q145" s="13">
        <f t="shared" si="7"/>
        <v>6300</v>
      </c>
    </row>
    <row r="146" spans="3:17" x14ac:dyDescent="0.25">
      <c r="C146" s="78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2.4478030247533509</v>
      </c>
      <c r="Q146" s="13">
        <f t="shared" si="7"/>
        <v>6344.9999999999991</v>
      </c>
    </row>
    <row r="147" spans="3:17" x14ac:dyDescent="0.25">
      <c r="C147" s="78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2.4764509145098916</v>
      </c>
      <c r="Q147" s="13">
        <f t="shared" si="7"/>
        <v>6389.9999999999991</v>
      </c>
    </row>
    <row r="148" spans="3:17" x14ac:dyDescent="0.25">
      <c r="C148" s="78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2.5050988042664333</v>
      </c>
      <c r="Q148" s="13">
        <f t="shared" si="7"/>
        <v>6435</v>
      </c>
    </row>
    <row r="149" spans="3:17" x14ac:dyDescent="0.25">
      <c r="C149" s="78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2.533746694022974</v>
      </c>
      <c r="Q149" s="13">
        <f t="shared" si="7"/>
        <v>6479.9999999999991</v>
      </c>
    </row>
    <row r="150" spans="3:17" x14ac:dyDescent="0.25">
      <c r="C150" s="78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2.5623945837795157</v>
      </c>
      <c r="Q150" s="13">
        <f t="shared" si="7"/>
        <v>6525</v>
      </c>
    </row>
    <row r="151" spans="3:17" x14ac:dyDescent="0.25">
      <c r="C151" s="78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2.5910424735360564</v>
      </c>
      <c r="Q151" s="13">
        <f t="shared" si="7"/>
        <v>6569.9999999999991</v>
      </c>
    </row>
    <row r="152" spans="3:17" x14ac:dyDescent="0.25">
      <c r="C152" s="78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2.6196903632925981</v>
      </c>
      <c r="Q152" s="13">
        <f t="shared" si="7"/>
        <v>6615</v>
      </c>
    </row>
    <row r="153" spans="3:17" x14ac:dyDescent="0.25">
      <c r="C153" s="78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2.6483382530491388</v>
      </c>
      <c r="Q153" s="13">
        <f t="shared" si="7"/>
        <v>6659.9999999999991</v>
      </c>
    </row>
    <row r="154" spans="3:17" x14ac:dyDescent="0.25">
      <c r="C154" s="78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2.6769861428056805</v>
      </c>
      <c r="Q154" s="13">
        <f t="shared" si="7"/>
        <v>6705</v>
      </c>
    </row>
    <row r="155" spans="3:17" x14ac:dyDescent="0.25">
      <c r="C155" s="78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2.7056340325622212</v>
      </c>
      <c r="Q155" s="13">
        <f t="shared" si="7"/>
        <v>6749.9999999999991</v>
      </c>
    </row>
    <row r="156" spans="3:17" x14ac:dyDescent="0.25">
      <c r="C156" s="78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2.7342819223187629</v>
      </c>
      <c r="Q156" s="13">
        <f t="shared" si="7"/>
        <v>6795</v>
      </c>
    </row>
    <row r="157" spans="3:17" x14ac:dyDescent="0.25">
      <c r="C157" s="78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2.7629298120753036</v>
      </c>
      <c r="Q157" s="13">
        <f t="shared" si="7"/>
        <v>6839.9999999999991</v>
      </c>
    </row>
    <row r="158" spans="3:17" x14ac:dyDescent="0.25">
      <c r="C158" s="78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2.7915777018318453</v>
      </c>
      <c r="Q158" s="13">
        <f t="shared" si="7"/>
        <v>6885</v>
      </c>
    </row>
    <row r="159" spans="3:17" x14ac:dyDescent="0.25">
      <c r="C159" s="78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2.820225591588386</v>
      </c>
      <c r="Q159" s="13">
        <f t="shared" si="7"/>
        <v>6929.9999999999991</v>
      </c>
    </row>
    <row r="160" spans="3:17" x14ac:dyDescent="0.25">
      <c r="C160" s="78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78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78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78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78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78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78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78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78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78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78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78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78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78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78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78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78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78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78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78"/>
      <c r="F179" s="5"/>
      <c r="G179" s="3"/>
      <c r="H179" s="3"/>
      <c r="I179"/>
      <c r="J179"/>
      <c r="K179" s="3"/>
      <c r="M179"/>
    </row>
    <row r="180" spans="3:13" x14ac:dyDescent="0.25">
      <c r="C180" s="78"/>
      <c r="F180" s="5"/>
      <c r="G180" s="3"/>
      <c r="H180" s="3"/>
      <c r="I180"/>
      <c r="J180"/>
      <c r="K180" s="3"/>
      <c r="M180"/>
    </row>
    <row r="181" spans="3:13" x14ac:dyDescent="0.25">
      <c r="C181" s="78"/>
      <c r="F181" s="5"/>
      <c r="G181" s="3"/>
      <c r="H181" s="3"/>
      <c r="I181"/>
      <c r="J181"/>
      <c r="K181" s="3"/>
      <c r="M181"/>
    </row>
    <row r="182" spans="3:13" x14ac:dyDescent="0.25">
      <c r="C182" s="78"/>
      <c r="F182" s="5"/>
      <c r="G182" s="3"/>
      <c r="H182" s="3"/>
      <c r="I182"/>
      <c r="J182"/>
      <c r="K182" s="3"/>
      <c r="M182"/>
    </row>
    <row r="183" spans="3:13" x14ac:dyDescent="0.25">
      <c r="C183" s="78"/>
      <c r="F183" s="5"/>
      <c r="G183" s="3"/>
      <c r="H183" s="3"/>
      <c r="I183"/>
      <c r="J183"/>
      <c r="K183" s="3"/>
      <c r="M183"/>
    </row>
    <row r="184" spans="3:13" x14ac:dyDescent="0.25">
      <c r="C184" s="78"/>
      <c r="F184" s="5"/>
      <c r="G184" s="3"/>
      <c r="H184" s="3"/>
      <c r="I184"/>
      <c r="J184"/>
      <c r="K184" s="3"/>
      <c r="M184"/>
    </row>
    <row r="185" spans="3:13" x14ac:dyDescent="0.25">
      <c r="C185" s="78"/>
      <c r="F185" s="5"/>
      <c r="G185" s="3"/>
      <c r="H185" s="3"/>
      <c r="I185"/>
      <c r="J185"/>
      <c r="K185" s="3"/>
      <c r="M185"/>
    </row>
    <row r="186" spans="3:13" x14ac:dyDescent="0.25">
      <c r="C186" s="78"/>
      <c r="F186" s="5"/>
      <c r="G186" s="3"/>
      <c r="H186" s="3"/>
      <c r="I186"/>
      <c r="J186"/>
      <c r="K186" s="3"/>
      <c r="M186"/>
    </row>
    <row r="187" spans="3:13" x14ac:dyDescent="0.25">
      <c r="C187" s="78"/>
      <c r="F187" s="5"/>
      <c r="G187" s="3"/>
      <c r="H187" s="3"/>
      <c r="I187"/>
      <c r="J187"/>
      <c r="K187" s="3"/>
      <c r="M187"/>
    </row>
    <row r="188" spans="3:13" x14ac:dyDescent="0.25">
      <c r="C188" s="78"/>
      <c r="F188" s="5"/>
      <c r="G188" s="3"/>
      <c r="H188" s="3"/>
      <c r="I188"/>
      <c r="J188"/>
      <c r="K188" s="3"/>
      <c r="M188"/>
    </row>
    <row r="189" spans="3:13" x14ac:dyDescent="0.25">
      <c r="C189" s="78"/>
      <c r="F189" s="5"/>
      <c r="G189" s="3"/>
      <c r="H189" s="3"/>
      <c r="I189"/>
      <c r="J189"/>
      <c r="K189" s="3"/>
      <c r="M189"/>
    </row>
    <row r="190" spans="3:13" x14ac:dyDescent="0.25">
      <c r="C190" s="78"/>
      <c r="F190" s="5"/>
      <c r="G190" s="3"/>
      <c r="H190" s="3"/>
      <c r="I190"/>
      <c r="J190"/>
      <c r="K190" s="3"/>
      <c r="M190"/>
    </row>
    <row r="191" spans="3:13" x14ac:dyDescent="0.25">
      <c r="C191" s="78"/>
      <c r="F191" s="5"/>
      <c r="G191" s="3"/>
      <c r="H191" s="3"/>
      <c r="I191"/>
      <c r="J191"/>
      <c r="K191" s="3"/>
      <c r="M191"/>
    </row>
    <row r="192" spans="3:13" x14ac:dyDescent="0.25">
      <c r="C192" s="78"/>
      <c r="F192" s="5"/>
      <c r="G192" s="3"/>
      <c r="H192" s="3"/>
      <c r="I192"/>
      <c r="J192"/>
      <c r="K192" s="3"/>
      <c r="M192"/>
    </row>
    <row r="193" spans="3:13" x14ac:dyDescent="0.25">
      <c r="C193" s="78"/>
      <c r="F193" s="5"/>
      <c r="G193" s="3"/>
      <c r="H193" s="3"/>
      <c r="I193"/>
      <c r="J193"/>
      <c r="K193" s="3"/>
      <c r="M193"/>
    </row>
    <row r="194" spans="3:13" x14ac:dyDescent="0.25">
      <c r="C194" s="78"/>
      <c r="F194" s="5"/>
      <c r="G194" s="3"/>
      <c r="H194" s="3"/>
      <c r="I194"/>
      <c r="J194"/>
      <c r="K194" s="3"/>
      <c r="M194"/>
    </row>
    <row r="195" spans="3:13" x14ac:dyDescent="0.25">
      <c r="C195" s="78"/>
      <c r="F195" s="5"/>
      <c r="G195" s="3"/>
      <c r="H195" s="3"/>
      <c r="I195"/>
      <c r="J195"/>
      <c r="K195" s="3"/>
      <c r="M195"/>
    </row>
    <row r="196" spans="3:13" x14ac:dyDescent="0.25">
      <c r="C196" s="78"/>
      <c r="F196" s="5"/>
      <c r="G196" s="3"/>
      <c r="H196" s="3"/>
      <c r="I196"/>
      <c r="J196"/>
      <c r="K196" s="3"/>
      <c r="M196"/>
    </row>
    <row r="197" spans="3:13" x14ac:dyDescent="0.25">
      <c r="C197" s="78"/>
      <c r="F197" s="5"/>
      <c r="G197" s="3"/>
      <c r="H197" s="3"/>
      <c r="I197"/>
      <c r="J197"/>
      <c r="K197" s="3"/>
      <c r="M197"/>
    </row>
    <row r="198" spans="3:13" x14ac:dyDescent="0.25">
      <c r="C198" s="78"/>
      <c r="F198" s="5"/>
      <c r="G198" s="3"/>
      <c r="H198" s="3"/>
      <c r="I198"/>
      <c r="J198"/>
      <c r="K198" s="3"/>
      <c r="M198"/>
    </row>
    <row r="199" spans="3:13" x14ac:dyDescent="0.25">
      <c r="C199" s="78"/>
      <c r="F199" s="5"/>
      <c r="G199" s="3"/>
      <c r="H199" s="3"/>
      <c r="I199"/>
      <c r="J199"/>
      <c r="K199" s="3"/>
      <c r="M199"/>
    </row>
    <row r="200" spans="3:13" x14ac:dyDescent="0.25">
      <c r="C200" s="78"/>
      <c r="F200" s="5"/>
      <c r="G200" s="3"/>
      <c r="H200" s="3"/>
      <c r="I200"/>
      <c r="J200"/>
      <c r="K200" s="3"/>
      <c r="M200"/>
    </row>
    <row r="201" spans="3:13" x14ac:dyDescent="0.25">
      <c r="C201" s="78"/>
      <c r="F201" s="5"/>
      <c r="G201" s="3"/>
      <c r="H201" s="3"/>
      <c r="I201"/>
      <c r="J201"/>
      <c r="K201" s="3"/>
      <c r="M201"/>
    </row>
    <row r="202" spans="3:13" x14ac:dyDescent="0.25">
      <c r="C202" s="78"/>
      <c r="F202" s="5"/>
      <c r="G202" s="3"/>
      <c r="H202" s="3"/>
      <c r="I202"/>
      <c r="J202"/>
      <c r="K202" s="3"/>
      <c r="M202"/>
    </row>
    <row r="203" spans="3:13" x14ac:dyDescent="0.25">
      <c r="C203" s="78"/>
      <c r="F203" s="5"/>
      <c r="G203" s="3"/>
      <c r="H203" s="3"/>
      <c r="I203"/>
      <c r="J203"/>
      <c r="K203" s="3"/>
      <c r="M203"/>
    </row>
    <row r="204" spans="3:13" x14ac:dyDescent="0.25">
      <c r="C204" s="78"/>
      <c r="F204" s="5"/>
      <c r="G204" s="3"/>
      <c r="H204" s="3"/>
      <c r="I204"/>
      <c r="J204"/>
      <c r="K204" s="3"/>
      <c r="M204"/>
    </row>
    <row r="205" spans="3:13" x14ac:dyDescent="0.25">
      <c r="C205" s="78"/>
      <c r="F205" s="5"/>
      <c r="G205" s="3"/>
      <c r="H205" s="3"/>
      <c r="I205"/>
      <c r="J205"/>
      <c r="K205" s="3"/>
      <c r="M205"/>
    </row>
    <row r="206" spans="3:13" x14ac:dyDescent="0.25">
      <c r="C206" s="78"/>
      <c r="F206" s="5"/>
      <c r="G206" s="3"/>
      <c r="H206" s="3"/>
      <c r="I206"/>
      <c r="J206"/>
      <c r="K206" s="3"/>
      <c r="M206"/>
    </row>
    <row r="207" spans="3:13" x14ac:dyDescent="0.25">
      <c r="C207" s="78"/>
      <c r="F207" s="5"/>
      <c r="G207" s="3"/>
      <c r="H207" s="3"/>
      <c r="I207"/>
      <c r="J207"/>
      <c r="K207" s="3"/>
      <c r="M207"/>
    </row>
    <row r="208" spans="3:13" x14ac:dyDescent="0.25">
      <c r="C208" s="78"/>
      <c r="F208" s="5"/>
      <c r="G208" s="3"/>
      <c r="H208" s="3"/>
      <c r="I208"/>
      <c r="J208"/>
      <c r="K208" s="3"/>
      <c r="M208"/>
    </row>
    <row r="209" spans="3:13" x14ac:dyDescent="0.25">
      <c r="C209" s="78"/>
      <c r="F209" s="5"/>
      <c r="G209" s="3"/>
      <c r="H209" s="3"/>
      <c r="I209"/>
      <c r="J209"/>
      <c r="K209" s="3"/>
      <c r="M209"/>
    </row>
    <row r="210" spans="3:13" x14ac:dyDescent="0.25">
      <c r="C210" s="78"/>
      <c r="F210" s="5"/>
      <c r="G210" s="3"/>
      <c r="H210" s="3"/>
      <c r="I210"/>
      <c r="J210"/>
      <c r="K210" s="3"/>
      <c r="M210"/>
    </row>
    <row r="211" spans="3:13" x14ac:dyDescent="0.25">
      <c r="C211" s="78"/>
      <c r="F211" s="5"/>
      <c r="G211" s="3"/>
      <c r="H211" s="3"/>
      <c r="I211"/>
      <c r="J211"/>
      <c r="K211" s="3"/>
      <c r="M211"/>
    </row>
    <row r="212" spans="3:13" x14ac:dyDescent="0.25">
      <c r="C212" s="78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sqref="A1:XFD104857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42738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8.86295360197702E-17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2.658886080593106E-2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7" t="s">
        <v>325</v>
      </c>
      <c r="C3" s="87"/>
      <c r="D3" s="87"/>
      <c r="E3">
        <f>1.5*26/30</f>
        <v>1.3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D4">
        <f>0.75*16.1/20</f>
        <v>0.60375000000000001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79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-1.7507043740108492</v>
      </c>
      <c r="Q5" s="13">
        <f>(P5-P$5)*$G$18*10000</f>
        <v>0</v>
      </c>
    </row>
    <row r="6" spans="1:17" x14ac:dyDescent="0.25">
      <c r="A6" t="s">
        <v>0</v>
      </c>
      <c r="C6" s="79"/>
      <c r="E6">
        <f>25*0.05</f>
        <v>1.25</v>
      </c>
      <c r="G6" s="5" t="s">
        <v>153</v>
      </c>
      <c r="H6" s="4">
        <v>4E+18</v>
      </c>
      <c r="I6" s="3" t="s">
        <v>155</v>
      </c>
      <c r="J6" s="17" t="s">
        <v>97</v>
      </c>
      <c r="K6" s="3">
        <f>C7+5</f>
        <v>605</v>
      </c>
      <c r="M6"/>
      <c r="O6" s="3">
        <f>O5+1</f>
        <v>1</v>
      </c>
      <c r="P6" s="13">
        <f t="shared" ref="P6:P69" si="0">$C$24*O6+$C$21</f>
        <v>-1.722056484254308</v>
      </c>
      <c r="Q6" s="13">
        <f t="shared" ref="Q6:Q69" si="1">(P6-P$5)*$G$18*10000</f>
        <v>45.000000000000057</v>
      </c>
    </row>
    <row r="7" spans="1:17" x14ac:dyDescent="0.25">
      <c r="B7" t="s">
        <v>1</v>
      </c>
      <c r="C7" s="79">
        <v>600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0"/>
        <v>-1.6934085944977668</v>
      </c>
      <c r="Q7" s="13">
        <f t="shared" si="1"/>
        <v>90.000000000000114</v>
      </c>
    </row>
    <row r="8" spans="1:17" x14ac:dyDescent="0.25">
      <c r="B8" t="s">
        <v>2</v>
      </c>
      <c r="C8" s="79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-1.6647607047412256</v>
      </c>
      <c r="Q8" s="13">
        <f t="shared" si="1"/>
        <v>135.00000000000014</v>
      </c>
    </row>
    <row r="9" spans="1:17" x14ac:dyDescent="0.25">
      <c r="B9" t="s">
        <v>3</v>
      </c>
      <c r="C9" s="79">
        <v>150</v>
      </c>
      <c r="E9" s="14">
        <f>E10*1000000000/I1</f>
        <v>1.3205775822989467</v>
      </c>
      <c r="F9" s="5" t="s">
        <v>209</v>
      </c>
      <c r="G9" s="6">
        <f>SQRT(G8/H6)</f>
        <v>20.868355978610293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-1.6361128149846846</v>
      </c>
      <c r="Q9" s="13">
        <f t="shared" si="1"/>
        <v>179.99999999999986</v>
      </c>
    </row>
    <row r="10" spans="1:17" x14ac:dyDescent="0.25">
      <c r="B10" t="s">
        <v>4</v>
      </c>
      <c r="C10" s="79">
        <v>250</v>
      </c>
      <c r="E10" s="14">
        <f>0.149/E16</f>
        <v>0.39589919937709855</v>
      </c>
      <c r="F10" s="5" t="s">
        <v>156</v>
      </c>
      <c r="G10" s="6">
        <f xml:space="preserve"> 56414.602*SQRT(H6)</f>
        <v>112829204000000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-1.6074649252281434</v>
      </c>
      <c r="Q10" s="13">
        <f t="shared" si="1"/>
        <v>224.99999999999991</v>
      </c>
    </row>
    <row r="11" spans="1:17" x14ac:dyDescent="0.25">
      <c r="B11" t="s">
        <v>5</v>
      </c>
      <c r="C11" s="79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-1.5788170354716022</v>
      </c>
      <c r="Q11" s="13">
        <f t="shared" si="1"/>
        <v>269.99999999999994</v>
      </c>
    </row>
    <row r="12" spans="1:17" x14ac:dyDescent="0.25">
      <c r="B12" t="s">
        <v>6</v>
      </c>
      <c r="C12" s="79">
        <v>5</v>
      </c>
      <c r="F12" s="5" t="s">
        <v>160</v>
      </c>
      <c r="G12" s="7">
        <f>SQRT(H6/G8)</f>
        <v>4.7919443248187969E-2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-1.550169145715061</v>
      </c>
      <c r="Q12" s="13">
        <f t="shared" si="1"/>
        <v>315</v>
      </c>
    </row>
    <row r="13" spans="1:17" x14ac:dyDescent="0.25">
      <c r="B13" t="s">
        <v>7</v>
      </c>
      <c r="C13" s="79">
        <v>2</v>
      </c>
      <c r="F13" s="5" t="s">
        <v>161</v>
      </c>
      <c r="G13" s="6">
        <f>0.0001*G7*SQRT(G8/H6)</f>
        <v>1.6694684782888236E-3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-1.5215212559585198</v>
      </c>
      <c r="Q13" s="13">
        <f t="shared" si="1"/>
        <v>360.00000000000011</v>
      </c>
    </row>
    <row r="14" spans="1:17" x14ac:dyDescent="0.25">
      <c r="B14" t="s">
        <v>8</v>
      </c>
      <c r="C14" s="21">
        <f>G24</f>
        <v>2.6831924746576368</v>
      </c>
      <c r="D14" t="s">
        <v>139</v>
      </c>
      <c r="E14" s="14">
        <f>0.5*G14</f>
        <v>8.3473423914441174</v>
      </c>
      <c r="F14" s="5" t="s">
        <v>181</v>
      </c>
      <c r="G14" s="6">
        <f>10000*G13</f>
        <v>16.694684782888235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-1.4928733662019789</v>
      </c>
      <c r="Q14" s="13">
        <f t="shared" si="1"/>
        <v>404.99999999999983</v>
      </c>
    </row>
    <row r="15" spans="1:17" x14ac:dyDescent="0.25">
      <c r="B15" t="s">
        <v>9</v>
      </c>
      <c r="C15" s="79">
        <v>5</v>
      </c>
      <c r="D15" t="s">
        <v>138</v>
      </c>
      <c r="E15" s="14">
        <f>E14/16.7</f>
        <v>0.49984086176312081</v>
      </c>
      <c r="F15" s="5" t="s">
        <v>190</v>
      </c>
      <c r="G15" s="6">
        <f>2*PI()*1000000000000000/G10</f>
        <v>55.687579850156403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-1.4642254764454377</v>
      </c>
      <c r="Q15" s="13">
        <f t="shared" si="1"/>
        <v>449.99999999999983</v>
      </c>
    </row>
    <row r="16" spans="1:17" x14ac:dyDescent="0.25">
      <c r="B16" t="s">
        <v>10</v>
      </c>
      <c r="C16" s="79">
        <v>20</v>
      </c>
      <c r="D16" t="s">
        <v>255</v>
      </c>
      <c r="E16" s="14">
        <f>0.0001*G16</f>
        <v>0.37635842718155077</v>
      </c>
      <c r="F16" s="5" t="s">
        <v>163</v>
      </c>
      <c r="G16" s="6">
        <f>2*PI()/G13</f>
        <v>3763.5842718155077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-1.4355775866888965</v>
      </c>
      <c r="Q16" s="13">
        <f t="shared" si="1"/>
        <v>494.99999999999989</v>
      </c>
    </row>
    <row r="17" spans="2:17" x14ac:dyDescent="0.25">
      <c r="B17" t="s">
        <v>11</v>
      </c>
      <c r="C17" s="22">
        <f>G20</f>
        <v>7.5271685436310154</v>
      </c>
      <c r="D17" t="s">
        <v>140</v>
      </c>
      <c r="E17">
        <f>1/G17</f>
        <v>0.05</v>
      </c>
      <c r="F17" s="5" t="s">
        <v>165</v>
      </c>
      <c r="G17" s="3">
        <v>20</v>
      </c>
      <c r="H17" s="3" t="s">
        <v>166</v>
      </c>
      <c r="I17" s="1">
        <f>100*I16*G16</f>
        <v>-93.096020547628399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-1.4069296969323553</v>
      </c>
      <c r="Q17" s="13">
        <f t="shared" si="1"/>
        <v>539.99999999999989</v>
      </c>
    </row>
    <row r="18" spans="2:17" x14ac:dyDescent="0.25">
      <c r="B18" t="s">
        <v>110</v>
      </c>
      <c r="C18" s="79">
        <v>7</v>
      </c>
      <c r="D18" t="s">
        <v>141</v>
      </c>
      <c r="E18" s="14">
        <f>10000*G18</f>
        <v>1570.7963267948962</v>
      </c>
      <c r="F18" s="5" t="s">
        <v>195</v>
      </c>
      <c r="G18" s="3">
        <f>0.0001*PI()*G17*G17/G7</f>
        <v>0.15707963267948963</v>
      </c>
      <c r="H18" s="3" t="s">
        <v>162</v>
      </c>
      <c r="I18">
        <f>0.5*100/G18</f>
        <v>318.30988618379075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-1.3782818071758141</v>
      </c>
      <c r="Q18" s="13">
        <f t="shared" si="1"/>
        <v>585</v>
      </c>
    </row>
    <row r="19" spans="2:17" x14ac:dyDescent="0.25">
      <c r="B19" t="s">
        <v>12</v>
      </c>
      <c r="C19" s="23">
        <v>0.60375000000000001</v>
      </c>
      <c r="D19" t="s">
        <v>142</v>
      </c>
      <c r="E19">
        <f>SQRT(C19*0.7)</f>
        <v>0.65009614673523486</v>
      </c>
      <c r="F19" s="5" t="s">
        <v>196</v>
      </c>
      <c r="G19" s="6">
        <f>G18*G16</f>
        <v>591.18243497508445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-1.3496339174192729</v>
      </c>
      <c r="Q19" s="13">
        <f t="shared" si="1"/>
        <v>630</v>
      </c>
    </row>
    <row r="20" spans="2:17" x14ac:dyDescent="0.25">
      <c r="B20" t="s">
        <v>254</v>
      </c>
      <c r="C20" s="79">
        <v>2</v>
      </c>
      <c r="D20" t="s">
        <v>143</v>
      </c>
      <c r="E20">
        <v>7.1294579999999996</v>
      </c>
      <c r="F20" s="5" t="s">
        <v>11</v>
      </c>
      <c r="G20" s="7">
        <f>0.0001*G17*G16</f>
        <v>7.5271685436310154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-1.3209860276627317</v>
      </c>
      <c r="Q20" s="13">
        <f t="shared" si="1"/>
        <v>675</v>
      </c>
    </row>
    <row r="21" spans="2:17" x14ac:dyDescent="0.25">
      <c r="B21" t="s">
        <v>13</v>
      </c>
      <c r="C21" s="22">
        <f>-0.275/G$18</f>
        <v>-1.7507043740108492</v>
      </c>
      <c r="D21" t="s">
        <v>144</v>
      </c>
      <c r="E21" s="20">
        <f>10000*E20/G16</f>
        <v>18.943266538205709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-1.2923381379061905</v>
      </c>
      <c r="Q21" s="13">
        <f t="shared" si="1"/>
        <v>720.00000000000023</v>
      </c>
    </row>
    <row r="22" spans="2:17" x14ac:dyDescent="0.25">
      <c r="B22" t="s">
        <v>14</v>
      </c>
      <c r="C22" s="79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-1.2636902481496495</v>
      </c>
      <c r="Q22" s="13">
        <f t="shared" si="1"/>
        <v>764.99999999999989</v>
      </c>
    </row>
    <row r="23" spans="2:17" x14ac:dyDescent="0.25">
      <c r="B23" t="s">
        <v>15</v>
      </c>
      <c r="C23" s="22">
        <f>0.175/G$18</f>
        <v>1.1140846016432675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-1.2350423583931083</v>
      </c>
      <c r="Q23" s="13">
        <f t="shared" si="1"/>
        <v>809.99999999999989</v>
      </c>
    </row>
    <row r="24" spans="2:17" x14ac:dyDescent="0.25">
      <c r="B24" t="s">
        <v>16</v>
      </c>
      <c r="C24" s="79">
        <f>(C23-C21)/100</f>
        <v>2.8647889756541166E-2</v>
      </c>
      <c r="D24" t="s">
        <v>146</v>
      </c>
      <c r="F24" s="5" t="s">
        <v>8</v>
      </c>
      <c r="G24" s="11">
        <f>0.000000000000001*G22*G10</f>
        <v>2.6831924746576368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-1.2063944686365671</v>
      </c>
      <c r="Q24" s="13">
        <f t="shared" si="1"/>
        <v>854.99999999999989</v>
      </c>
    </row>
    <row r="25" spans="2:17" x14ac:dyDescent="0.25">
      <c r="B25" t="s">
        <v>17</v>
      </c>
      <c r="C25" s="79">
        <v>300</v>
      </c>
      <c r="D25">
        <f>3.21/2.92</f>
        <v>1.0993150684931507</v>
      </c>
      <c r="E25">
        <f>G25*375/600</f>
        <v>17.301995296661023</v>
      </c>
      <c r="F25" s="5" t="s">
        <v>175</v>
      </c>
      <c r="G25" s="11">
        <f>C14+C15+C16</f>
        <v>27.683192474657638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-1.1777465788800259</v>
      </c>
      <c r="Q25" s="13">
        <f t="shared" si="1"/>
        <v>900</v>
      </c>
    </row>
    <row r="26" spans="2:17" x14ac:dyDescent="0.25">
      <c r="B26" t="s">
        <v>18</v>
      </c>
      <c r="C26" s="79">
        <v>6</v>
      </c>
      <c r="E26" s="12"/>
      <c r="F26" s="5" t="s">
        <v>178</v>
      </c>
      <c r="G26" s="11">
        <f>G20*C18</f>
        <v>52.69017980541711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-1.1490986891234849</v>
      </c>
      <c r="Q26" s="13">
        <f t="shared" si="1"/>
        <v>944.99999999999977</v>
      </c>
    </row>
    <row r="27" spans="2:17" x14ac:dyDescent="0.25">
      <c r="B27" t="s">
        <v>19</v>
      </c>
      <c r="C27" s="79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73.555394207510602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-1.1204507993669437</v>
      </c>
      <c r="Q27" s="13">
        <f t="shared" si="1"/>
        <v>989.99999999999977</v>
      </c>
    </row>
    <row r="28" spans="2:17" x14ac:dyDescent="0.25">
      <c r="B28" t="s">
        <v>20</v>
      </c>
      <c r="C28" s="79">
        <v>20</v>
      </c>
      <c r="D28">
        <f>2.142311</f>
        <v>2.1423109999999999</v>
      </c>
      <c r="F28" s="5" t="s">
        <v>179</v>
      </c>
      <c r="G28" s="6">
        <f>G26*10000/G16</f>
        <v>140.00000000000003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-1.0918029096104025</v>
      </c>
      <c r="Q28" s="13">
        <f t="shared" si="1"/>
        <v>1034.9999999999998</v>
      </c>
    </row>
    <row r="29" spans="2:17" x14ac:dyDescent="0.25">
      <c r="B29" t="s">
        <v>21</v>
      </c>
      <c r="C29" s="79">
        <v>100</v>
      </c>
      <c r="D29">
        <f>D27/D28</f>
        <v>1.0559008472626059</v>
      </c>
      <c r="E29">
        <f>C14/G29</f>
        <v>58.15497928096142</v>
      </c>
      <c r="F29" s="5" t="s">
        <v>177</v>
      </c>
      <c r="G29" s="3">
        <f>G25/C7</f>
        <v>4.6138654124429399E-2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-1.0631550198538613</v>
      </c>
      <c r="Q29" s="13">
        <f t="shared" si="1"/>
        <v>1079.9999999999998</v>
      </c>
    </row>
    <row r="30" spans="2:17" x14ac:dyDescent="0.25">
      <c r="B30" t="s">
        <v>22</v>
      </c>
      <c r="C30" s="22">
        <f>G12</f>
        <v>4.7919443248187969E-2</v>
      </c>
      <c r="D30" t="s">
        <v>147</v>
      </c>
      <c r="F30" s="5" t="s">
        <v>180</v>
      </c>
      <c r="G30" s="6">
        <f>10000*G29/G16</f>
        <v>0.12259232367918434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-1.0345071300973201</v>
      </c>
      <c r="Q30" s="13">
        <f t="shared" si="1"/>
        <v>1125</v>
      </c>
    </row>
    <row r="31" spans="2:17" x14ac:dyDescent="0.25">
      <c r="B31" t="s">
        <v>23</v>
      </c>
      <c r="C31" s="79">
        <v>2</v>
      </c>
      <c r="D31">
        <f>D29^2</f>
        <v>1.1149265992498891</v>
      </c>
      <c r="E31" s="8">
        <f>C17/G31</f>
        <v>57.142857142857139</v>
      </c>
      <c r="F31" s="5" t="s">
        <v>182</v>
      </c>
      <c r="G31" s="3">
        <f>G26/C8</f>
        <v>0.13172544951354279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-1.0058592403407789</v>
      </c>
      <c r="Q31" s="13">
        <f t="shared" si="1"/>
        <v>1170</v>
      </c>
    </row>
    <row r="32" spans="2:17" x14ac:dyDescent="0.25">
      <c r="B32" t="s">
        <v>24</v>
      </c>
      <c r="C32" s="79">
        <v>0.5</v>
      </c>
      <c r="D32">
        <f>D31*0.6</f>
        <v>0.66895595954993348</v>
      </c>
      <c r="F32" s="5" t="s">
        <v>183</v>
      </c>
      <c r="G32" s="6">
        <f>G31*10000/G16</f>
        <v>0.35000000000000003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-0.97721135058423769</v>
      </c>
      <c r="Q32" s="13">
        <f t="shared" si="1"/>
        <v>1215</v>
      </c>
    </row>
    <row r="33" spans="2:17" x14ac:dyDescent="0.25">
      <c r="B33" t="s">
        <v>25</v>
      </c>
      <c r="C33" s="79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-0.9485634608276966</v>
      </c>
      <c r="Q33" s="13">
        <f t="shared" si="1"/>
        <v>1260</v>
      </c>
    </row>
    <row r="34" spans="2:17" x14ac:dyDescent="0.25">
      <c r="B34" t="s">
        <v>26</v>
      </c>
      <c r="C34" s="79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-0.9199155710711554</v>
      </c>
      <c r="Q34" s="13">
        <f t="shared" si="1"/>
        <v>1305</v>
      </c>
    </row>
    <row r="35" spans="2:17" x14ac:dyDescent="0.25">
      <c r="B35" t="s">
        <v>27</v>
      </c>
      <c r="C35" s="79">
        <v>3</v>
      </c>
      <c r="D35" t="s">
        <v>129</v>
      </c>
      <c r="F35" s="5" t="s">
        <v>187</v>
      </c>
      <c r="G35" s="13">
        <f>G22*G17*G17*0.000000000000000001*G33/(225.38*225.38)</f>
        <v>0.90060091454078139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-0.8912676813146142</v>
      </c>
      <c r="Q35" s="13">
        <f t="shared" si="1"/>
        <v>1350</v>
      </c>
    </row>
    <row r="36" spans="2:17" x14ac:dyDescent="0.25">
      <c r="B36" t="s">
        <v>28</v>
      </c>
      <c r="C36" s="79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-0.86261979155807311</v>
      </c>
      <c r="Q36" s="13">
        <f t="shared" si="1"/>
        <v>1394.9999999999998</v>
      </c>
    </row>
    <row r="37" spans="2:17" x14ac:dyDescent="0.25">
      <c r="B37" t="s">
        <v>29</v>
      </c>
      <c r="C37" s="79">
        <v>10</v>
      </c>
      <c r="F37" s="5" t="s">
        <v>192</v>
      </c>
      <c r="G37" s="6">
        <f>0.000000000000001*G36*G10</f>
        <v>11.2829204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-0.83397190180153191</v>
      </c>
      <c r="Q37" s="13">
        <f t="shared" si="1"/>
        <v>1440</v>
      </c>
    </row>
    <row r="38" spans="2:17" x14ac:dyDescent="0.25">
      <c r="B38" t="s">
        <v>30</v>
      </c>
      <c r="C38" s="79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-0.80532401204499071</v>
      </c>
      <c r="Q38" s="13">
        <f t="shared" si="1"/>
        <v>1485</v>
      </c>
    </row>
    <row r="39" spans="2:17" x14ac:dyDescent="0.25">
      <c r="B39" t="s">
        <v>31</v>
      </c>
      <c r="C39" s="79">
        <v>0.125</v>
      </c>
      <c r="F39" s="5" t="s">
        <v>194</v>
      </c>
      <c r="G39" s="6">
        <f>0.0001*G38*G16</f>
        <v>3.7635842718155077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-0.77667612228844962</v>
      </c>
      <c r="Q39" s="13">
        <f t="shared" si="1"/>
        <v>1530</v>
      </c>
    </row>
    <row r="40" spans="2:17" x14ac:dyDescent="0.25">
      <c r="B40" t="s">
        <v>32</v>
      </c>
      <c r="C40" s="79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-0.74802823253190831</v>
      </c>
      <c r="Q40" s="13">
        <f t="shared" si="1"/>
        <v>1575</v>
      </c>
    </row>
    <row r="41" spans="2:17" x14ac:dyDescent="0.25">
      <c r="B41" t="s">
        <v>33</v>
      </c>
      <c r="C41" s="79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-0.71938034277536733</v>
      </c>
      <c r="Q41" s="13">
        <f t="shared" si="1"/>
        <v>1619.9999999999998</v>
      </c>
    </row>
    <row r="42" spans="2:17" x14ac:dyDescent="0.25">
      <c r="B42" t="s">
        <v>34</v>
      </c>
      <c r="C42" s="79">
        <v>1000</v>
      </c>
      <c r="F42" s="5" t="s">
        <v>201</v>
      </c>
      <c r="G42" s="6">
        <f>2*G41*G41*(0.5*PI()+C15-C89)/G19</f>
        <v>-6.8509670813930779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-0.69073245301882613</v>
      </c>
      <c r="Q42" s="13">
        <f t="shared" si="1"/>
        <v>1664.9999999999998</v>
      </c>
    </row>
    <row r="43" spans="2:17" x14ac:dyDescent="0.25">
      <c r="B43" t="s">
        <v>35</v>
      </c>
      <c r="C43" s="79">
        <v>1</v>
      </c>
      <c r="F43" s="5" t="s">
        <v>203</v>
      </c>
      <c r="G43" s="6">
        <f>0.5*G41*G41*G13</f>
        <v>0.1258755479916287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-0.66208456326228493</v>
      </c>
      <c r="Q43" s="13">
        <f t="shared" si="1"/>
        <v>1709.9999999999998</v>
      </c>
    </row>
    <row r="44" spans="2:17" x14ac:dyDescent="0.25">
      <c r="B44" t="s">
        <v>36</v>
      </c>
      <c r="C44" s="79">
        <v>1</v>
      </c>
      <c r="F44" s="5" t="s">
        <v>203</v>
      </c>
      <c r="G44" s="6">
        <f>G43/G18</f>
        <v>0.80134862709075239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-0.63343667350574373</v>
      </c>
      <c r="Q44" s="13">
        <f t="shared" si="1"/>
        <v>1755</v>
      </c>
    </row>
    <row r="45" spans="2:17" x14ac:dyDescent="0.25">
      <c r="B45" t="s">
        <v>213</v>
      </c>
      <c r="C45" s="79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-0.60478878374920253</v>
      </c>
      <c r="Q45" s="13">
        <f t="shared" si="1"/>
        <v>1800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0.8013486270907525</v>
      </c>
      <c r="H46" s="3"/>
      <c r="I46"/>
      <c r="J46"/>
      <c r="K46" s="3"/>
      <c r="M46"/>
      <c r="O46" s="3">
        <f t="shared" si="2"/>
        <v>41</v>
      </c>
      <c r="P46" s="13">
        <f t="shared" si="0"/>
        <v>-0.57614089399266133</v>
      </c>
      <c r="Q46" s="13">
        <f t="shared" si="1"/>
        <v>1845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-0.54749300423612035</v>
      </c>
      <c r="Q47" s="13">
        <f t="shared" si="1"/>
        <v>1889.9999999999998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-0.51884511447957915</v>
      </c>
      <c r="Q48" s="13">
        <f t="shared" si="1"/>
        <v>1934.9999999999998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-0.49019722472303795</v>
      </c>
      <c r="Q49" s="13">
        <f t="shared" si="1"/>
        <v>1979.9999999999998</v>
      </c>
    </row>
    <row r="50" spans="1:17" x14ac:dyDescent="0.25">
      <c r="B50" t="s">
        <v>37</v>
      </c>
      <c r="C50" s="79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-0.46154933496649675</v>
      </c>
      <c r="Q50" s="13">
        <f t="shared" si="1"/>
        <v>2024.9999999999998</v>
      </c>
    </row>
    <row r="51" spans="1:17" x14ac:dyDescent="0.25">
      <c r="B51" t="s">
        <v>38</v>
      </c>
      <c r="C51" s="79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-0.43290144520995555</v>
      </c>
      <c r="Q51" s="13">
        <f t="shared" si="1"/>
        <v>2070</v>
      </c>
    </row>
    <row r="52" spans="1:17" x14ac:dyDescent="0.25">
      <c r="B52" t="s">
        <v>39</v>
      </c>
      <c r="C52" s="79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-0.40425355545341435</v>
      </c>
      <c r="Q52" s="13">
        <f t="shared" si="1"/>
        <v>2115</v>
      </c>
    </row>
    <row r="53" spans="1:17" x14ac:dyDescent="0.25">
      <c r="B53" t="s">
        <v>40</v>
      </c>
      <c r="C53" s="79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-0.37560566569687337</v>
      </c>
      <c r="Q53" s="13">
        <f t="shared" si="1"/>
        <v>2159.9999999999995</v>
      </c>
    </row>
    <row r="54" spans="1:17" x14ac:dyDescent="0.25">
      <c r="B54" t="s">
        <v>41</v>
      </c>
      <c r="C54" s="79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-0.34695777594033217</v>
      </c>
      <c r="Q54" s="13">
        <f t="shared" si="1"/>
        <v>2204.9999999999995</v>
      </c>
    </row>
    <row r="55" spans="1:17" x14ac:dyDescent="0.25">
      <c r="B55" t="s">
        <v>42</v>
      </c>
      <c r="C55" s="79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-0.31830988618379097</v>
      </c>
      <c r="Q55" s="13">
        <f t="shared" si="1"/>
        <v>2250</v>
      </c>
    </row>
    <row r="56" spans="1:17" x14ac:dyDescent="0.25">
      <c r="A56" t="s">
        <v>43</v>
      </c>
      <c r="C56" s="79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-0.28966199642724977</v>
      </c>
      <c r="Q56" s="13">
        <f t="shared" si="1"/>
        <v>2295</v>
      </c>
    </row>
    <row r="57" spans="1:17" x14ac:dyDescent="0.25">
      <c r="C57" s="79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-0.26101410667070857</v>
      </c>
      <c r="Q57" s="13">
        <f t="shared" si="1"/>
        <v>2340</v>
      </c>
    </row>
    <row r="58" spans="1:17" x14ac:dyDescent="0.25">
      <c r="A58" t="s">
        <v>44</v>
      </c>
      <c r="C58" s="79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-0.23236621691416737</v>
      </c>
      <c r="Q58" s="13">
        <f t="shared" si="1"/>
        <v>2385</v>
      </c>
    </row>
    <row r="59" spans="1:17" x14ac:dyDescent="0.25">
      <c r="B59" t="s">
        <v>45</v>
      </c>
      <c r="C59" s="79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-0.20371832715762617</v>
      </c>
      <c r="Q59" s="13">
        <f t="shared" si="1"/>
        <v>2430</v>
      </c>
    </row>
    <row r="60" spans="1:17" x14ac:dyDescent="0.25">
      <c r="B60" t="s">
        <v>210</v>
      </c>
      <c r="C60" s="79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-0.17507043740108519</v>
      </c>
      <c r="Q60" s="13">
        <f t="shared" si="1"/>
        <v>2474.9999999999995</v>
      </c>
    </row>
    <row r="61" spans="1:17" x14ac:dyDescent="0.25">
      <c r="B61" t="s">
        <v>48</v>
      </c>
      <c r="C61" s="79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-0.14642254764454399</v>
      </c>
      <c r="Q61" s="13">
        <f t="shared" si="1"/>
        <v>2520</v>
      </c>
    </row>
    <row r="62" spans="1:17" x14ac:dyDescent="0.25">
      <c r="B62" t="s">
        <v>214</v>
      </c>
      <c r="C62" s="79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-0.11777465788800279</v>
      </c>
      <c r="Q62" s="13">
        <f t="shared" si="1"/>
        <v>2565</v>
      </c>
    </row>
    <row r="63" spans="1:17" x14ac:dyDescent="0.25">
      <c r="B63" t="s">
        <v>49</v>
      </c>
      <c r="C63" s="79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-8.9126768131461587E-2</v>
      </c>
      <c r="Q63" s="13">
        <f t="shared" si="1"/>
        <v>2610</v>
      </c>
    </row>
    <row r="64" spans="1:17" x14ac:dyDescent="0.25">
      <c r="B64" t="s">
        <v>50</v>
      </c>
      <c r="C64" s="79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-6.0478878374920386E-2</v>
      </c>
      <c r="Q64" s="13">
        <f t="shared" si="1"/>
        <v>2655</v>
      </c>
    </row>
    <row r="65" spans="1:17" x14ac:dyDescent="0.25">
      <c r="B65" t="s">
        <v>51</v>
      </c>
      <c r="C65" s="79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-3.1830988618379186E-2</v>
      </c>
      <c r="Q65" s="13">
        <f t="shared" si="1"/>
        <v>2700</v>
      </c>
    </row>
    <row r="66" spans="1:17" x14ac:dyDescent="0.25">
      <c r="B66" t="s">
        <v>52</v>
      </c>
      <c r="C66" s="79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-3.1830988618382072E-3</v>
      </c>
      <c r="Q66" s="13">
        <f t="shared" si="1"/>
        <v>2744.9999999999995</v>
      </c>
    </row>
    <row r="67" spans="1:17" x14ac:dyDescent="0.25">
      <c r="B67" t="s">
        <v>53</v>
      </c>
      <c r="C67" s="79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2.5464790894702993E-2</v>
      </c>
      <c r="Q67" s="13">
        <f t="shared" si="1"/>
        <v>2789.9999999999995</v>
      </c>
    </row>
    <row r="68" spans="1:17" x14ac:dyDescent="0.25">
      <c r="B68" t="s">
        <v>54</v>
      </c>
      <c r="C68" s="79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5.4112680651244194E-2</v>
      </c>
      <c r="Q68" s="13">
        <f t="shared" si="1"/>
        <v>2834.9999999999995</v>
      </c>
    </row>
    <row r="69" spans="1:17" x14ac:dyDescent="0.25">
      <c r="B69" t="s">
        <v>55</v>
      </c>
      <c r="C69" s="79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8.2760570407785394E-2</v>
      </c>
      <c r="Q69" s="13">
        <f t="shared" si="1"/>
        <v>2880</v>
      </c>
    </row>
    <row r="70" spans="1:17" x14ac:dyDescent="0.25">
      <c r="B70" t="s">
        <v>56</v>
      </c>
      <c r="C70" s="79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0.11140846016432659</v>
      </c>
      <c r="Q70" s="13">
        <f t="shared" ref="Q70:Q133" si="4">(P70-P$5)*$G$18*10000</f>
        <v>2925</v>
      </c>
    </row>
    <row r="71" spans="1:17" x14ac:dyDescent="0.25">
      <c r="B71" t="s">
        <v>57</v>
      </c>
      <c r="C71" s="79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0.1400563499208678</v>
      </c>
      <c r="Q71" s="13">
        <f t="shared" si="4"/>
        <v>2970</v>
      </c>
    </row>
    <row r="72" spans="1:17" x14ac:dyDescent="0.25">
      <c r="B72" t="s">
        <v>58</v>
      </c>
      <c r="C72" s="79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0.168704239677409</v>
      </c>
      <c r="Q72" s="13">
        <f t="shared" si="4"/>
        <v>3015</v>
      </c>
    </row>
    <row r="73" spans="1:17" x14ac:dyDescent="0.25">
      <c r="B73" t="s">
        <v>59</v>
      </c>
      <c r="C73" s="79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0.19735212943394997</v>
      </c>
      <c r="Q73" s="13">
        <f t="shared" si="4"/>
        <v>3060</v>
      </c>
    </row>
    <row r="74" spans="1:17" x14ac:dyDescent="0.25">
      <c r="A74" t="s">
        <v>43</v>
      </c>
      <c r="C74" s="79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0.22600001919049117</v>
      </c>
      <c r="Q74" s="13">
        <f t="shared" si="4"/>
        <v>3105</v>
      </c>
    </row>
    <row r="75" spans="1:17" x14ac:dyDescent="0.25">
      <c r="C75" s="79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0.2546479089470326</v>
      </c>
      <c r="Q75" s="13">
        <f t="shared" si="4"/>
        <v>3150</v>
      </c>
    </row>
    <row r="76" spans="1:17" x14ac:dyDescent="0.25">
      <c r="A76" t="s">
        <v>60</v>
      </c>
      <c r="C76" s="79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0.28329579870357335</v>
      </c>
      <c r="Q76" s="13">
        <f t="shared" si="4"/>
        <v>3194.9999999999995</v>
      </c>
    </row>
    <row r="77" spans="1:17" x14ac:dyDescent="0.25">
      <c r="B77" t="s">
        <v>136</v>
      </c>
      <c r="C77" s="79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0.31194368846011455</v>
      </c>
      <c r="Q77" s="13">
        <f t="shared" si="4"/>
        <v>3239.9999999999995</v>
      </c>
    </row>
    <row r="78" spans="1:17" x14ac:dyDescent="0.25">
      <c r="A78" t="s">
        <v>43</v>
      </c>
      <c r="C78" s="79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0.34059157821665575</v>
      </c>
      <c r="Q78" s="13">
        <f t="shared" si="4"/>
        <v>3284.9999999999995</v>
      </c>
    </row>
    <row r="79" spans="1:17" x14ac:dyDescent="0.25">
      <c r="C79" s="79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0.36923946797319696</v>
      </c>
      <c r="Q79" s="13">
        <f t="shared" si="4"/>
        <v>3329.9999999999995</v>
      </c>
    </row>
    <row r="80" spans="1:17" x14ac:dyDescent="0.25">
      <c r="A80" t="s">
        <v>61</v>
      </c>
      <c r="C80" s="79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0.39788735772973816</v>
      </c>
      <c r="Q80" s="13">
        <f t="shared" si="4"/>
        <v>3374.9999999999995</v>
      </c>
    </row>
    <row r="81" spans="2:17" x14ac:dyDescent="0.25">
      <c r="C81" s="79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0.42653524748627936</v>
      </c>
      <c r="Q81" s="13">
        <f t="shared" si="4"/>
        <v>3419.9999999999995</v>
      </c>
    </row>
    <row r="82" spans="2:17" x14ac:dyDescent="0.25">
      <c r="B82" t="s">
        <v>62</v>
      </c>
      <c r="C82" s="79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0.45518313724282056</v>
      </c>
      <c r="Q82" s="13">
        <f t="shared" si="4"/>
        <v>3464.9999999999995</v>
      </c>
    </row>
    <row r="83" spans="2:17" x14ac:dyDescent="0.25">
      <c r="B83" t="s">
        <v>63</v>
      </c>
      <c r="C83" s="79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0.48383102699936176</v>
      </c>
      <c r="Q83" s="13">
        <f t="shared" si="4"/>
        <v>3510</v>
      </c>
    </row>
    <row r="84" spans="2:17" x14ac:dyDescent="0.25">
      <c r="B84" t="s">
        <v>64</v>
      </c>
      <c r="C84" s="79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0.51247891675590296</v>
      </c>
      <c r="Q84" s="13">
        <f t="shared" si="4"/>
        <v>3555</v>
      </c>
    </row>
    <row r="85" spans="2:17" x14ac:dyDescent="0.25">
      <c r="B85" t="s">
        <v>65</v>
      </c>
      <c r="C85" s="79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0.54112680651244416</v>
      </c>
      <c r="Q85" s="13">
        <f t="shared" si="4"/>
        <v>3600</v>
      </c>
    </row>
    <row r="86" spans="2:17" x14ac:dyDescent="0.25">
      <c r="B86" t="s">
        <v>211</v>
      </c>
      <c r="C86" s="79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0.56977469626898536</v>
      </c>
      <c r="Q86" s="13">
        <f t="shared" si="4"/>
        <v>3645</v>
      </c>
    </row>
    <row r="87" spans="2:17" x14ac:dyDescent="0.25">
      <c r="B87" t="s">
        <v>66</v>
      </c>
      <c r="C87" s="79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0.59842258602552656</v>
      </c>
      <c r="Q87" s="13">
        <f t="shared" si="4"/>
        <v>3690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0.62707047578206776</v>
      </c>
      <c r="Q88" s="13">
        <f t="shared" si="4"/>
        <v>3735</v>
      </c>
    </row>
    <row r="89" spans="2:17" x14ac:dyDescent="0.25">
      <c r="B89" t="s">
        <v>68</v>
      </c>
      <c r="C89" s="79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0.65571836553860852</v>
      </c>
      <c r="Q89" s="13">
        <f t="shared" si="4"/>
        <v>3779.9999999999995</v>
      </c>
    </row>
    <row r="90" spans="2:17" x14ac:dyDescent="0.25">
      <c r="B90" t="s">
        <v>69</v>
      </c>
      <c r="C90" s="79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0.68436625529514972</v>
      </c>
      <c r="Q90" s="13">
        <f t="shared" si="4"/>
        <v>3824.9999999999995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0.71301414505169092</v>
      </c>
      <c r="Q91" s="13">
        <f t="shared" si="4"/>
        <v>3869.9999999999995</v>
      </c>
    </row>
    <row r="92" spans="2:17" x14ac:dyDescent="0.25">
      <c r="B92" t="s">
        <v>71</v>
      </c>
      <c r="C92" s="79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0.74166203480823212</v>
      </c>
      <c r="Q92" s="13">
        <f t="shared" si="4"/>
        <v>3914.9999999999995</v>
      </c>
    </row>
    <row r="93" spans="2:17" x14ac:dyDescent="0.25">
      <c r="B93" t="s">
        <v>72</v>
      </c>
      <c r="C93" s="79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0.77030992456477332</v>
      </c>
      <c r="Q93" s="13">
        <f t="shared" si="4"/>
        <v>3959.9999999999995</v>
      </c>
    </row>
    <row r="94" spans="2:17" x14ac:dyDescent="0.25">
      <c r="B94" t="s">
        <v>191</v>
      </c>
      <c r="C94" s="79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0.79895781432131452</v>
      </c>
      <c r="Q94" s="13">
        <f t="shared" si="4"/>
        <v>4004.9999999999995</v>
      </c>
    </row>
    <row r="95" spans="2:17" x14ac:dyDescent="0.25">
      <c r="B95" t="s">
        <v>73</v>
      </c>
      <c r="C95" s="21">
        <f>C21</f>
        <v>-1.7507043740108492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0.82760570407785572</v>
      </c>
      <c r="Q95" s="13">
        <f t="shared" si="4"/>
        <v>4049.9999999999995</v>
      </c>
    </row>
    <row r="96" spans="2:17" x14ac:dyDescent="0.25">
      <c r="B96" t="s">
        <v>215</v>
      </c>
      <c r="C96" s="79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0.85625359383439692</v>
      </c>
      <c r="Q96" s="13">
        <f t="shared" si="4"/>
        <v>4094.9999999999995</v>
      </c>
    </row>
    <row r="97" spans="2:17" x14ac:dyDescent="0.25">
      <c r="B97" t="s">
        <v>216</v>
      </c>
      <c r="C97" s="79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0.88490148359093812</v>
      </c>
      <c r="Q97" s="13">
        <f t="shared" si="4"/>
        <v>4140</v>
      </c>
    </row>
    <row r="98" spans="2:17" x14ac:dyDescent="0.25">
      <c r="B98" t="s">
        <v>74</v>
      </c>
      <c r="C98" s="79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0.91354937334747932</v>
      </c>
      <c r="Q98" s="13">
        <f t="shared" si="4"/>
        <v>4185</v>
      </c>
    </row>
    <row r="99" spans="2:17" x14ac:dyDescent="0.25">
      <c r="B99" t="s">
        <v>75</v>
      </c>
      <c r="C99" s="79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0.94219726310402052</v>
      </c>
      <c r="Q99" s="13">
        <f t="shared" si="4"/>
        <v>4230</v>
      </c>
    </row>
    <row r="100" spans="2:17" x14ac:dyDescent="0.25">
      <c r="B100" t="s">
        <v>76</v>
      </c>
      <c r="C100" s="79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0.97084515286056172</v>
      </c>
      <c r="Q100" s="13">
        <f t="shared" si="4"/>
        <v>4275</v>
      </c>
    </row>
    <row r="101" spans="2:17" x14ac:dyDescent="0.25">
      <c r="B101" t="s">
        <v>77</v>
      </c>
      <c r="C101" s="79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0.99949304261710248</v>
      </c>
      <c r="Q101" s="13">
        <f t="shared" si="4"/>
        <v>4319.9999999999991</v>
      </c>
    </row>
    <row r="102" spans="2:17" x14ac:dyDescent="0.25">
      <c r="B102" t="s">
        <v>78</v>
      </c>
      <c r="C102" s="79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1.0281409323736437</v>
      </c>
      <c r="Q102" s="13">
        <f t="shared" si="4"/>
        <v>4364.9999999999991</v>
      </c>
    </row>
    <row r="103" spans="2:17" x14ac:dyDescent="0.25">
      <c r="B103" t="s">
        <v>79</v>
      </c>
      <c r="C103" s="79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1.0567888221301849</v>
      </c>
      <c r="Q103" s="13">
        <f t="shared" si="4"/>
        <v>4409.9999999999991</v>
      </c>
    </row>
    <row r="104" spans="2:17" x14ac:dyDescent="0.25">
      <c r="B104" t="s">
        <v>80</v>
      </c>
      <c r="C104" s="24">
        <f>C95</f>
        <v>-1.7507043740108492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1.0854367118867261</v>
      </c>
      <c r="Q104" s="13">
        <f t="shared" si="4"/>
        <v>4454.9999999999991</v>
      </c>
    </row>
    <row r="105" spans="2:17" x14ac:dyDescent="0.25">
      <c r="B105" t="s">
        <v>81</v>
      </c>
      <c r="C105" s="79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1.1140846016432673</v>
      </c>
      <c r="Q105" s="13">
        <f t="shared" si="4"/>
        <v>4500</v>
      </c>
    </row>
    <row r="106" spans="2:17" x14ac:dyDescent="0.25">
      <c r="B106" t="s">
        <v>82</v>
      </c>
      <c r="C106" s="79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1.1427324913998085</v>
      </c>
      <c r="Q106" s="13">
        <f t="shared" si="4"/>
        <v>4545</v>
      </c>
    </row>
    <row r="107" spans="2:17" x14ac:dyDescent="0.25">
      <c r="B107" t="s">
        <v>83</v>
      </c>
      <c r="C107" s="79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1.1713803811563497</v>
      </c>
      <c r="Q107" s="13">
        <f t="shared" si="4"/>
        <v>4590</v>
      </c>
    </row>
    <row r="108" spans="2:17" x14ac:dyDescent="0.25">
      <c r="B108" t="s">
        <v>84</v>
      </c>
      <c r="C108" s="79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1.2000282709128909</v>
      </c>
      <c r="Q108" s="13">
        <f t="shared" si="4"/>
        <v>4635</v>
      </c>
    </row>
    <row r="109" spans="2:17" x14ac:dyDescent="0.25">
      <c r="B109" t="s">
        <v>85</v>
      </c>
      <c r="C109" s="79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1.2286761606694321</v>
      </c>
      <c r="Q109" s="13">
        <f t="shared" si="4"/>
        <v>4680</v>
      </c>
    </row>
    <row r="110" spans="2:17" x14ac:dyDescent="0.25">
      <c r="B110" t="s">
        <v>86</v>
      </c>
      <c r="C110" s="79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1.2573240504259733</v>
      </c>
      <c r="Q110" s="13">
        <f t="shared" si="4"/>
        <v>4725</v>
      </c>
    </row>
    <row r="111" spans="2:17" x14ac:dyDescent="0.25">
      <c r="B111" t="s">
        <v>87</v>
      </c>
      <c r="C111" s="79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1.2859719401825145</v>
      </c>
      <c r="Q111" s="13">
        <f t="shared" si="4"/>
        <v>4770</v>
      </c>
    </row>
    <row r="112" spans="2:17" x14ac:dyDescent="0.25">
      <c r="B112" t="s">
        <v>43</v>
      </c>
      <c r="C112" s="79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1.3146198299390557</v>
      </c>
      <c r="Q112" s="13">
        <f t="shared" si="4"/>
        <v>4815</v>
      </c>
    </row>
    <row r="113" spans="3:17" x14ac:dyDescent="0.25">
      <c r="C113" s="79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1.3432677196955969</v>
      </c>
      <c r="Q113" s="13">
        <f t="shared" si="4"/>
        <v>4860</v>
      </c>
    </row>
    <row r="114" spans="3:17" x14ac:dyDescent="0.25">
      <c r="C114" s="79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1.3719156094521376</v>
      </c>
      <c r="Q114" s="13">
        <f t="shared" si="4"/>
        <v>4904.9999999999991</v>
      </c>
    </row>
    <row r="115" spans="3:17" x14ac:dyDescent="0.25">
      <c r="C115" s="79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1.4005634992086788</v>
      </c>
      <c r="Q115" s="13">
        <f t="shared" si="4"/>
        <v>4949.9999999999991</v>
      </c>
    </row>
    <row r="116" spans="3:17" x14ac:dyDescent="0.25">
      <c r="C116" s="79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1.42921138896522</v>
      </c>
      <c r="Q116" s="13">
        <f t="shared" si="4"/>
        <v>4994.9999999999991</v>
      </c>
    </row>
    <row r="117" spans="3:17" x14ac:dyDescent="0.25">
      <c r="C117" s="79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1.4578592787217612</v>
      </c>
      <c r="Q117" s="13">
        <f t="shared" si="4"/>
        <v>5040</v>
      </c>
    </row>
    <row r="118" spans="3:17" x14ac:dyDescent="0.25">
      <c r="C118" s="79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1.4865071684783024</v>
      </c>
      <c r="Q118" s="13">
        <f t="shared" si="4"/>
        <v>5084.9999999999991</v>
      </c>
    </row>
    <row r="119" spans="3:17" x14ac:dyDescent="0.25">
      <c r="C119" s="79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1.5151550582348436</v>
      </c>
      <c r="Q119" s="13">
        <f t="shared" si="4"/>
        <v>5130</v>
      </c>
    </row>
    <row r="120" spans="3:17" x14ac:dyDescent="0.25">
      <c r="C120" s="79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1.5438029479913848</v>
      </c>
      <c r="Q120" s="13">
        <f t="shared" si="4"/>
        <v>5175</v>
      </c>
    </row>
    <row r="121" spans="3:17" x14ac:dyDescent="0.25">
      <c r="C121" s="79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1.572450837747926</v>
      </c>
      <c r="Q121" s="13">
        <f t="shared" si="4"/>
        <v>5220</v>
      </c>
    </row>
    <row r="122" spans="3:17" x14ac:dyDescent="0.25">
      <c r="C122" s="79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1.6010987275044672</v>
      </c>
      <c r="Q122" s="13">
        <f t="shared" si="4"/>
        <v>5265</v>
      </c>
    </row>
    <row r="123" spans="3:17" x14ac:dyDescent="0.25">
      <c r="C123" s="79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1.6297466172610084</v>
      </c>
      <c r="Q123" s="13">
        <f t="shared" si="4"/>
        <v>5310</v>
      </c>
    </row>
    <row r="124" spans="3:17" x14ac:dyDescent="0.25">
      <c r="C124" s="79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1.6583945070175496</v>
      </c>
      <c r="Q124" s="13">
        <f t="shared" si="4"/>
        <v>5355</v>
      </c>
    </row>
    <row r="125" spans="3:17" x14ac:dyDescent="0.25">
      <c r="C125" s="79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1.6870423967740908</v>
      </c>
      <c r="Q125" s="13">
        <f t="shared" si="4"/>
        <v>5400</v>
      </c>
    </row>
    <row r="126" spans="3:17" x14ac:dyDescent="0.25">
      <c r="C126" s="79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1.715690286530632</v>
      </c>
      <c r="Q126" s="13">
        <f t="shared" si="4"/>
        <v>5445</v>
      </c>
    </row>
    <row r="127" spans="3:17" x14ac:dyDescent="0.25">
      <c r="C127" s="79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1.7443381762871728</v>
      </c>
      <c r="Q127" s="13">
        <f t="shared" si="4"/>
        <v>5489.9999999999991</v>
      </c>
    </row>
    <row r="128" spans="3:17" x14ac:dyDescent="0.25">
      <c r="C128" s="79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1.772986066043714</v>
      </c>
      <c r="Q128" s="13">
        <f t="shared" si="4"/>
        <v>5535</v>
      </c>
    </row>
    <row r="129" spans="3:17" x14ac:dyDescent="0.25">
      <c r="C129" s="79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1.8016339558002552</v>
      </c>
      <c r="Q129" s="13">
        <f t="shared" si="4"/>
        <v>5579.9999999999991</v>
      </c>
    </row>
    <row r="130" spans="3:17" x14ac:dyDescent="0.25">
      <c r="C130" s="79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1.8302818455567964</v>
      </c>
      <c r="Q130" s="13">
        <f t="shared" si="4"/>
        <v>5625</v>
      </c>
    </row>
    <row r="131" spans="3:17" x14ac:dyDescent="0.25">
      <c r="C131" s="79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1.8589297353133376</v>
      </c>
      <c r="Q131" s="13">
        <f t="shared" si="4"/>
        <v>5669.9999999999991</v>
      </c>
    </row>
    <row r="132" spans="3:17" x14ac:dyDescent="0.25">
      <c r="C132" s="79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1.8875776250698788</v>
      </c>
      <c r="Q132" s="13">
        <f t="shared" si="4"/>
        <v>5715</v>
      </c>
    </row>
    <row r="133" spans="3:17" x14ac:dyDescent="0.25">
      <c r="C133" s="79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1.91622551482642</v>
      </c>
      <c r="Q133" s="13">
        <f t="shared" si="4"/>
        <v>5760</v>
      </c>
    </row>
    <row r="134" spans="3:17" x14ac:dyDescent="0.25">
      <c r="C134" s="79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1.9448734045829612</v>
      </c>
      <c r="Q134" s="13">
        <f t="shared" ref="Q134:Q159" si="7">(P134-P$5)*$G$18*10000</f>
        <v>5805</v>
      </c>
    </row>
    <row r="135" spans="3:17" x14ac:dyDescent="0.25">
      <c r="C135" s="79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1.9735212943395024</v>
      </c>
      <c r="Q135" s="13">
        <f t="shared" si="7"/>
        <v>5850</v>
      </c>
    </row>
    <row r="136" spans="3:17" x14ac:dyDescent="0.25">
      <c r="C136" s="79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2.0021691840960436</v>
      </c>
      <c r="Q136" s="13">
        <f t="shared" si="7"/>
        <v>5895</v>
      </c>
    </row>
    <row r="137" spans="3:17" x14ac:dyDescent="0.25">
      <c r="C137" s="79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2.0308170738525848</v>
      </c>
      <c r="Q137" s="13">
        <f t="shared" si="7"/>
        <v>5940</v>
      </c>
    </row>
    <row r="138" spans="3:17" x14ac:dyDescent="0.25">
      <c r="C138" s="79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2.059464963609126</v>
      </c>
      <c r="Q138" s="13">
        <f t="shared" si="7"/>
        <v>5985</v>
      </c>
    </row>
    <row r="139" spans="3:17" x14ac:dyDescent="0.25">
      <c r="C139" s="79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2.0881128533656672</v>
      </c>
      <c r="Q139" s="13">
        <f t="shared" si="7"/>
        <v>6030</v>
      </c>
    </row>
    <row r="140" spans="3:17" x14ac:dyDescent="0.25">
      <c r="C140" s="79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2.116760743122208</v>
      </c>
      <c r="Q140" s="13">
        <f t="shared" si="7"/>
        <v>6074.9999999999991</v>
      </c>
    </row>
    <row r="141" spans="3:17" x14ac:dyDescent="0.25">
      <c r="C141" s="79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2.1454086328787492</v>
      </c>
      <c r="Q141" s="13">
        <f t="shared" si="7"/>
        <v>6120</v>
      </c>
    </row>
    <row r="142" spans="3:17" x14ac:dyDescent="0.25">
      <c r="C142" s="79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2.1740565226352904</v>
      </c>
      <c r="Q142" s="13">
        <f t="shared" si="7"/>
        <v>6164.9999999999991</v>
      </c>
    </row>
    <row r="143" spans="3:17" x14ac:dyDescent="0.25">
      <c r="C143" s="79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2.2027044123918316</v>
      </c>
      <c r="Q143" s="13">
        <f t="shared" si="7"/>
        <v>6210</v>
      </c>
    </row>
    <row r="144" spans="3:17" x14ac:dyDescent="0.25">
      <c r="C144" s="79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2.2313523021483728</v>
      </c>
      <c r="Q144" s="13">
        <f t="shared" si="7"/>
        <v>6254.9999999999991</v>
      </c>
    </row>
    <row r="145" spans="3:17" x14ac:dyDescent="0.25">
      <c r="C145" s="79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2.2600001919049144</v>
      </c>
      <c r="Q145" s="13">
        <f t="shared" si="7"/>
        <v>6300</v>
      </c>
    </row>
    <row r="146" spans="3:17" x14ac:dyDescent="0.25">
      <c r="C146" s="79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2.2886480816614552</v>
      </c>
      <c r="Q146" s="13">
        <f t="shared" si="7"/>
        <v>6344.9999999999991</v>
      </c>
    </row>
    <row r="147" spans="3:17" x14ac:dyDescent="0.25">
      <c r="C147" s="79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2.3172959714179959</v>
      </c>
      <c r="Q147" s="13">
        <f t="shared" si="7"/>
        <v>6389.9999999999991</v>
      </c>
    </row>
    <row r="148" spans="3:17" x14ac:dyDescent="0.25">
      <c r="C148" s="79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2.3459438611745376</v>
      </c>
      <c r="Q148" s="13">
        <f t="shared" si="7"/>
        <v>6435</v>
      </c>
    </row>
    <row r="149" spans="3:17" x14ac:dyDescent="0.25">
      <c r="C149" s="79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2.3745917509310783</v>
      </c>
      <c r="Q149" s="13">
        <f t="shared" si="7"/>
        <v>6479.9999999999991</v>
      </c>
    </row>
    <row r="150" spans="3:17" x14ac:dyDescent="0.25">
      <c r="C150" s="79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2.40323964068762</v>
      </c>
      <c r="Q150" s="13">
        <f t="shared" si="7"/>
        <v>6525</v>
      </c>
    </row>
    <row r="151" spans="3:17" x14ac:dyDescent="0.25">
      <c r="C151" s="79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2.4318875304441607</v>
      </c>
      <c r="Q151" s="13">
        <f t="shared" si="7"/>
        <v>6569.9999999999991</v>
      </c>
    </row>
    <row r="152" spans="3:17" x14ac:dyDescent="0.25">
      <c r="C152" s="79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2.4605354202007024</v>
      </c>
      <c r="Q152" s="13">
        <f t="shared" si="7"/>
        <v>6615</v>
      </c>
    </row>
    <row r="153" spans="3:17" x14ac:dyDescent="0.25">
      <c r="C153" s="79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2.4891833099572431</v>
      </c>
      <c r="Q153" s="13">
        <f t="shared" si="7"/>
        <v>6659.9999999999991</v>
      </c>
    </row>
    <row r="154" spans="3:17" x14ac:dyDescent="0.25">
      <c r="C154" s="79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2.5178311997137848</v>
      </c>
      <c r="Q154" s="13">
        <f t="shared" si="7"/>
        <v>6705</v>
      </c>
    </row>
    <row r="155" spans="3:17" x14ac:dyDescent="0.25">
      <c r="C155" s="79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2.5464790894703255</v>
      </c>
      <c r="Q155" s="13">
        <f t="shared" si="7"/>
        <v>6749.9999999999991</v>
      </c>
    </row>
    <row r="156" spans="3:17" x14ac:dyDescent="0.25">
      <c r="C156" s="79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2.5751269792268672</v>
      </c>
      <c r="Q156" s="13">
        <f t="shared" si="7"/>
        <v>6795</v>
      </c>
    </row>
    <row r="157" spans="3:17" x14ac:dyDescent="0.25">
      <c r="C157" s="79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2.6037748689834079</v>
      </c>
      <c r="Q157" s="13">
        <f t="shared" si="7"/>
        <v>6839.9999999999991</v>
      </c>
    </row>
    <row r="158" spans="3:17" x14ac:dyDescent="0.25">
      <c r="C158" s="79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2.6324227587399496</v>
      </c>
      <c r="Q158" s="13">
        <f t="shared" si="7"/>
        <v>6885</v>
      </c>
    </row>
    <row r="159" spans="3:17" x14ac:dyDescent="0.25">
      <c r="C159" s="79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2.6610706484964903</v>
      </c>
      <c r="Q159" s="13">
        <f t="shared" si="7"/>
        <v>6929.9999999999991</v>
      </c>
    </row>
    <row r="160" spans="3:17" x14ac:dyDescent="0.25">
      <c r="C160" s="79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79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79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79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79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79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79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79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79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79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79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79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79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79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79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79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79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79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79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79"/>
      <c r="F179" s="5"/>
      <c r="G179" s="3"/>
      <c r="H179" s="3"/>
      <c r="I179"/>
      <c r="J179"/>
      <c r="K179" s="3"/>
      <c r="M179"/>
    </row>
    <row r="180" spans="3:13" x14ac:dyDescent="0.25">
      <c r="C180" s="79"/>
      <c r="F180" s="5"/>
      <c r="G180" s="3"/>
      <c r="H180" s="3"/>
      <c r="I180"/>
      <c r="J180"/>
      <c r="K180" s="3"/>
      <c r="M180"/>
    </row>
    <row r="181" spans="3:13" x14ac:dyDescent="0.25">
      <c r="C181" s="79"/>
      <c r="F181" s="5"/>
      <c r="G181" s="3"/>
      <c r="H181" s="3"/>
      <c r="I181"/>
      <c r="J181"/>
      <c r="K181" s="3"/>
      <c r="M181"/>
    </row>
    <row r="182" spans="3:13" x14ac:dyDescent="0.25">
      <c r="C182" s="79"/>
      <c r="F182" s="5"/>
      <c r="G182" s="3"/>
      <c r="H182" s="3"/>
      <c r="I182"/>
      <c r="J182"/>
      <c r="K182" s="3"/>
      <c r="M182"/>
    </row>
    <row r="183" spans="3:13" x14ac:dyDescent="0.25">
      <c r="C183" s="79"/>
      <c r="F183" s="5"/>
      <c r="G183" s="3"/>
      <c r="H183" s="3"/>
      <c r="I183"/>
      <c r="J183"/>
      <c r="K183" s="3"/>
      <c r="M183"/>
    </row>
    <row r="184" spans="3:13" x14ac:dyDescent="0.25">
      <c r="C184" s="79"/>
      <c r="F184" s="5"/>
      <c r="G184" s="3"/>
      <c r="H184" s="3"/>
      <c r="I184"/>
      <c r="J184"/>
      <c r="K184" s="3"/>
      <c r="M184"/>
    </row>
    <row r="185" spans="3:13" x14ac:dyDescent="0.25">
      <c r="C185" s="79"/>
      <c r="F185" s="5"/>
      <c r="G185" s="3"/>
      <c r="H185" s="3"/>
      <c r="I185"/>
      <c r="J185"/>
      <c r="K185" s="3"/>
      <c r="M185"/>
    </row>
    <row r="186" spans="3:13" x14ac:dyDescent="0.25">
      <c r="C186" s="79"/>
      <c r="F186" s="5"/>
      <c r="G186" s="3"/>
      <c r="H186" s="3"/>
      <c r="I186"/>
      <c r="J186"/>
      <c r="K186" s="3"/>
      <c r="M186"/>
    </row>
    <row r="187" spans="3:13" x14ac:dyDescent="0.25">
      <c r="C187" s="79"/>
      <c r="F187" s="5"/>
      <c r="G187" s="3"/>
      <c r="H187" s="3"/>
      <c r="I187"/>
      <c r="J187"/>
      <c r="K187" s="3"/>
      <c r="M187"/>
    </row>
    <row r="188" spans="3:13" x14ac:dyDescent="0.25">
      <c r="C188" s="79"/>
      <c r="F188" s="5"/>
      <c r="G188" s="3"/>
      <c r="H188" s="3"/>
      <c r="I188"/>
      <c r="J188"/>
      <c r="K188" s="3"/>
      <c r="M188"/>
    </row>
    <row r="189" spans="3:13" x14ac:dyDescent="0.25">
      <c r="C189" s="79"/>
      <c r="F189" s="5"/>
      <c r="G189" s="3"/>
      <c r="H189" s="3"/>
      <c r="I189"/>
      <c r="J189"/>
      <c r="K189" s="3"/>
      <c r="M189"/>
    </row>
    <row r="190" spans="3:13" x14ac:dyDescent="0.25">
      <c r="C190" s="79"/>
      <c r="F190" s="5"/>
      <c r="G190" s="3"/>
      <c r="H190" s="3"/>
      <c r="I190"/>
      <c r="J190"/>
      <c r="K190" s="3"/>
      <c r="M190"/>
    </row>
    <row r="191" spans="3:13" x14ac:dyDescent="0.25">
      <c r="C191" s="79"/>
      <c r="F191" s="5"/>
      <c r="G191" s="3"/>
      <c r="H191" s="3"/>
      <c r="I191"/>
      <c r="J191"/>
      <c r="K191" s="3"/>
      <c r="M191"/>
    </row>
    <row r="192" spans="3:13" x14ac:dyDescent="0.25">
      <c r="C192" s="79"/>
      <c r="F192" s="5"/>
      <c r="G192" s="3"/>
      <c r="H192" s="3"/>
      <c r="I192"/>
      <c r="J192"/>
      <c r="K192" s="3"/>
      <c r="M192"/>
    </row>
    <row r="193" spans="3:13" x14ac:dyDescent="0.25">
      <c r="C193" s="79"/>
      <c r="F193" s="5"/>
      <c r="G193" s="3"/>
      <c r="H193" s="3"/>
      <c r="I193"/>
      <c r="J193"/>
      <c r="K193" s="3"/>
      <c r="M193"/>
    </row>
    <row r="194" spans="3:13" x14ac:dyDescent="0.25">
      <c r="C194" s="79"/>
      <c r="F194" s="5"/>
      <c r="G194" s="3"/>
      <c r="H194" s="3"/>
      <c r="I194"/>
      <c r="J194"/>
      <c r="K194" s="3"/>
      <c r="M194"/>
    </row>
    <row r="195" spans="3:13" x14ac:dyDescent="0.25">
      <c r="C195" s="79"/>
      <c r="F195" s="5"/>
      <c r="G195" s="3"/>
      <c r="H195" s="3"/>
      <c r="I195"/>
      <c r="J195"/>
      <c r="K195" s="3"/>
      <c r="M195"/>
    </row>
    <row r="196" spans="3:13" x14ac:dyDescent="0.25">
      <c r="C196" s="79"/>
      <c r="F196" s="5"/>
      <c r="G196" s="3"/>
      <c r="H196" s="3"/>
      <c r="I196"/>
      <c r="J196"/>
      <c r="K196" s="3"/>
      <c r="M196"/>
    </row>
    <row r="197" spans="3:13" x14ac:dyDescent="0.25">
      <c r="C197" s="79"/>
      <c r="F197" s="5"/>
      <c r="G197" s="3"/>
      <c r="H197" s="3"/>
      <c r="I197"/>
      <c r="J197"/>
      <c r="K197" s="3"/>
      <c r="M197"/>
    </row>
    <row r="198" spans="3:13" x14ac:dyDescent="0.25">
      <c r="C198" s="79"/>
      <c r="F198" s="5"/>
      <c r="G198" s="3"/>
      <c r="H198" s="3"/>
      <c r="I198"/>
      <c r="J198"/>
      <c r="K198" s="3"/>
      <c r="M198"/>
    </row>
    <row r="199" spans="3:13" x14ac:dyDescent="0.25">
      <c r="C199" s="79"/>
      <c r="F199" s="5"/>
      <c r="G199" s="3"/>
      <c r="H199" s="3"/>
      <c r="I199"/>
      <c r="J199"/>
      <c r="K199" s="3"/>
      <c r="M199"/>
    </row>
    <row r="200" spans="3:13" x14ac:dyDescent="0.25">
      <c r="C200" s="79"/>
      <c r="F200" s="5"/>
      <c r="G200" s="3"/>
      <c r="H200" s="3"/>
      <c r="I200"/>
      <c r="J200"/>
      <c r="K200" s="3"/>
      <c r="M200"/>
    </row>
    <row r="201" spans="3:13" x14ac:dyDescent="0.25">
      <c r="C201" s="79"/>
      <c r="F201" s="5"/>
      <c r="G201" s="3"/>
      <c r="H201" s="3"/>
      <c r="I201"/>
      <c r="J201"/>
      <c r="K201" s="3"/>
      <c r="M201"/>
    </row>
    <row r="202" spans="3:13" x14ac:dyDescent="0.25">
      <c r="C202" s="79"/>
      <c r="F202" s="5"/>
      <c r="G202" s="3"/>
      <c r="H202" s="3"/>
      <c r="I202"/>
      <c r="J202"/>
      <c r="K202" s="3"/>
      <c r="M202"/>
    </row>
    <row r="203" spans="3:13" x14ac:dyDescent="0.25">
      <c r="C203" s="79"/>
      <c r="F203" s="5"/>
      <c r="G203" s="3"/>
      <c r="H203" s="3"/>
      <c r="I203"/>
      <c r="J203"/>
      <c r="K203" s="3"/>
      <c r="M203"/>
    </row>
    <row r="204" spans="3:13" x14ac:dyDescent="0.25">
      <c r="C204" s="79"/>
      <c r="F204" s="5"/>
      <c r="G204" s="3"/>
      <c r="H204" s="3"/>
      <c r="I204"/>
      <c r="J204"/>
      <c r="K204" s="3"/>
      <c r="M204"/>
    </row>
    <row r="205" spans="3:13" x14ac:dyDescent="0.25">
      <c r="C205" s="79"/>
      <c r="F205" s="5"/>
      <c r="G205" s="3"/>
      <c r="H205" s="3"/>
      <c r="I205"/>
      <c r="J205"/>
      <c r="K205" s="3"/>
      <c r="M205"/>
    </row>
    <row r="206" spans="3:13" x14ac:dyDescent="0.25">
      <c r="C206" s="79"/>
      <c r="F206" s="5"/>
      <c r="G206" s="3"/>
      <c r="H206" s="3"/>
      <c r="I206"/>
      <c r="J206"/>
      <c r="K206" s="3"/>
      <c r="M206"/>
    </row>
    <row r="207" spans="3:13" x14ac:dyDescent="0.25">
      <c r="C207" s="79"/>
      <c r="F207" s="5"/>
      <c r="G207" s="3"/>
      <c r="H207" s="3"/>
      <c r="I207"/>
      <c r="J207"/>
      <c r="K207" s="3"/>
      <c r="M207"/>
    </row>
    <row r="208" spans="3:13" x14ac:dyDescent="0.25">
      <c r="C208" s="79"/>
      <c r="F208" s="5"/>
      <c r="G208" s="3"/>
      <c r="H208" s="3"/>
      <c r="I208"/>
      <c r="J208"/>
      <c r="K208" s="3"/>
      <c r="M208"/>
    </row>
    <row r="209" spans="3:13" x14ac:dyDescent="0.25">
      <c r="C209" s="79"/>
      <c r="F209" s="5"/>
      <c r="G209" s="3"/>
      <c r="H209" s="3"/>
      <c r="I209"/>
      <c r="J209"/>
      <c r="K209" s="3"/>
      <c r="M209"/>
    </row>
    <row r="210" spans="3:13" x14ac:dyDescent="0.25">
      <c r="C210" s="79"/>
      <c r="F210" s="5"/>
      <c r="G210" s="3"/>
      <c r="H210" s="3"/>
      <c r="I210"/>
      <c r="J210"/>
      <c r="K210" s="3"/>
      <c r="M210"/>
    </row>
    <row r="211" spans="3:13" x14ac:dyDescent="0.25">
      <c r="C211" s="79"/>
      <c r="F211" s="5"/>
      <c r="G211" s="3"/>
      <c r="H211" s="3"/>
      <c r="I211"/>
      <c r="J211"/>
      <c r="K211" s="3"/>
      <c r="M211"/>
    </row>
    <row r="212" spans="3:13" x14ac:dyDescent="0.25">
      <c r="C212" s="79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topLeftCell="B1" workbookViewId="0">
      <selection activeCell="H6" sqref="H6"/>
    </sheetView>
  </sheetViews>
  <sheetFormatPr baseColWidth="10" defaultRowHeight="15" x14ac:dyDescent="0.25"/>
  <cols>
    <col min="1" max="1" width="13.140625" customWidth="1"/>
    <col min="2" max="2" width="23.140625" customWidth="1"/>
    <col min="3" max="3" width="28.85546875" customWidth="1"/>
    <col min="4" max="4" width="59.85546875" customWidth="1"/>
    <col min="5" max="5" width="35.85546875" customWidth="1"/>
    <col min="6" max="6" width="22" customWidth="1"/>
    <col min="7" max="7" width="29.7109375" customWidth="1"/>
    <col min="8" max="8" width="33.28515625" style="5" customWidth="1"/>
    <col min="9" max="9" width="22.5703125" style="3" customWidth="1"/>
    <col min="10" max="10" width="30.140625" style="3" customWidth="1"/>
    <col min="11" max="11" width="29.42578125" customWidth="1"/>
    <col min="12" max="12" width="17.85546875" customWidth="1"/>
    <col min="13" max="13" width="13.42578125" style="3" customWidth="1"/>
    <col min="14" max="14" width="26" customWidth="1"/>
    <col min="15" max="15" width="27.7109375" customWidth="1"/>
    <col min="16" max="16" width="17.28515625" customWidth="1"/>
    <col min="17" max="17" width="17.85546875" customWidth="1"/>
  </cols>
  <sheetData>
    <row r="1" spans="1:17" x14ac:dyDescent="0.25">
      <c r="A1" t="s">
        <v>88</v>
      </c>
      <c r="B1" s="2">
        <v>42738</v>
      </c>
      <c r="D1">
        <f>0.25*1.5</f>
        <v>0.375</v>
      </c>
      <c r="E1" s="14">
        <f>300*12/14</f>
        <v>257.14285714285717</v>
      </c>
      <c r="F1" s="14">
        <f>E1*14</f>
        <v>3600.0000000000005</v>
      </c>
      <c r="H1" t="s">
        <v>171</v>
      </c>
      <c r="I1" s="6">
        <v>299792458</v>
      </c>
      <c r="J1" t="s">
        <v>172</v>
      </c>
      <c r="K1" s="14">
        <f>0.01/G10</f>
        <v>8.3756388019774326E-17</v>
      </c>
      <c r="L1">
        <v>176899451538571</v>
      </c>
      <c r="M1" s="4">
        <v>7.5600000000000001E-2</v>
      </c>
      <c r="N1" s="1">
        <f>M2/M1</f>
        <v>2.2652840907205291E-13</v>
      </c>
      <c r="O1" s="1">
        <f>1.33*1.5</f>
        <v>1.9950000000000001</v>
      </c>
      <c r="P1">
        <f>SQRT(5)</f>
        <v>2.2360679774997898</v>
      </c>
    </row>
    <row r="2" spans="1:17" x14ac:dyDescent="0.25">
      <c r="D2" t="s">
        <v>212</v>
      </c>
      <c r="E2" t="s">
        <v>321</v>
      </c>
      <c r="F2">
        <f>60*1750/2000</f>
        <v>52.5</v>
      </c>
      <c r="G2" s="14">
        <f>0.000005*1000000000000000/I1</f>
        <v>16.678204759907601</v>
      </c>
      <c r="H2" s="5" t="s">
        <v>199</v>
      </c>
      <c r="I2" s="3">
        <v>0.51099892137635139</v>
      </c>
      <c r="J2" s="3" t="s">
        <v>198</v>
      </c>
      <c r="K2" s="14">
        <f>K1*30000000000*10000</f>
        <v>2.5126916405932301E-2</v>
      </c>
      <c r="M2" s="4">
        <v>1.71255477258472E-14</v>
      </c>
      <c r="Q2" t="s">
        <v>206</v>
      </c>
    </row>
    <row r="3" spans="1:17" ht="34.5" customHeight="1" x14ac:dyDescent="0.25">
      <c r="A3" t="s">
        <v>89</v>
      </c>
      <c r="B3" s="87" t="s">
        <v>325</v>
      </c>
      <c r="C3" s="87"/>
      <c r="D3" s="87"/>
      <c r="E3">
        <f>1.5*26/30</f>
        <v>1.3</v>
      </c>
      <c r="F3">
        <f>4.08*1.08</f>
        <v>4.4064000000000005</v>
      </c>
      <c r="G3">
        <f>15*SQRT(650/675)</f>
        <v>14.719601443879744</v>
      </c>
      <c r="Q3" t="s">
        <v>207</v>
      </c>
    </row>
    <row r="4" spans="1:17" x14ac:dyDescent="0.25">
      <c r="B4" t="s">
        <v>95</v>
      </c>
      <c r="D4">
        <f>0.75*16.1/20</f>
        <v>0.60375000000000001</v>
      </c>
      <c r="H4" s="5" t="s">
        <v>152</v>
      </c>
      <c r="I4" s="3" t="s">
        <v>91</v>
      </c>
      <c r="J4" s="3" t="s">
        <v>154</v>
      </c>
      <c r="L4" s="15" t="s">
        <v>96</v>
      </c>
      <c r="M4" s="16"/>
      <c r="N4" s="15" t="s">
        <v>217</v>
      </c>
      <c r="O4" s="3" t="s">
        <v>208</v>
      </c>
      <c r="P4" s="3" t="s">
        <v>219</v>
      </c>
      <c r="Q4" s="3" t="s">
        <v>322</v>
      </c>
    </row>
    <row r="5" spans="1:17" x14ac:dyDescent="0.25">
      <c r="B5" t="s">
        <v>90</v>
      </c>
      <c r="C5" s="81" t="s">
        <v>91</v>
      </c>
      <c r="D5" t="s">
        <v>92</v>
      </c>
      <c r="E5" t="s">
        <v>93</v>
      </c>
      <c r="F5" s="5"/>
      <c r="G5" s="3"/>
      <c r="H5" s="3"/>
      <c r="I5"/>
      <c r="J5" t="s">
        <v>90</v>
      </c>
      <c r="K5" s="3" t="s">
        <v>91</v>
      </c>
      <c r="L5" t="s">
        <v>94</v>
      </c>
      <c r="M5" t="s">
        <v>93</v>
      </c>
      <c r="O5" s="3">
        <f>0</f>
        <v>0</v>
      </c>
      <c r="P5" s="13">
        <f>$C$24*O5+$C$21</f>
        <v>-1.4323944878270585</v>
      </c>
      <c r="Q5" s="13">
        <f>(P5-P$5)*$G$18*10000</f>
        <v>0</v>
      </c>
    </row>
    <row r="6" spans="1:17" x14ac:dyDescent="0.25">
      <c r="A6" t="s">
        <v>0</v>
      </c>
      <c r="C6" s="81"/>
      <c r="E6">
        <f>25*0.05</f>
        <v>1.25</v>
      </c>
      <c r="G6" s="5" t="s">
        <v>153</v>
      </c>
      <c r="H6" s="83">
        <v>4.479E+18</v>
      </c>
      <c r="I6" s="3" t="s">
        <v>155</v>
      </c>
      <c r="J6" s="17" t="s">
        <v>97</v>
      </c>
      <c r="K6" s="3">
        <f>C7+5</f>
        <v>505</v>
      </c>
      <c r="M6"/>
      <c r="O6" s="3">
        <f>O5+1</f>
        <v>1</v>
      </c>
      <c r="P6" s="13">
        <f t="shared" ref="P6:P69" si="0">$C$24*O6+$C$21</f>
        <v>-1.3687325105903003</v>
      </c>
      <c r="Q6" s="13">
        <f t="shared" ref="Q6:Q69" si="1">(P6-P$5)*$G$18*10000</f>
        <v>100</v>
      </c>
    </row>
    <row r="7" spans="1:17" x14ac:dyDescent="0.25">
      <c r="B7" t="s">
        <v>1</v>
      </c>
      <c r="C7" s="81">
        <v>500</v>
      </c>
      <c r="D7" t="s">
        <v>126</v>
      </c>
      <c r="F7" s="5" t="s">
        <v>158</v>
      </c>
      <c r="G7" s="3">
        <v>0.8</v>
      </c>
      <c r="H7" s="3" t="s">
        <v>159</v>
      </c>
      <c r="I7"/>
      <c r="J7" s="17" t="s">
        <v>98</v>
      </c>
      <c r="K7" s="3">
        <f>C8+5</f>
        <v>405</v>
      </c>
      <c r="M7"/>
      <c r="O7" s="3">
        <f>O6+1</f>
        <v>2</v>
      </c>
      <c r="P7" s="13">
        <f t="shared" si="0"/>
        <v>-1.3050705333535422</v>
      </c>
      <c r="Q7" s="13">
        <f t="shared" si="1"/>
        <v>200</v>
      </c>
    </row>
    <row r="8" spans="1:17" x14ac:dyDescent="0.25">
      <c r="B8" t="s">
        <v>2</v>
      </c>
      <c r="C8" s="81">
        <v>400</v>
      </c>
      <c r="D8" t="s">
        <v>127</v>
      </c>
      <c r="F8" s="5" t="s">
        <v>157</v>
      </c>
      <c r="G8" s="6">
        <f>1.11485E+21/G7^2</f>
        <v>1.7419531249999995E+21</v>
      </c>
      <c r="H8" s="3" t="s">
        <v>155</v>
      </c>
      <c r="I8"/>
      <c r="J8" s="17" t="s">
        <v>99</v>
      </c>
      <c r="K8" s="3">
        <v>9999</v>
      </c>
      <c r="M8"/>
      <c r="O8" s="3">
        <f t="shared" ref="O8:O71" si="2">O7+1</f>
        <v>3</v>
      </c>
      <c r="P8" s="13">
        <f t="shared" si="0"/>
        <v>-1.241408556116784</v>
      </c>
      <c r="Q8" s="13">
        <f t="shared" si="1"/>
        <v>300</v>
      </c>
    </row>
    <row r="9" spans="1:17" x14ac:dyDescent="0.25">
      <c r="B9" t="s">
        <v>3</v>
      </c>
      <c r="C9" s="81">
        <v>150</v>
      </c>
      <c r="E9" s="14">
        <f>E10*1000000000/I1</f>
        <v>1.2479678147990467</v>
      </c>
      <c r="F9" s="5" t="s">
        <v>209</v>
      </c>
      <c r="G9" s="6">
        <f>SQRT(G8/H6)</f>
        <v>19.72094404611769</v>
      </c>
      <c r="H9" s="3"/>
      <c r="I9"/>
      <c r="J9" s="17" t="s">
        <v>100</v>
      </c>
      <c r="K9" s="3">
        <v>25</v>
      </c>
      <c r="M9">
        <f>25*305</f>
        <v>7625</v>
      </c>
      <c r="O9" s="3">
        <f t="shared" si="2"/>
        <v>4</v>
      </c>
      <c r="P9" s="13">
        <f t="shared" si="0"/>
        <v>-1.1777465788800259</v>
      </c>
      <c r="Q9" s="13">
        <f t="shared" si="1"/>
        <v>400</v>
      </c>
    </row>
    <row r="10" spans="1:17" x14ac:dyDescent="0.25">
      <c r="B10" t="s">
        <v>4</v>
      </c>
      <c r="C10" s="81">
        <v>250</v>
      </c>
      <c r="E10" s="14">
        <f>0.149/E16</f>
        <v>0.37413133870349496</v>
      </c>
      <c r="F10" s="5" t="s">
        <v>156</v>
      </c>
      <c r="G10" s="6">
        <f xml:space="preserve"> 56414.602*SQRT(H6)</f>
        <v>119393878322917.5</v>
      </c>
      <c r="H10" s="3" t="s">
        <v>189</v>
      </c>
      <c r="I10"/>
      <c r="J10" s="17" t="s">
        <v>101</v>
      </c>
      <c r="K10" s="3">
        <v>100</v>
      </c>
      <c r="M10"/>
      <c r="O10" s="3">
        <f t="shared" si="2"/>
        <v>5</v>
      </c>
      <c r="P10" s="13">
        <f t="shared" si="0"/>
        <v>-1.1140846016432677</v>
      </c>
      <c r="Q10" s="13">
        <f t="shared" si="1"/>
        <v>500</v>
      </c>
    </row>
    <row r="11" spans="1:17" x14ac:dyDescent="0.25">
      <c r="B11" t="s">
        <v>5</v>
      </c>
      <c r="C11" s="81">
        <v>10</v>
      </c>
      <c r="D11">
        <f>20/SQRT(2)</f>
        <v>14.142135623730949</v>
      </c>
      <c r="F11" s="5" t="s">
        <v>174</v>
      </c>
      <c r="G11" s="6">
        <f>1000000*I1*2*PI()/G7</f>
        <v>2354564459136066.5</v>
      </c>
      <c r="H11" s="3" t="s">
        <v>189</v>
      </c>
      <c r="I11"/>
      <c r="J11" s="17" t="s">
        <v>102</v>
      </c>
      <c r="K11" s="3">
        <v>1</v>
      </c>
      <c r="M11"/>
      <c r="O11" s="3">
        <f t="shared" si="2"/>
        <v>6</v>
      </c>
      <c r="P11" s="13">
        <f t="shared" si="0"/>
        <v>-1.0504226244065096</v>
      </c>
      <c r="Q11" s="13">
        <f t="shared" si="1"/>
        <v>600</v>
      </c>
    </row>
    <row r="12" spans="1:17" x14ac:dyDescent="0.25">
      <c r="B12" t="s">
        <v>6</v>
      </c>
      <c r="C12" s="81">
        <v>5</v>
      </c>
      <c r="D12">
        <f>4.307*1.04/1.08</f>
        <v>4.1474814814814813</v>
      </c>
      <c r="F12" s="5" t="s">
        <v>160</v>
      </c>
      <c r="G12" s="7">
        <f>SQRT(H6/G8)</f>
        <v>5.0707511651647434E-2</v>
      </c>
      <c r="H12" s="3" t="s">
        <v>87</v>
      </c>
      <c r="I12"/>
      <c r="J12" s="17" t="s">
        <v>218</v>
      </c>
      <c r="K12" s="3">
        <v>4</v>
      </c>
      <c r="M12"/>
      <c r="O12" s="3">
        <f t="shared" si="2"/>
        <v>7</v>
      </c>
      <c r="P12" s="13">
        <f t="shared" si="0"/>
        <v>-0.98676064716975143</v>
      </c>
      <c r="Q12" s="13">
        <f t="shared" si="1"/>
        <v>700.00000000000011</v>
      </c>
    </row>
    <row r="13" spans="1:17" x14ac:dyDescent="0.25">
      <c r="B13" t="s">
        <v>7</v>
      </c>
      <c r="C13" s="81">
        <v>2</v>
      </c>
      <c r="D13">
        <f>D12*1.08</f>
        <v>4.4792800000000002</v>
      </c>
      <c r="F13" s="5" t="s">
        <v>161</v>
      </c>
      <c r="G13" s="6">
        <f>0.0001*G7*SQRT(G8/H6)</f>
        <v>1.5776755236894154E-3</v>
      </c>
      <c r="H13" s="3" t="s">
        <v>162</v>
      </c>
      <c r="I13"/>
      <c r="J13" s="17" t="s">
        <v>103</v>
      </c>
      <c r="K13" s="3">
        <v>100</v>
      </c>
      <c r="M13"/>
      <c r="O13" s="3">
        <f t="shared" si="2"/>
        <v>8</v>
      </c>
      <c r="P13" s="13">
        <f t="shared" si="0"/>
        <v>-0.92309866993299328</v>
      </c>
      <c r="Q13" s="13">
        <f t="shared" si="1"/>
        <v>800</v>
      </c>
    </row>
    <row r="14" spans="1:17" x14ac:dyDescent="0.25">
      <c r="B14" t="s">
        <v>8</v>
      </c>
      <c r="C14" s="21">
        <f>G24</f>
        <v>2.8393070630564918</v>
      </c>
      <c r="D14" t="s">
        <v>139</v>
      </c>
      <c r="E14" s="14">
        <f>0.5*G14</f>
        <v>7.8883776184470769</v>
      </c>
      <c r="F14" s="5" t="s">
        <v>181</v>
      </c>
      <c r="G14" s="6">
        <f>10000*G13</f>
        <v>15.776755236894154</v>
      </c>
      <c r="H14" s="3" t="s">
        <v>166</v>
      </c>
      <c r="I14" s="14">
        <v>80</v>
      </c>
      <c r="J14" s="17" t="s">
        <v>104</v>
      </c>
      <c r="K14" s="3">
        <v>100000</v>
      </c>
      <c r="M14"/>
      <c r="O14" s="3">
        <f t="shared" si="2"/>
        <v>9</v>
      </c>
      <c r="P14" s="13">
        <f t="shared" si="0"/>
        <v>-0.85943669269623513</v>
      </c>
      <c r="Q14" s="13">
        <f t="shared" si="1"/>
        <v>900</v>
      </c>
    </row>
    <row r="15" spans="1:17" x14ac:dyDescent="0.25">
      <c r="B15" t="s">
        <v>9</v>
      </c>
      <c r="C15" s="81">
        <v>4</v>
      </c>
      <c r="D15" t="s">
        <v>138</v>
      </c>
      <c r="E15" s="14">
        <f>E14/16.7</f>
        <v>0.47235794122437585</v>
      </c>
      <c r="F15" s="5" t="s">
        <v>190</v>
      </c>
      <c r="G15" s="6">
        <f>2*PI()*1000000000000000/G10</f>
        <v>52.625690658827828</v>
      </c>
      <c r="H15" s="3" t="s">
        <v>169</v>
      </c>
      <c r="I15"/>
      <c r="J15" s="17" t="s">
        <v>105</v>
      </c>
      <c r="K15" s="3">
        <v>150</v>
      </c>
      <c r="M15"/>
      <c r="O15" s="3">
        <f t="shared" si="2"/>
        <v>10</v>
      </c>
      <c r="P15" s="13">
        <f t="shared" si="0"/>
        <v>-0.79577471545947698</v>
      </c>
      <c r="Q15" s="13">
        <f t="shared" si="1"/>
        <v>1000</v>
      </c>
    </row>
    <row r="16" spans="1:17" x14ac:dyDescent="0.25">
      <c r="B16" t="s">
        <v>10</v>
      </c>
      <c r="C16" s="81">
        <v>15</v>
      </c>
      <c r="D16" t="s">
        <v>255</v>
      </c>
      <c r="E16" s="14">
        <f>0.0001*G16</f>
        <v>0.39825586521658607</v>
      </c>
      <c r="F16" s="5" t="s">
        <v>163</v>
      </c>
      <c r="G16" s="6">
        <f>2*PI()/G13</f>
        <v>3982.5586521658606</v>
      </c>
      <c r="H16" s="3" t="s">
        <v>164</v>
      </c>
      <c r="I16" s="1">
        <v>-2.4736000000000002E-4</v>
      </c>
      <c r="J16" s="17" t="s">
        <v>106</v>
      </c>
      <c r="K16" s="3">
        <v>150</v>
      </c>
      <c r="M16"/>
      <c r="O16" s="3">
        <f t="shared" si="2"/>
        <v>11</v>
      </c>
      <c r="P16" s="13">
        <f t="shared" si="0"/>
        <v>-0.73211273822271883</v>
      </c>
      <c r="Q16" s="13">
        <f t="shared" si="1"/>
        <v>1100</v>
      </c>
    </row>
    <row r="17" spans="2:17" x14ac:dyDescent="0.25">
      <c r="B17" t="s">
        <v>11</v>
      </c>
      <c r="C17" s="22">
        <f>G20</f>
        <v>7.9651173043317218</v>
      </c>
      <c r="D17" t="s">
        <v>140</v>
      </c>
      <c r="E17">
        <f>1/G17</f>
        <v>0.05</v>
      </c>
      <c r="F17" s="5" t="s">
        <v>165</v>
      </c>
      <c r="G17" s="3">
        <v>20</v>
      </c>
      <c r="H17" s="3" t="s">
        <v>166</v>
      </c>
      <c r="I17" s="1">
        <f>100*I16*G16</f>
        <v>-98.512570819974727</v>
      </c>
      <c r="J17" s="17" t="s">
        <v>107</v>
      </c>
      <c r="K17" s="3">
        <v>18</v>
      </c>
      <c r="M17">
        <f>1.8*1.8</f>
        <v>3.24</v>
      </c>
      <c r="O17" s="3">
        <f t="shared" si="2"/>
        <v>12</v>
      </c>
      <c r="P17" s="13">
        <f t="shared" si="0"/>
        <v>-0.66845076098596068</v>
      </c>
      <c r="Q17" s="13">
        <f t="shared" si="1"/>
        <v>1200</v>
      </c>
    </row>
    <row r="18" spans="2:17" x14ac:dyDescent="0.25">
      <c r="B18" t="s">
        <v>110</v>
      </c>
      <c r="C18" s="81">
        <v>7</v>
      </c>
      <c r="D18" t="s">
        <v>141</v>
      </c>
      <c r="E18" s="14">
        <f>10000*G18</f>
        <v>1570.7963267948962</v>
      </c>
      <c r="F18" s="5" t="s">
        <v>195</v>
      </c>
      <c r="G18" s="3">
        <f>0.0001*PI()*G17*G17/G7</f>
        <v>0.15707963267948963</v>
      </c>
      <c r="H18" s="3" t="s">
        <v>162</v>
      </c>
      <c r="I18">
        <f>0.5*100/G18</f>
        <v>318.30988618379075</v>
      </c>
      <c r="J18" s="17" t="s">
        <v>108</v>
      </c>
      <c r="K18" s="3">
        <v>4</v>
      </c>
      <c r="M18"/>
      <c r="O18" s="3">
        <f t="shared" si="2"/>
        <v>13</v>
      </c>
      <c r="P18" s="13">
        <f t="shared" si="0"/>
        <v>-0.60478878374920253</v>
      </c>
      <c r="Q18" s="13">
        <f t="shared" si="1"/>
        <v>1300</v>
      </c>
    </row>
    <row r="19" spans="2:17" x14ac:dyDescent="0.25">
      <c r="B19" t="s">
        <v>12</v>
      </c>
      <c r="C19" s="23">
        <v>0.60375000000000001</v>
      </c>
      <c r="D19" t="s">
        <v>142</v>
      </c>
      <c r="E19">
        <f>SQRT(C19*0.7)</f>
        <v>0.65009614673523486</v>
      </c>
      <c r="F19" s="5" t="s">
        <v>196</v>
      </c>
      <c r="G19" s="6">
        <f>G18*G16</f>
        <v>625.57885020673666</v>
      </c>
      <c r="H19" s="3" t="s">
        <v>167</v>
      </c>
      <c r="I19"/>
      <c r="J19" s="17" t="s">
        <v>109</v>
      </c>
      <c r="K19" s="4">
        <v>1000000</v>
      </c>
      <c r="M19"/>
      <c r="O19" s="3">
        <f t="shared" si="2"/>
        <v>14</v>
      </c>
      <c r="P19" s="13">
        <f t="shared" si="0"/>
        <v>-0.54112680651244438</v>
      </c>
      <c r="Q19" s="13">
        <f t="shared" si="1"/>
        <v>1400.0000000000002</v>
      </c>
    </row>
    <row r="20" spans="2:17" x14ac:dyDescent="0.25">
      <c r="B20" t="s">
        <v>254</v>
      </c>
      <c r="C20" s="81">
        <v>2</v>
      </c>
      <c r="D20" t="s">
        <v>143</v>
      </c>
      <c r="E20">
        <v>7.1294579999999996</v>
      </c>
      <c r="F20" s="5" t="s">
        <v>11</v>
      </c>
      <c r="G20" s="7">
        <f>0.0001*G17*G16</f>
        <v>7.9651173043317218</v>
      </c>
      <c r="H20" s="3" t="s">
        <v>167</v>
      </c>
      <c r="I20"/>
      <c r="J20"/>
      <c r="K20" s="3"/>
      <c r="M20"/>
      <c r="O20" s="3">
        <f t="shared" si="2"/>
        <v>15</v>
      </c>
      <c r="P20" s="13">
        <f t="shared" si="0"/>
        <v>-0.47746482927568623</v>
      </c>
      <c r="Q20" s="13">
        <f t="shared" si="1"/>
        <v>1500</v>
      </c>
    </row>
    <row r="21" spans="2:17" x14ac:dyDescent="0.25">
      <c r="B21" t="s">
        <v>13</v>
      </c>
      <c r="C21" s="22">
        <f>-0.225/G$18</f>
        <v>-1.4323944878270585</v>
      </c>
      <c r="D21" t="s">
        <v>144</v>
      </c>
      <c r="E21" s="20">
        <f>10000*E20/G16</f>
        <v>17.90170245483451</v>
      </c>
      <c r="F21" s="5" t="s">
        <v>168</v>
      </c>
      <c r="G21" s="3">
        <v>28</v>
      </c>
      <c r="H21" s="3" t="s">
        <v>169</v>
      </c>
      <c r="I21"/>
      <c r="J21" s="18" t="s">
        <v>111</v>
      </c>
      <c r="K21" s="19"/>
      <c r="L21" s="18" t="s">
        <v>112</v>
      </c>
      <c r="M21" s="18"/>
      <c r="N21" s="18"/>
      <c r="O21" s="3">
        <f t="shared" si="2"/>
        <v>16</v>
      </c>
      <c r="P21" s="13">
        <f t="shared" si="0"/>
        <v>-0.41380285203892808</v>
      </c>
      <c r="Q21" s="13">
        <f t="shared" si="1"/>
        <v>1600</v>
      </c>
    </row>
    <row r="22" spans="2:17" x14ac:dyDescent="0.25">
      <c r="B22" t="s">
        <v>14</v>
      </c>
      <c r="C22" s="81">
        <v>5000000</v>
      </c>
      <c r="D22" t="s">
        <v>128</v>
      </c>
      <c r="F22" s="5" t="s">
        <v>170</v>
      </c>
      <c r="G22" s="9">
        <f>G21/SQRT(2*LN(2))</f>
        <v>23.781010408064535</v>
      </c>
      <c r="H22" s="3" t="s">
        <v>169</v>
      </c>
      <c r="I22"/>
      <c r="J22" s="18" t="s">
        <v>90</v>
      </c>
      <c r="K22" s="19" t="s">
        <v>91</v>
      </c>
      <c r="L22" s="18" t="s">
        <v>94</v>
      </c>
      <c r="M22" s="18" t="s">
        <v>93</v>
      </c>
      <c r="N22" s="18"/>
      <c r="O22" s="3">
        <f t="shared" si="2"/>
        <v>17</v>
      </c>
      <c r="P22" s="13">
        <f t="shared" si="0"/>
        <v>-0.35014087480216993</v>
      </c>
      <c r="Q22" s="13">
        <f t="shared" si="1"/>
        <v>1700.0000000000002</v>
      </c>
    </row>
    <row r="23" spans="2:17" x14ac:dyDescent="0.25">
      <c r="B23" t="s">
        <v>15</v>
      </c>
      <c r="C23" s="22">
        <f>0.225/G$18</f>
        <v>1.4323944878270585</v>
      </c>
      <c r="D23" t="s">
        <v>145</v>
      </c>
      <c r="F23" s="5" t="s">
        <v>173</v>
      </c>
      <c r="G23" s="10">
        <f>I$1*0.000000000000001*1000000*G21</f>
        <v>8.3941888240000004</v>
      </c>
      <c r="H23" s="3" t="s">
        <v>166</v>
      </c>
      <c r="I23"/>
      <c r="J23" s="18" t="s">
        <v>113</v>
      </c>
      <c r="K23" s="19">
        <v>1</v>
      </c>
      <c r="L23" s="18" t="s">
        <v>114</v>
      </c>
      <c r="M23" s="18" t="s">
        <v>115</v>
      </c>
      <c r="N23" s="18"/>
      <c r="O23" s="3">
        <f t="shared" si="2"/>
        <v>18</v>
      </c>
      <c r="P23" s="13">
        <f t="shared" si="0"/>
        <v>-0.28647889756541178</v>
      </c>
      <c r="Q23" s="13">
        <f t="shared" si="1"/>
        <v>1800</v>
      </c>
    </row>
    <row r="24" spans="2:17" x14ac:dyDescent="0.25">
      <c r="B24" t="s">
        <v>16</v>
      </c>
      <c r="C24" s="81">
        <f>(C23-C21)/45</f>
        <v>6.3661977236758149E-2</v>
      </c>
      <c r="D24" t="s">
        <v>146</v>
      </c>
      <c r="F24" s="5" t="s">
        <v>8</v>
      </c>
      <c r="G24" s="11">
        <f>0.000000000000001*G22*G10</f>
        <v>2.8393070630564918</v>
      </c>
      <c r="H24" s="3" t="s">
        <v>167</v>
      </c>
      <c r="I24"/>
      <c r="J24" s="18" t="s">
        <v>120</v>
      </c>
      <c r="K24" s="19">
        <v>1836.2</v>
      </c>
      <c r="L24" s="18" t="s">
        <v>114</v>
      </c>
      <c r="M24" s="18" t="s">
        <v>121</v>
      </c>
      <c r="N24" s="18"/>
      <c r="O24" s="3">
        <f t="shared" si="2"/>
        <v>19</v>
      </c>
      <c r="P24" s="13">
        <f t="shared" si="0"/>
        <v>-0.22281692032865363</v>
      </c>
      <c r="Q24" s="13">
        <f t="shared" si="1"/>
        <v>1900</v>
      </c>
    </row>
    <row r="25" spans="2:17" x14ac:dyDescent="0.25">
      <c r="B25" t="s">
        <v>17</v>
      </c>
      <c r="C25" s="81">
        <v>300</v>
      </c>
      <c r="D25">
        <f>3.21/2.92</f>
        <v>1.0993150684931507</v>
      </c>
      <c r="E25">
        <f>G25*375/600</f>
        <v>13.649566914410308</v>
      </c>
      <c r="F25" s="5" t="s">
        <v>175</v>
      </c>
      <c r="G25" s="11">
        <f>C14+C15+C16</f>
        <v>21.839307063056491</v>
      </c>
      <c r="H25" s="3" t="s">
        <v>167</v>
      </c>
      <c r="I25"/>
      <c r="J25" s="18" t="s">
        <v>116</v>
      </c>
      <c r="K25" s="19">
        <v>13.599</v>
      </c>
      <c r="L25" s="18" t="s">
        <v>114</v>
      </c>
      <c r="M25" s="18" t="s">
        <v>122</v>
      </c>
      <c r="N25" s="18"/>
      <c r="O25" s="3">
        <f t="shared" si="2"/>
        <v>20</v>
      </c>
      <c r="P25" s="13">
        <f t="shared" si="0"/>
        <v>-0.15915494309189548</v>
      </c>
      <c r="Q25" s="13">
        <f t="shared" si="1"/>
        <v>2000</v>
      </c>
    </row>
    <row r="26" spans="2:17" x14ac:dyDescent="0.25">
      <c r="B26" t="s">
        <v>18</v>
      </c>
      <c r="C26" s="81">
        <v>6</v>
      </c>
      <c r="D26">
        <f>2*C19</f>
        <v>1.2075</v>
      </c>
      <c r="E26" s="12"/>
      <c r="F26" s="5" t="s">
        <v>178</v>
      </c>
      <c r="G26" s="11">
        <f>G20*C18</f>
        <v>55.755821130322055</v>
      </c>
      <c r="H26" s="3" t="s">
        <v>167</v>
      </c>
      <c r="I26"/>
      <c r="J26" s="18" t="s">
        <v>117</v>
      </c>
      <c r="K26" s="19">
        <v>1</v>
      </c>
      <c r="L26" s="18" t="s">
        <v>114</v>
      </c>
      <c r="M26" s="18" t="s">
        <v>123</v>
      </c>
      <c r="N26" s="18"/>
      <c r="O26" s="3">
        <f t="shared" si="2"/>
        <v>21</v>
      </c>
      <c r="P26" s="13">
        <f t="shared" si="0"/>
        <v>-9.5492965855137335E-2</v>
      </c>
      <c r="Q26" s="13">
        <f t="shared" si="1"/>
        <v>2100</v>
      </c>
    </row>
    <row r="27" spans="2:17" x14ac:dyDescent="0.25">
      <c r="B27" t="s">
        <v>19</v>
      </c>
      <c r="C27" s="81">
        <v>50</v>
      </c>
      <c r="D27">
        <f>2.262068</f>
        <v>2.2620680000000002</v>
      </c>
      <c r="E27">
        <f>0.215*608</f>
        <v>130.72</v>
      </c>
      <c r="F27" s="5" t="s">
        <v>176</v>
      </c>
      <c r="G27" s="6">
        <f>10000*G25/G16</f>
        <v>54.837377099718239</v>
      </c>
      <c r="H27" s="3" t="s">
        <v>166</v>
      </c>
      <c r="I27"/>
      <c r="J27" s="18" t="s">
        <v>118</v>
      </c>
      <c r="K27" s="19">
        <v>0</v>
      </c>
      <c r="L27" s="18" t="s">
        <v>114</v>
      </c>
      <c r="M27" s="18" t="s">
        <v>124</v>
      </c>
      <c r="N27" s="18"/>
      <c r="O27" s="3">
        <f t="shared" si="2"/>
        <v>22</v>
      </c>
      <c r="P27" s="13">
        <f t="shared" si="0"/>
        <v>-3.1830988618379186E-2</v>
      </c>
      <c r="Q27" s="13">
        <f t="shared" si="1"/>
        <v>2200</v>
      </c>
    </row>
    <row r="28" spans="2:17" x14ac:dyDescent="0.25">
      <c r="B28" t="s">
        <v>20</v>
      </c>
      <c r="C28" s="81">
        <v>20</v>
      </c>
      <c r="D28">
        <f>2.142311</f>
        <v>2.1423109999999999</v>
      </c>
      <c r="F28" s="5" t="s">
        <v>179</v>
      </c>
      <c r="G28" s="6">
        <f>G26*10000/G16</f>
        <v>140.00000000000003</v>
      </c>
      <c r="H28" s="3" t="s">
        <v>166</v>
      </c>
      <c r="I28"/>
      <c r="J28" s="18" t="s">
        <v>119</v>
      </c>
      <c r="K28" s="19">
        <v>1.6</v>
      </c>
      <c r="L28" s="18" t="s">
        <v>114</v>
      </c>
      <c r="M28" s="18" t="s">
        <v>125</v>
      </c>
      <c r="N28" s="18"/>
      <c r="O28" s="3">
        <f t="shared" si="2"/>
        <v>23</v>
      </c>
      <c r="P28" s="13">
        <f t="shared" si="0"/>
        <v>3.1830988618378964E-2</v>
      </c>
      <c r="Q28" s="13">
        <f t="shared" si="1"/>
        <v>2300</v>
      </c>
    </row>
    <row r="29" spans="2:17" x14ac:dyDescent="0.25">
      <c r="B29" t="s">
        <v>21</v>
      </c>
      <c r="C29" s="81">
        <v>100</v>
      </c>
      <c r="D29">
        <f>D27/D28</f>
        <v>1.0559008472626059</v>
      </c>
      <c r="E29">
        <f>C14/G29</f>
        <v>65.004513532837336</v>
      </c>
      <c r="F29" s="5" t="s">
        <v>177</v>
      </c>
      <c r="G29" s="3">
        <f>G25/C7</f>
        <v>4.3678614126112986E-2</v>
      </c>
      <c r="H29" s="3" t="s">
        <v>167</v>
      </c>
      <c r="I29"/>
      <c r="J29"/>
      <c r="K29" s="3"/>
      <c r="M29"/>
      <c r="O29" s="3">
        <f t="shared" si="2"/>
        <v>24</v>
      </c>
      <c r="P29" s="13">
        <f t="shared" si="0"/>
        <v>9.5492965855137113E-2</v>
      </c>
      <c r="Q29" s="13">
        <f t="shared" si="1"/>
        <v>2400</v>
      </c>
    </row>
    <row r="30" spans="2:17" x14ac:dyDescent="0.25">
      <c r="B30" t="s">
        <v>22</v>
      </c>
      <c r="C30" s="22">
        <f>G12</f>
        <v>5.0707511651647434E-2</v>
      </c>
      <c r="D30" t="s">
        <v>147</v>
      </c>
      <c r="F30" s="5" t="s">
        <v>180</v>
      </c>
      <c r="G30" s="6">
        <f>10000*G29/G16</f>
        <v>0.10967475419943649</v>
      </c>
      <c r="H30" s="3" t="s">
        <v>166</v>
      </c>
      <c r="I30"/>
      <c r="J30" s="18" t="s">
        <v>221</v>
      </c>
      <c r="K30" s="3"/>
      <c r="L30" s="18" t="s">
        <v>222</v>
      </c>
      <c r="M30"/>
      <c r="O30" s="3">
        <f t="shared" si="2"/>
        <v>25</v>
      </c>
      <c r="P30" s="13">
        <f t="shared" si="0"/>
        <v>0.15915494309189526</v>
      </c>
      <c r="Q30" s="13">
        <f t="shared" si="1"/>
        <v>2500</v>
      </c>
    </row>
    <row r="31" spans="2:17" x14ac:dyDescent="0.25">
      <c r="B31" t="s">
        <v>23</v>
      </c>
      <c r="C31" s="81">
        <v>2</v>
      </c>
      <c r="D31">
        <f>D29^2</f>
        <v>1.1149265992498891</v>
      </c>
      <c r="E31" s="8">
        <f>C17/G31</f>
        <v>57.142857142857139</v>
      </c>
      <c r="F31" s="5" t="s">
        <v>182</v>
      </c>
      <c r="G31" s="3">
        <f>G26/C8</f>
        <v>0.13938955282580515</v>
      </c>
      <c r="H31" s="3" t="s">
        <v>167</v>
      </c>
      <c r="I31"/>
      <c r="J31"/>
      <c r="K31" s="3"/>
      <c r="M31"/>
      <c r="O31" s="3">
        <f t="shared" si="2"/>
        <v>26</v>
      </c>
      <c r="P31" s="13">
        <f t="shared" si="0"/>
        <v>0.22281692032865341</v>
      </c>
      <c r="Q31" s="13">
        <f t="shared" si="1"/>
        <v>2600</v>
      </c>
    </row>
    <row r="32" spans="2:17" x14ac:dyDescent="0.25">
      <c r="B32" t="s">
        <v>24</v>
      </c>
      <c r="C32" s="81">
        <v>0.5</v>
      </c>
      <c r="D32">
        <f>D31*0.6</f>
        <v>0.66895595954993348</v>
      </c>
      <c r="F32" s="5" t="s">
        <v>183</v>
      </c>
      <c r="G32" s="6">
        <f>G31*10000/G16</f>
        <v>0.35000000000000003</v>
      </c>
      <c r="H32" s="3" t="s">
        <v>166</v>
      </c>
      <c r="I32"/>
      <c r="J32" s="18" t="s">
        <v>90</v>
      </c>
      <c r="K32" s="3" t="s">
        <v>223</v>
      </c>
      <c r="L32" s="18" t="s">
        <v>224</v>
      </c>
      <c r="M32" t="s">
        <v>225</v>
      </c>
      <c r="N32" t="s">
        <v>227</v>
      </c>
      <c r="O32" s="3">
        <f t="shared" si="2"/>
        <v>27</v>
      </c>
      <c r="P32" s="13">
        <f t="shared" si="0"/>
        <v>0.28647889756541156</v>
      </c>
      <c r="Q32" s="13">
        <f t="shared" si="1"/>
        <v>2700</v>
      </c>
    </row>
    <row r="33" spans="2:17" x14ac:dyDescent="0.25">
      <c r="B33" t="s">
        <v>25</v>
      </c>
      <c r="C33" s="81">
        <v>1</v>
      </c>
      <c r="F33" s="5" t="s">
        <v>185</v>
      </c>
      <c r="G33" s="26">
        <v>4.8092E+18</v>
      </c>
      <c r="H33" s="3" t="s">
        <v>186</v>
      </c>
      <c r="I33"/>
      <c r="J33" t="s">
        <v>226</v>
      </c>
      <c r="K33" s="3">
        <v>3</v>
      </c>
      <c r="M33"/>
      <c r="N33" t="s">
        <v>228</v>
      </c>
      <c r="O33" s="3">
        <f t="shared" si="2"/>
        <v>28</v>
      </c>
      <c r="P33" s="13">
        <f t="shared" si="0"/>
        <v>0.35014087480216971</v>
      </c>
      <c r="Q33" s="13">
        <f t="shared" si="1"/>
        <v>2800.0000000000005</v>
      </c>
    </row>
    <row r="34" spans="2:17" x14ac:dyDescent="0.25">
      <c r="B34" t="s">
        <v>26</v>
      </c>
      <c r="C34" s="81">
        <v>0</v>
      </c>
      <c r="F34" s="5" t="s">
        <v>184</v>
      </c>
      <c r="G34" s="11">
        <f>0.855*SQRT(0.000000000000000001*G33)*G7</f>
        <v>1.5000043583936684</v>
      </c>
      <c r="H34" s="3" t="s">
        <v>87</v>
      </c>
      <c r="I34"/>
      <c r="J34" t="s">
        <v>317</v>
      </c>
      <c r="K34" s="3">
        <v>0.1</v>
      </c>
      <c r="L34">
        <v>0.26800000000000002</v>
      </c>
      <c r="M34" s="73">
        <v>2.5000000000000001E-2</v>
      </c>
      <c r="N34" t="s">
        <v>234</v>
      </c>
      <c r="O34" s="3">
        <f t="shared" si="2"/>
        <v>29</v>
      </c>
      <c r="P34" s="13">
        <f t="shared" si="0"/>
        <v>0.41380285203892786</v>
      </c>
      <c r="Q34" s="13">
        <f t="shared" si="1"/>
        <v>2900</v>
      </c>
    </row>
    <row r="35" spans="2:17" x14ac:dyDescent="0.25">
      <c r="B35" t="s">
        <v>27</v>
      </c>
      <c r="C35" s="81">
        <v>3</v>
      </c>
      <c r="D35" t="s">
        <v>129</v>
      </c>
      <c r="F35" s="5" t="s">
        <v>187</v>
      </c>
      <c r="G35" s="13">
        <f>G22*G17*G17*0.000000000000000001*G33/(225.38*225.38)</f>
        <v>0.90060091454078139</v>
      </c>
      <c r="H35" s="3" t="s">
        <v>188</v>
      </c>
      <c r="I35"/>
      <c r="J35" t="s">
        <v>229</v>
      </c>
      <c r="K35" s="3">
        <v>0.39</v>
      </c>
      <c r="L35">
        <v>0.17599999999999999</v>
      </c>
      <c r="M35" s="73">
        <v>0.05</v>
      </c>
      <c r="N35" t="s">
        <v>235</v>
      </c>
      <c r="O35" s="3">
        <f t="shared" si="2"/>
        <v>30</v>
      </c>
      <c r="P35" s="13">
        <f t="shared" si="0"/>
        <v>0.47746482927568601</v>
      </c>
      <c r="Q35" s="13">
        <f t="shared" si="1"/>
        <v>3000</v>
      </c>
    </row>
    <row r="36" spans="2:17" x14ac:dyDescent="0.25">
      <c r="B36" t="s">
        <v>28</v>
      </c>
      <c r="C36" s="81">
        <v>1</v>
      </c>
      <c r="F36" s="5" t="s">
        <v>202</v>
      </c>
      <c r="G36" s="3">
        <v>100</v>
      </c>
      <c r="H36" s="3" t="s">
        <v>169</v>
      </c>
      <c r="I36"/>
      <c r="J36" t="s">
        <v>231</v>
      </c>
      <c r="K36" s="3">
        <v>0.51</v>
      </c>
      <c r="L36">
        <v>0.25</v>
      </c>
      <c r="M36" s="73">
        <v>0.01</v>
      </c>
      <c r="N36" t="s">
        <v>232</v>
      </c>
      <c r="O36" s="3">
        <f t="shared" si="2"/>
        <v>31</v>
      </c>
      <c r="P36" s="13">
        <f t="shared" si="0"/>
        <v>0.54112680651244416</v>
      </c>
      <c r="Q36" s="13">
        <f t="shared" si="1"/>
        <v>3100</v>
      </c>
    </row>
    <row r="37" spans="2:17" x14ac:dyDescent="0.25">
      <c r="B37" t="s">
        <v>29</v>
      </c>
      <c r="C37" s="81">
        <v>10</v>
      </c>
      <c r="F37" s="5" t="s">
        <v>192</v>
      </c>
      <c r="G37" s="6">
        <f>0.000000000000001*G36*G10</f>
        <v>11.93938783229175</v>
      </c>
      <c r="H37" s="3" t="s">
        <v>167</v>
      </c>
      <c r="I37"/>
      <c r="J37" t="s">
        <v>233</v>
      </c>
      <c r="K37" s="3">
        <v>0</v>
      </c>
      <c r="L37">
        <v>0.14482100000000001</v>
      </c>
      <c r="M37" s="73">
        <v>5.0000000000000001E-3</v>
      </c>
      <c r="N37" t="s">
        <v>230</v>
      </c>
      <c r="O37" s="3">
        <f t="shared" si="2"/>
        <v>32</v>
      </c>
      <c r="P37" s="13">
        <f t="shared" si="0"/>
        <v>0.60478878374920231</v>
      </c>
      <c r="Q37" s="13">
        <f t="shared" si="1"/>
        <v>3200</v>
      </c>
    </row>
    <row r="38" spans="2:17" x14ac:dyDescent="0.25">
      <c r="B38" t="s">
        <v>30</v>
      </c>
      <c r="C38" s="81">
        <v>1</v>
      </c>
      <c r="F38" s="5" t="s">
        <v>193</v>
      </c>
      <c r="G38" s="3">
        <v>10</v>
      </c>
      <c r="H38" s="3" t="s">
        <v>166</v>
      </c>
      <c r="I38"/>
      <c r="J38" t="s">
        <v>236</v>
      </c>
      <c r="K38" s="3">
        <v>0</v>
      </c>
      <c r="L38">
        <v>0</v>
      </c>
      <c r="M38" s="73">
        <v>0</v>
      </c>
      <c r="N38" t="s">
        <v>237</v>
      </c>
      <c r="O38" s="3">
        <f t="shared" si="2"/>
        <v>33</v>
      </c>
      <c r="P38" s="13">
        <f t="shared" si="0"/>
        <v>0.66845076098596024</v>
      </c>
      <c r="Q38" s="13">
        <f t="shared" si="1"/>
        <v>3299.9999999999995</v>
      </c>
    </row>
    <row r="39" spans="2:17" x14ac:dyDescent="0.25">
      <c r="B39" t="s">
        <v>31</v>
      </c>
      <c r="C39" s="81">
        <v>0.125</v>
      </c>
      <c r="F39" s="5" t="s">
        <v>194</v>
      </c>
      <c r="G39" s="6">
        <f>0.0001*G38*G16</f>
        <v>3.9825586521658609</v>
      </c>
      <c r="H39" s="3"/>
      <c r="I39"/>
      <c r="J39" t="s">
        <v>242</v>
      </c>
      <c r="K39" s="3">
        <f>K37</f>
        <v>0</v>
      </c>
      <c r="L39">
        <v>0.14482100000000001</v>
      </c>
      <c r="M39" s="73">
        <f>M37</f>
        <v>5.0000000000000001E-3</v>
      </c>
      <c r="N39" t="s">
        <v>238</v>
      </c>
      <c r="O39" s="3">
        <f t="shared" si="2"/>
        <v>34</v>
      </c>
      <c r="P39" s="13">
        <f t="shared" si="0"/>
        <v>0.73211273822271861</v>
      </c>
      <c r="Q39" s="13">
        <f t="shared" si="1"/>
        <v>3400.0000000000005</v>
      </c>
    </row>
    <row r="40" spans="2:17" x14ac:dyDescent="0.25">
      <c r="B40" t="s">
        <v>32</v>
      </c>
      <c r="C40" s="81">
        <v>2</v>
      </c>
      <c r="F40" s="5" t="s">
        <v>197</v>
      </c>
      <c r="G40" s="3">
        <v>6.2542</v>
      </c>
      <c r="H40" s="3" t="s">
        <v>198</v>
      </c>
      <c r="I40"/>
      <c r="J40" t="s">
        <v>243</v>
      </c>
      <c r="K40" s="3">
        <v>0.51</v>
      </c>
      <c r="L40">
        <v>6.7000000000000004E-2</v>
      </c>
      <c r="M40" s="73">
        <v>1.2999999999999999E-2</v>
      </c>
      <c r="N40" t="s">
        <v>239</v>
      </c>
      <c r="O40" s="3">
        <f t="shared" si="2"/>
        <v>35</v>
      </c>
      <c r="P40" s="13">
        <f t="shared" si="0"/>
        <v>0.79577471545947698</v>
      </c>
      <c r="Q40" s="13">
        <f t="shared" si="1"/>
        <v>3500.0000000000005</v>
      </c>
    </row>
    <row r="41" spans="2:17" x14ac:dyDescent="0.25">
      <c r="B41" t="s">
        <v>33</v>
      </c>
      <c r="C41" s="81">
        <v>800</v>
      </c>
      <c r="F41" s="5" t="s">
        <v>200</v>
      </c>
      <c r="G41" s="3">
        <f>SQRT(1+(G40/I2)^2)</f>
        <v>12.279949285643866</v>
      </c>
      <c r="H41" s="3"/>
      <c r="I41"/>
      <c r="J41" t="s">
        <v>244</v>
      </c>
      <c r="K41" s="3">
        <v>0.39</v>
      </c>
      <c r="L41">
        <v>2.1000000000000001E-2</v>
      </c>
      <c r="M41" s="73">
        <v>4.0000000000000001E-3</v>
      </c>
      <c r="N41" t="s">
        <v>240</v>
      </c>
      <c r="O41" s="3">
        <f t="shared" si="2"/>
        <v>36</v>
      </c>
      <c r="P41" s="13">
        <f t="shared" si="0"/>
        <v>0.85943669269623491</v>
      </c>
      <c r="Q41" s="13">
        <f t="shared" si="1"/>
        <v>3600</v>
      </c>
    </row>
    <row r="42" spans="2:17" x14ac:dyDescent="0.25">
      <c r="B42" t="s">
        <v>34</v>
      </c>
      <c r="C42" s="81">
        <v>1000</v>
      </c>
      <c r="F42" s="5" t="s">
        <v>201</v>
      </c>
      <c r="G42" s="6">
        <f>2*G41*G41*(0.5*PI()+C15-C89)/G19</f>
        <v>-6.9563824106104901</v>
      </c>
      <c r="H42" s="3"/>
      <c r="I42"/>
      <c r="J42" t="s">
        <v>245</v>
      </c>
      <c r="K42" s="3">
        <v>0.1</v>
      </c>
      <c r="L42">
        <v>7.4999999999999997E-2</v>
      </c>
      <c r="M42" s="73">
        <v>2.5000000000000001E-3</v>
      </c>
      <c r="N42" t="s">
        <v>241</v>
      </c>
      <c r="O42" s="3">
        <f t="shared" si="2"/>
        <v>37</v>
      </c>
      <c r="P42" s="13">
        <f t="shared" si="0"/>
        <v>0.92309866993299283</v>
      </c>
      <c r="Q42" s="13">
        <f t="shared" si="1"/>
        <v>3700</v>
      </c>
    </row>
    <row r="43" spans="2:17" x14ac:dyDescent="0.25">
      <c r="B43" t="s">
        <v>35</v>
      </c>
      <c r="C43" s="81">
        <v>1</v>
      </c>
      <c r="F43" s="5" t="s">
        <v>203</v>
      </c>
      <c r="G43" s="6">
        <f>0.5*G41*G41*G13</f>
        <v>0.1189544898151878</v>
      </c>
      <c r="H43" s="3" t="s">
        <v>162</v>
      </c>
      <c r="I43"/>
      <c r="J43"/>
      <c r="K43" s="3"/>
      <c r="L43">
        <v>0.06</v>
      </c>
      <c r="M43"/>
      <c r="O43" s="3">
        <f t="shared" si="2"/>
        <v>38</v>
      </c>
      <c r="P43" s="13">
        <f t="shared" si="0"/>
        <v>0.9867606471697512</v>
      </c>
      <c r="Q43" s="13">
        <f t="shared" si="1"/>
        <v>3800</v>
      </c>
    </row>
    <row r="44" spans="2:17" x14ac:dyDescent="0.25">
      <c r="B44" t="s">
        <v>36</v>
      </c>
      <c r="C44" s="81">
        <v>1</v>
      </c>
      <c r="F44" s="5" t="s">
        <v>203</v>
      </c>
      <c r="G44" s="6">
        <f>G43/G18</f>
        <v>0.7572878022824665</v>
      </c>
      <c r="H44" s="3" t="s">
        <v>195</v>
      </c>
      <c r="I44"/>
      <c r="J44"/>
      <c r="K44" s="3"/>
      <c r="L44">
        <f>L39+0.00125</f>
        <v>0.14607100000000001</v>
      </c>
      <c r="M44"/>
      <c r="O44" s="3">
        <f t="shared" si="2"/>
        <v>39</v>
      </c>
      <c r="P44" s="13">
        <f t="shared" si="0"/>
        <v>1.0504226244065096</v>
      </c>
      <c r="Q44" s="13">
        <f t="shared" si="1"/>
        <v>3900.0000000000009</v>
      </c>
    </row>
    <row r="45" spans="2:17" x14ac:dyDescent="0.25">
      <c r="B45" t="s">
        <v>213</v>
      </c>
      <c r="C45" s="81">
        <v>1</v>
      </c>
      <c r="F45" s="5" t="s">
        <v>204</v>
      </c>
      <c r="G45" s="3">
        <f>PI()*G41*G41</f>
        <v>473.74323262745196</v>
      </c>
      <c r="H45" s="3"/>
      <c r="I45"/>
      <c r="J45">
        <f>1.5*SQRT(2.3)</f>
        <v>2.2748626332154651</v>
      </c>
      <c r="K45" s="3"/>
      <c r="L45">
        <f>0.02+0.00125</f>
        <v>2.1250000000000002E-2</v>
      </c>
      <c r="M45"/>
      <c r="O45" s="3">
        <f t="shared" si="2"/>
        <v>40</v>
      </c>
      <c r="P45" s="13">
        <f t="shared" si="0"/>
        <v>1.1140846016432675</v>
      </c>
      <c r="Q45" s="13">
        <f t="shared" si="1"/>
        <v>4000</v>
      </c>
    </row>
    <row r="46" spans="2:17" x14ac:dyDescent="0.25">
      <c r="B46" t="s">
        <v>130</v>
      </c>
      <c r="C46" s="22">
        <v>3</v>
      </c>
      <c r="D46" t="s">
        <v>148</v>
      </c>
      <c r="F46" s="5" t="s">
        <v>205</v>
      </c>
      <c r="G46" s="6">
        <f>G45/G19</f>
        <v>0.75728780228246662</v>
      </c>
      <c r="H46" s="3"/>
      <c r="I46"/>
      <c r="J46"/>
      <c r="K46" s="3"/>
      <c r="M46"/>
      <c r="O46" s="3">
        <f t="shared" si="2"/>
        <v>41</v>
      </c>
      <c r="P46" s="13">
        <f t="shared" si="0"/>
        <v>1.1777465788800254</v>
      </c>
      <c r="Q46" s="13">
        <f t="shared" si="1"/>
        <v>4100</v>
      </c>
    </row>
    <row r="47" spans="2:17" x14ac:dyDescent="0.25">
      <c r="B47" t="s">
        <v>131</v>
      </c>
      <c r="C47" s="22">
        <v>4</v>
      </c>
      <c r="D47" t="s">
        <v>134</v>
      </c>
      <c r="F47" s="5"/>
      <c r="G47" s="3"/>
      <c r="H47" s="3"/>
      <c r="I47"/>
      <c r="J47"/>
      <c r="K47" s="3"/>
      <c r="M47"/>
      <c r="O47" s="3">
        <f t="shared" si="2"/>
        <v>42</v>
      </c>
      <c r="P47" s="13">
        <f t="shared" si="0"/>
        <v>1.2414085561167838</v>
      </c>
      <c r="Q47" s="13">
        <f t="shared" si="1"/>
        <v>4200</v>
      </c>
    </row>
    <row r="48" spans="2:17" x14ac:dyDescent="0.25">
      <c r="B48" t="s">
        <v>132</v>
      </c>
      <c r="C48" s="22">
        <v>5</v>
      </c>
      <c r="D48" t="s">
        <v>135</v>
      </c>
      <c r="F48" s="5"/>
      <c r="G48" s="3"/>
      <c r="H48" s="3"/>
      <c r="I48"/>
      <c r="J48"/>
      <c r="K48" s="3"/>
      <c r="M48"/>
      <c r="O48" s="3">
        <f t="shared" si="2"/>
        <v>43</v>
      </c>
      <c r="P48" s="13">
        <f t="shared" si="0"/>
        <v>1.3050705333535422</v>
      </c>
      <c r="Q48" s="13">
        <f t="shared" si="1"/>
        <v>4300.0000000000009</v>
      </c>
    </row>
    <row r="49" spans="1:17" x14ac:dyDescent="0.25">
      <c r="B49" t="s">
        <v>133</v>
      </c>
      <c r="C49" s="22">
        <v>6</v>
      </c>
      <c r="D49" t="s">
        <v>149</v>
      </c>
      <c r="F49" s="5"/>
      <c r="G49" s="3"/>
      <c r="H49" s="3"/>
      <c r="I49"/>
      <c r="J49"/>
      <c r="K49" s="3"/>
      <c r="M49"/>
      <c r="O49" s="3">
        <f t="shared" si="2"/>
        <v>44</v>
      </c>
      <c r="P49" s="13">
        <f t="shared" si="0"/>
        <v>1.3687325105903001</v>
      </c>
      <c r="Q49" s="13">
        <f t="shared" si="1"/>
        <v>4400</v>
      </c>
    </row>
    <row r="50" spans="1:17" x14ac:dyDescent="0.25">
      <c r="B50" t="s">
        <v>37</v>
      </c>
      <c r="C50" s="81">
        <v>0</v>
      </c>
      <c r="F50" s="5"/>
      <c r="G50" s="3"/>
      <c r="H50" s="3"/>
      <c r="I50"/>
      <c r="J50"/>
      <c r="K50" s="3"/>
      <c r="M50"/>
      <c r="O50" s="3">
        <f t="shared" si="2"/>
        <v>45</v>
      </c>
      <c r="P50" s="13">
        <f t="shared" si="0"/>
        <v>1.432394487827058</v>
      </c>
      <c r="Q50" s="13">
        <f t="shared" si="1"/>
        <v>4500</v>
      </c>
    </row>
    <row r="51" spans="1:17" x14ac:dyDescent="0.25">
      <c r="B51" t="s">
        <v>38</v>
      </c>
      <c r="C51" s="81">
        <v>1000000000</v>
      </c>
      <c r="F51" s="5"/>
      <c r="G51" s="3"/>
      <c r="H51" s="3"/>
      <c r="I51"/>
      <c r="J51"/>
      <c r="K51" s="3"/>
      <c r="M51"/>
      <c r="O51" s="3">
        <f t="shared" si="2"/>
        <v>46</v>
      </c>
      <c r="P51" s="13">
        <f t="shared" si="0"/>
        <v>1.4960564650638164</v>
      </c>
      <c r="Q51" s="13">
        <f t="shared" si="1"/>
        <v>4600</v>
      </c>
    </row>
    <row r="52" spans="1:17" x14ac:dyDescent="0.25">
      <c r="B52" t="s">
        <v>39</v>
      </c>
      <c r="C52" s="81">
        <v>0</v>
      </c>
      <c r="F52" s="5"/>
      <c r="G52" s="3"/>
      <c r="H52" s="3"/>
      <c r="I52"/>
      <c r="J52"/>
      <c r="K52" s="3"/>
      <c r="M52"/>
      <c r="O52" s="3">
        <f t="shared" si="2"/>
        <v>47</v>
      </c>
      <c r="P52" s="13">
        <f t="shared" si="0"/>
        <v>1.5597184423005748</v>
      </c>
      <c r="Q52" s="13">
        <f t="shared" si="1"/>
        <v>4700</v>
      </c>
    </row>
    <row r="53" spans="1:17" x14ac:dyDescent="0.25">
      <c r="B53" t="s">
        <v>40</v>
      </c>
      <c r="C53" s="81">
        <v>0.75</v>
      </c>
      <c r="F53" s="5"/>
      <c r="G53" s="7"/>
      <c r="H53" s="3"/>
      <c r="I53"/>
      <c r="J53"/>
      <c r="K53" s="3"/>
      <c r="M53"/>
      <c r="O53" s="3">
        <f t="shared" si="2"/>
        <v>48</v>
      </c>
      <c r="P53" s="13">
        <f t="shared" si="0"/>
        <v>1.6233804195373327</v>
      </c>
      <c r="Q53" s="13">
        <f t="shared" si="1"/>
        <v>4800</v>
      </c>
    </row>
    <row r="54" spans="1:17" x14ac:dyDescent="0.25">
      <c r="B54" t="s">
        <v>41</v>
      </c>
      <c r="C54" s="81">
        <v>0</v>
      </c>
      <c r="F54" s="5"/>
      <c r="G54" s="7"/>
      <c r="H54" s="3"/>
      <c r="I54"/>
      <c r="J54"/>
      <c r="K54" s="3"/>
      <c r="M54"/>
      <c r="O54" s="3">
        <f t="shared" si="2"/>
        <v>49</v>
      </c>
      <c r="P54" s="13">
        <f t="shared" si="0"/>
        <v>1.6870423967740906</v>
      </c>
      <c r="Q54" s="13">
        <f t="shared" si="1"/>
        <v>4900</v>
      </c>
    </row>
    <row r="55" spans="1:17" x14ac:dyDescent="0.25">
      <c r="B55" t="s">
        <v>42</v>
      </c>
      <c r="C55" s="81">
        <v>2.25</v>
      </c>
      <c r="F55" s="5"/>
      <c r="G55" s="7"/>
      <c r="H55" s="3"/>
      <c r="I55"/>
      <c r="J55"/>
      <c r="K55" s="3"/>
      <c r="M55"/>
      <c r="O55" s="3">
        <f t="shared" si="2"/>
        <v>50</v>
      </c>
      <c r="P55" s="13">
        <f t="shared" si="0"/>
        <v>1.750704374010849</v>
      </c>
      <c r="Q55" s="13">
        <f t="shared" si="1"/>
        <v>5000</v>
      </c>
    </row>
    <row r="56" spans="1:17" x14ac:dyDescent="0.25">
      <c r="A56" t="s">
        <v>43</v>
      </c>
      <c r="C56" s="81"/>
      <c r="F56" s="5"/>
      <c r="G56" s="3"/>
      <c r="H56" s="3"/>
      <c r="I56"/>
      <c r="J56"/>
      <c r="K56" s="3"/>
      <c r="M56"/>
      <c r="O56" s="3">
        <f t="shared" si="2"/>
        <v>51</v>
      </c>
      <c r="P56" s="13">
        <f t="shared" si="0"/>
        <v>1.8143663512476074</v>
      </c>
      <c r="Q56" s="13">
        <f t="shared" si="1"/>
        <v>5100</v>
      </c>
    </row>
    <row r="57" spans="1:17" x14ac:dyDescent="0.25">
      <c r="C57" s="81"/>
      <c r="F57" s="5"/>
      <c r="G57" s="3"/>
      <c r="H57" s="3"/>
      <c r="I57"/>
      <c r="J57"/>
      <c r="K57" s="3"/>
      <c r="M57"/>
      <c r="O57" s="3">
        <f t="shared" si="2"/>
        <v>52</v>
      </c>
      <c r="P57" s="13">
        <f t="shared" si="0"/>
        <v>1.8780283284843653</v>
      </c>
      <c r="Q57" s="13">
        <f t="shared" si="1"/>
        <v>5200</v>
      </c>
    </row>
    <row r="58" spans="1:17" x14ac:dyDescent="0.25">
      <c r="A58" t="s">
        <v>44</v>
      </c>
      <c r="C58" s="81"/>
      <c r="F58" s="5"/>
      <c r="G58" s="3"/>
      <c r="H58" s="3"/>
      <c r="I58"/>
      <c r="J58"/>
      <c r="K58" s="3"/>
      <c r="M58"/>
      <c r="O58" s="3">
        <f t="shared" si="2"/>
        <v>53</v>
      </c>
      <c r="P58" s="13">
        <f t="shared" si="0"/>
        <v>1.9416903057211232</v>
      </c>
      <c r="Q58" s="13">
        <f t="shared" si="1"/>
        <v>5300</v>
      </c>
    </row>
    <row r="59" spans="1:17" x14ac:dyDescent="0.25">
      <c r="B59" t="s">
        <v>45</v>
      </c>
      <c r="C59" s="81" t="s">
        <v>46</v>
      </c>
      <c r="D59" t="s">
        <v>137</v>
      </c>
      <c r="F59" s="5"/>
      <c r="G59" s="3"/>
      <c r="H59" s="3"/>
      <c r="I59"/>
      <c r="J59"/>
      <c r="K59" s="3"/>
      <c r="M59"/>
      <c r="O59" s="3">
        <f t="shared" si="2"/>
        <v>54</v>
      </c>
      <c r="P59" s="13">
        <f t="shared" si="0"/>
        <v>2.0053522829578814</v>
      </c>
      <c r="Q59" s="13">
        <f t="shared" si="1"/>
        <v>5399.9999999999991</v>
      </c>
    </row>
    <row r="60" spans="1:17" x14ac:dyDescent="0.25">
      <c r="B60" t="s">
        <v>210</v>
      </c>
      <c r="C60" s="81" t="s">
        <v>47</v>
      </c>
      <c r="F60" s="5"/>
      <c r="G60" s="3"/>
      <c r="H60" s="3"/>
      <c r="I60"/>
      <c r="J60"/>
      <c r="K60" s="3"/>
      <c r="M60"/>
      <c r="O60" s="3">
        <f t="shared" si="2"/>
        <v>55</v>
      </c>
      <c r="P60" s="13">
        <f t="shared" si="0"/>
        <v>2.0690142601946402</v>
      </c>
      <c r="Q60" s="13">
        <f t="shared" si="1"/>
        <v>5500</v>
      </c>
    </row>
    <row r="61" spans="1:17" x14ac:dyDescent="0.25">
      <c r="B61" t="s">
        <v>48</v>
      </c>
      <c r="C61" s="81" t="s">
        <v>46</v>
      </c>
      <c r="F61" s="5"/>
      <c r="G61" s="3"/>
      <c r="H61" s="3"/>
      <c r="I61"/>
      <c r="J61"/>
      <c r="K61" s="3"/>
      <c r="M61"/>
      <c r="O61" s="3">
        <f t="shared" si="2"/>
        <v>56</v>
      </c>
      <c r="P61" s="13">
        <f t="shared" si="0"/>
        <v>2.1326762374313981</v>
      </c>
      <c r="Q61" s="13">
        <f t="shared" si="1"/>
        <v>5600.0000000000009</v>
      </c>
    </row>
    <row r="62" spans="1:17" x14ac:dyDescent="0.25">
      <c r="B62" t="s">
        <v>214</v>
      </c>
      <c r="C62" s="81">
        <v>4</v>
      </c>
      <c r="F62" s="5"/>
      <c r="G62" s="3"/>
      <c r="H62" s="3"/>
      <c r="I62"/>
      <c r="J62"/>
      <c r="K62" s="3"/>
      <c r="M62"/>
      <c r="O62" s="3">
        <f t="shared" si="2"/>
        <v>57</v>
      </c>
      <c r="P62" s="13">
        <f t="shared" si="0"/>
        <v>2.196338214668156</v>
      </c>
      <c r="Q62" s="13">
        <f t="shared" si="1"/>
        <v>5699.9999999999991</v>
      </c>
    </row>
    <row r="63" spans="1:17" x14ac:dyDescent="0.25">
      <c r="B63" t="s">
        <v>49</v>
      </c>
      <c r="C63" s="81" t="s">
        <v>46</v>
      </c>
      <c r="D63" t="s">
        <v>150</v>
      </c>
      <c r="F63" s="5"/>
      <c r="G63" s="3"/>
      <c r="H63" s="3"/>
      <c r="I63"/>
      <c r="J63"/>
      <c r="K63" s="3"/>
      <c r="M63"/>
      <c r="O63" s="3">
        <f t="shared" si="2"/>
        <v>58</v>
      </c>
      <c r="P63" s="13">
        <f t="shared" si="0"/>
        <v>2.260000191904914</v>
      </c>
      <c r="Q63" s="13">
        <f t="shared" si="1"/>
        <v>5800</v>
      </c>
    </row>
    <row r="64" spans="1:17" x14ac:dyDescent="0.25">
      <c r="B64" t="s">
        <v>50</v>
      </c>
      <c r="C64" s="81" t="s">
        <v>46</v>
      </c>
      <c r="F64" s="5"/>
      <c r="G64" s="3"/>
      <c r="H64" s="3"/>
      <c r="I64"/>
      <c r="J64"/>
      <c r="K64" s="3"/>
      <c r="M64"/>
      <c r="O64" s="3">
        <f t="shared" si="2"/>
        <v>59</v>
      </c>
      <c r="P64" s="13">
        <f t="shared" si="0"/>
        <v>2.3236621691416728</v>
      </c>
      <c r="Q64" s="13">
        <f t="shared" si="1"/>
        <v>5900.0000000000009</v>
      </c>
    </row>
    <row r="65" spans="1:17" x14ac:dyDescent="0.25">
      <c r="B65" t="s">
        <v>51</v>
      </c>
      <c r="C65" s="81" t="s">
        <v>46</v>
      </c>
      <c r="F65" s="5"/>
      <c r="G65" s="3"/>
      <c r="H65" s="3"/>
      <c r="I65"/>
      <c r="J65"/>
      <c r="K65" s="3"/>
      <c r="M65"/>
      <c r="O65" s="3">
        <f t="shared" si="2"/>
        <v>60</v>
      </c>
      <c r="P65" s="13">
        <f t="shared" si="0"/>
        <v>2.3873241463784307</v>
      </c>
      <c r="Q65" s="13">
        <f t="shared" si="1"/>
        <v>6000</v>
      </c>
    </row>
    <row r="66" spans="1:17" x14ac:dyDescent="0.25">
      <c r="B66" t="s">
        <v>52</v>
      </c>
      <c r="C66" s="81" t="s">
        <v>47</v>
      </c>
      <c r="F66" s="5"/>
      <c r="G66" s="3"/>
      <c r="H66" s="3"/>
      <c r="I66"/>
      <c r="J66"/>
      <c r="K66" s="3"/>
      <c r="M66"/>
      <c r="O66" s="3">
        <f t="shared" si="2"/>
        <v>61</v>
      </c>
      <c r="P66" s="13">
        <f t="shared" si="0"/>
        <v>2.4509861236151886</v>
      </c>
      <c r="Q66" s="13">
        <f t="shared" si="1"/>
        <v>6100</v>
      </c>
    </row>
    <row r="67" spans="1:17" x14ac:dyDescent="0.25">
      <c r="B67" t="s">
        <v>53</v>
      </c>
      <c r="C67" s="81" t="s">
        <v>47</v>
      </c>
      <c r="F67" s="5"/>
      <c r="G67" s="3"/>
      <c r="H67" s="3"/>
      <c r="I67"/>
      <c r="J67"/>
      <c r="K67" s="3"/>
      <c r="M67"/>
      <c r="O67" s="3">
        <f t="shared" si="2"/>
        <v>62</v>
      </c>
      <c r="P67" s="13">
        <f t="shared" si="0"/>
        <v>2.5146481008519466</v>
      </c>
      <c r="Q67" s="13">
        <f t="shared" si="1"/>
        <v>6200</v>
      </c>
    </row>
    <row r="68" spans="1:17" x14ac:dyDescent="0.25">
      <c r="B68" t="s">
        <v>54</v>
      </c>
      <c r="C68" s="81" t="s">
        <v>47</v>
      </c>
      <c r="F68" s="5"/>
      <c r="G68" s="3"/>
      <c r="H68" s="3"/>
      <c r="I68"/>
      <c r="J68"/>
      <c r="K68" s="3"/>
      <c r="M68"/>
      <c r="O68" s="3">
        <f t="shared" si="2"/>
        <v>63</v>
      </c>
      <c r="P68" s="13">
        <f t="shared" si="0"/>
        <v>2.5783100780887054</v>
      </c>
      <c r="Q68" s="13">
        <f t="shared" si="1"/>
        <v>6300</v>
      </c>
    </row>
    <row r="69" spans="1:17" x14ac:dyDescent="0.25">
      <c r="B69" t="s">
        <v>55</v>
      </c>
      <c r="C69" s="81" t="s">
        <v>46</v>
      </c>
      <c r="F69" s="5"/>
      <c r="G69" s="3"/>
      <c r="H69" s="3"/>
      <c r="I69"/>
      <c r="J69"/>
      <c r="K69" s="3"/>
      <c r="M69"/>
      <c r="O69" s="3">
        <f t="shared" si="2"/>
        <v>64</v>
      </c>
      <c r="P69" s="13">
        <f t="shared" si="0"/>
        <v>2.6419720553254633</v>
      </c>
      <c r="Q69" s="13">
        <f t="shared" si="1"/>
        <v>6400</v>
      </c>
    </row>
    <row r="70" spans="1:17" x14ac:dyDescent="0.25">
      <c r="B70" t="s">
        <v>56</v>
      </c>
      <c r="C70" s="81" t="s">
        <v>47</v>
      </c>
      <c r="D70" t="s">
        <v>151</v>
      </c>
      <c r="F70" s="5"/>
      <c r="G70" s="3"/>
      <c r="H70" s="3"/>
      <c r="I70"/>
      <c r="J70"/>
      <c r="K70" s="3"/>
      <c r="M70"/>
      <c r="O70" s="3">
        <f t="shared" si="2"/>
        <v>65</v>
      </c>
      <c r="P70" s="13">
        <f t="shared" ref="P70:P133" si="3">$C$24*O70+$C$21</f>
        <v>2.7056340325622212</v>
      </c>
      <c r="Q70" s="13">
        <f t="shared" ref="Q70:Q133" si="4">(P70-P$5)*$G$18*10000</f>
        <v>6500</v>
      </c>
    </row>
    <row r="71" spans="1:17" x14ac:dyDescent="0.25">
      <c r="B71" t="s">
        <v>57</v>
      </c>
      <c r="C71" s="81" t="s">
        <v>46</v>
      </c>
      <c r="F71" s="5"/>
      <c r="G71" s="3"/>
      <c r="H71" s="3"/>
      <c r="I71"/>
      <c r="J71"/>
      <c r="K71" s="3"/>
      <c r="M71"/>
      <c r="O71" s="3">
        <f t="shared" si="2"/>
        <v>66</v>
      </c>
      <c r="P71" s="13">
        <f t="shared" si="3"/>
        <v>2.7692960097989792</v>
      </c>
      <c r="Q71" s="13">
        <f t="shared" si="4"/>
        <v>6599.9999999999991</v>
      </c>
    </row>
    <row r="72" spans="1:17" x14ac:dyDescent="0.25">
      <c r="B72" t="s">
        <v>58</v>
      </c>
      <c r="C72" s="81" t="s">
        <v>46</v>
      </c>
      <c r="F72" s="5"/>
      <c r="G72" s="3"/>
      <c r="H72" s="3"/>
      <c r="I72"/>
      <c r="J72"/>
      <c r="K72" s="3"/>
      <c r="M72"/>
      <c r="O72" s="3">
        <f t="shared" ref="O72:O135" si="5">O71+1</f>
        <v>67</v>
      </c>
      <c r="P72" s="13">
        <f t="shared" si="3"/>
        <v>2.832957987035738</v>
      </c>
      <c r="Q72" s="13">
        <f t="shared" si="4"/>
        <v>6700</v>
      </c>
    </row>
    <row r="73" spans="1:17" x14ac:dyDescent="0.25">
      <c r="B73" t="s">
        <v>59</v>
      </c>
      <c r="C73" s="81" t="s">
        <v>46</v>
      </c>
      <c r="F73" s="5"/>
      <c r="G73" s="3"/>
      <c r="H73" s="3"/>
      <c r="I73"/>
      <c r="J73"/>
      <c r="K73" s="3"/>
      <c r="M73"/>
      <c r="O73" s="3">
        <f t="shared" si="5"/>
        <v>68</v>
      </c>
      <c r="P73" s="13">
        <f t="shared" si="3"/>
        <v>2.8966199642724959</v>
      </c>
      <c r="Q73" s="13">
        <f t="shared" si="4"/>
        <v>6800.0000000000009</v>
      </c>
    </row>
    <row r="74" spans="1:17" x14ac:dyDescent="0.25">
      <c r="A74" t="s">
        <v>43</v>
      </c>
      <c r="C74" s="81"/>
      <c r="F74" s="5"/>
      <c r="G74" s="3">
        <f>1/1.1^2</f>
        <v>0.82644628099173545</v>
      </c>
      <c r="H74" s="3"/>
      <c r="I74"/>
      <c r="J74"/>
      <c r="K74" s="3"/>
      <c r="M74"/>
      <c r="O74" s="3">
        <f t="shared" si="5"/>
        <v>69</v>
      </c>
      <c r="P74" s="13">
        <f t="shared" si="3"/>
        <v>2.9602819415092538</v>
      </c>
      <c r="Q74" s="13">
        <f t="shared" si="4"/>
        <v>6899.9999999999991</v>
      </c>
    </row>
    <row r="75" spans="1:17" x14ac:dyDescent="0.25">
      <c r="C75" s="81"/>
      <c r="F75" s="5"/>
      <c r="G75" s="3">
        <f>1/0.9^2</f>
        <v>1.2345679012345678</v>
      </c>
      <c r="H75" s="3"/>
      <c r="I75"/>
      <c r="J75"/>
      <c r="K75" s="3"/>
      <c r="M75"/>
      <c r="O75" s="3">
        <f t="shared" si="5"/>
        <v>70</v>
      </c>
      <c r="P75" s="13">
        <f t="shared" si="3"/>
        <v>3.0239439187460126</v>
      </c>
      <c r="Q75" s="13">
        <f t="shared" si="4"/>
        <v>7000.0000000000009</v>
      </c>
    </row>
    <row r="76" spans="1:17" x14ac:dyDescent="0.25">
      <c r="A76" t="s">
        <v>60</v>
      </c>
      <c r="C76" s="81"/>
      <c r="F76" s="5"/>
      <c r="G76" s="3">
        <f>G75-G74</f>
        <v>0.40812162024283238</v>
      </c>
      <c r="H76" s="3"/>
      <c r="I76"/>
      <c r="J76"/>
      <c r="K76" s="3"/>
      <c r="M76"/>
      <c r="O76" s="3">
        <f t="shared" si="5"/>
        <v>71</v>
      </c>
      <c r="P76" s="13">
        <f t="shared" si="3"/>
        <v>3.0876058959827706</v>
      </c>
      <c r="Q76" s="13">
        <f t="shared" si="4"/>
        <v>7100.0000000000009</v>
      </c>
    </row>
    <row r="77" spans="1:17" x14ac:dyDescent="0.25">
      <c r="B77" t="s">
        <v>136</v>
      </c>
      <c r="C77" s="81">
        <v>0.8</v>
      </c>
      <c r="F77" s="5"/>
      <c r="G77" s="3"/>
      <c r="H77" s="3"/>
      <c r="I77"/>
      <c r="J77"/>
      <c r="K77" s="3"/>
      <c r="M77"/>
      <c r="O77" s="3">
        <f t="shared" si="5"/>
        <v>72</v>
      </c>
      <c r="P77" s="13">
        <f t="shared" si="3"/>
        <v>3.1512678732195285</v>
      </c>
      <c r="Q77" s="13">
        <f t="shared" si="4"/>
        <v>7200</v>
      </c>
    </row>
    <row r="78" spans="1:17" x14ac:dyDescent="0.25">
      <c r="A78" t="s">
        <v>43</v>
      </c>
      <c r="C78" s="81"/>
      <c r="F78" s="5"/>
      <c r="G78" s="3">
        <f>0.01/30000000000</f>
        <v>3.3333333333333334E-13</v>
      </c>
      <c r="H78" s="3"/>
      <c r="I78"/>
      <c r="J78"/>
      <c r="K78" s="3"/>
      <c r="M78"/>
      <c r="O78" s="3">
        <f t="shared" si="5"/>
        <v>73</v>
      </c>
      <c r="P78" s="13">
        <f t="shared" si="3"/>
        <v>3.2149298504562864</v>
      </c>
      <c r="Q78" s="13">
        <f t="shared" si="4"/>
        <v>7300</v>
      </c>
    </row>
    <row r="79" spans="1:17" x14ac:dyDescent="0.25">
      <c r="C79" s="81"/>
      <c r="F79" s="5"/>
      <c r="G79" s="3"/>
      <c r="H79" s="3"/>
      <c r="I79"/>
      <c r="J79"/>
      <c r="K79" s="3"/>
      <c r="M79"/>
      <c r="O79" s="3">
        <f t="shared" si="5"/>
        <v>74</v>
      </c>
      <c r="P79" s="13">
        <f t="shared" si="3"/>
        <v>3.2785918276930444</v>
      </c>
      <c r="Q79" s="13">
        <f t="shared" si="4"/>
        <v>7400</v>
      </c>
    </row>
    <row r="80" spans="1:17" x14ac:dyDescent="0.25">
      <c r="A80" t="s">
        <v>61</v>
      </c>
      <c r="C80" s="81"/>
      <c r="F80" s="5"/>
      <c r="G80" s="3"/>
      <c r="H80" s="3"/>
      <c r="I80"/>
      <c r="J80"/>
      <c r="K80" s="3"/>
      <c r="M80"/>
      <c r="O80" s="3">
        <f t="shared" si="5"/>
        <v>75</v>
      </c>
      <c r="P80" s="13">
        <f t="shared" si="3"/>
        <v>3.3422538049298032</v>
      </c>
      <c r="Q80" s="13">
        <f t="shared" si="4"/>
        <v>7500</v>
      </c>
    </row>
    <row r="81" spans="2:17" x14ac:dyDescent="0.25">
      <c r="C81" s="81"/>
      <c r="F81" s="5"/>
      <c r="G81" s="3"/>
      <c r="H81" s="3"/>
      <c r="I81"/>
      <c r="J81"/>
      <c r="K81" s="3"/>
      <c r="M81"/>
      <c r="O81" s="3">
        <f t="shared" si="5"/>
        <v>76</v>
      </c>
      <c r="P81" s="13">
        <f t="shared" si="3"/>
        <v>3.4059157821665611</v>
      </c>
      <c r="Q81" s="13">
        <f t="shared" si="4"/>
        <v>7600</v>
      </c>
    </row>
    <row r="82" spans="2:17" x14ac:dyDescent="0.25">
      <c r="B82" t="s">
        <v>62</v>
      </c>
      <c r="C82" s="81" t="s">
        <v>47</v>
      </c>
      <c r="F82" s="5"/>
      <c r="G82" s="3"/>
      <c r="H82" s="3"/>
      <c r="I82"/>
      <c r="J82"/>
      <c r="K82" s="3"/>
      <c r="M82"/>
      <c r="O82" s="3">
        <f t="shared" si="5"/>
        <v>77</v>
      </c>
      <c r="P82" s="13">
        <f t="shared" si="3"/>
        <v>3.469577759403319</v>
      </c>
      <c r="Q82" s="13">
        <f t="shared" si="4"/>
        <v>7700</v>
      </c>
    </row>
    <row r="83" spans="2:17" x14ac:dyDescent="0.25">
      <c r="B83" t="s">
        <v>63</v>
      </c>
      <c r="C83" s="81" t="s">
        <v>46</v>
      </c>
      <c r="F83" s="5"/>
      <c r="G83" s="3"/>
      <c r="H83" s="3"/>
      <c r="I83"/>
      <c r="J83"/>
      <c r="K83" s="3"/>
      <c r="M83"/>
      <c r="O83" s="3">
        <f t="shared" si="5"/>
        <v>78</v>
      </c>
      <c r="P83" s="13">
        <f t="shared" si="3"/>
        <v>3.5332397366400778</v>
      </c>
      <c r="Q83" s="13">
        <f t="shared" si="4"/>
        <v>7800.0000000000018</v>
      </c>
    </row>
    <row r="84" spans="2:17" x14ac:dyDescent="0.25">
      <c r="B84" t="s">
        <v>64</v>
      </c>
      <c r="C84" s="81" t="s">
        <v>46</v>
      </c>
      <c r="F84" s="5"/>
      <c r="G84" s="3"/>
      <c r="H84" s="3"/>
      <c r="I84"/>
      <c r="J84"/>
      <c r="K84" s="3"/>
      <c r="M84"/>
      <c r="O84" s="3">
        <f t="shared" si="5"/>
        <v>79</v>
      </c>
      <c r="P84" s="13">
        <f t="shared" si="3"/>
        <v>3.5969017138768358</v>
      </c>
      <c r="Q84" s="13">
        <f t="shared" si="4"/>
        <v>7900</v>
      </c>
    </row>
    <row r="85" spans="2:17" x14ac:dyDescent="0.25">
      <c r="B85" t="s">
        <v>65</v>
      </c>
      <c r="C85" s="81" t="s">
        <v>46</v>
      </c>
      <c r="F85" s="5"/>
      <c r="G85" s="3"/>
      <c r="H85" s="3"/>
      <c r="I85"/>
      <c r="J85"/>
      <c r="K85" s="3"/>
      <c r="M85"/>
      <c r="O85" s="3">
        <f t="shared" si="5"/>
        <v>80</v>
      </c>
      <c r="P85" s="13">
        <f t="shared" si="3"/>
        <v>3.6605636911135937</v>
      </c>
      <c r="Q85" s="13">
        <f t="shared" si="4"/>
        <v>8000</v>
      </c>
    </row>
    <row r="86" spans="2:17" x14ac:dyDescent="0.25">
      <c r="B86" t="s">
        <v>211</v>
      </c>
      <c r="C86" s="81">
        <v>2</v>
      </c>
      <c r="F86" s="5"/>
      <c r="G86" s="3"/>
      <c r="H86" s="3"/>
      <c r="I86"/>
      <c r="J86"/>
      <c r="K86" s="3"/>
      <c r="M86"/>
      <c r="O86" s="3">
        <f t="shared" si="5"/>
        <v>81</v>
      </c>
      <c r="P86" s="13">
        <f t="shared" si="3"/>
        <v>3.7242256683503516</v>
      </c>
      <c r="Q86" s="13">
        <f t="shared" si="4"/>
        <v>8099.9999999999991</v>
      </c>
    </row>
    <row r="87" spans="2:17" x14ac:dyDescent="0.25">
      <c r="B87" t="s">
        <v>66</v>
      </c>
      <c r="C87" s="81" t="s">
        <v>46</v>
      </c>
      <c r="F87" s="5"/>
      <c r="G87" s="3"/>
      <c r="H87" s="3"/>
      <c r="I87"/>
      <c r="J87"/>
      <c r="K87" s="3"/>
      <c r="M87"/>
      <c r="O87" s="3">
        <f t="shared" si="5"/>
        <v>82</v>
      </c>
      <c r="P87" s="13">
        <f t="shared" si="3"/>
        <v>3.7878876455871096</v>
      </c>
      <c r="Q87" s="13">
        <f t="shared" si="4"/>
        <v>8200</v>
      </c>
    </row>
    <row r="88" spans="2:17" x14ac:dyDescent="0.25">
      <c r="B88" t="s">
        <v>67</v>
      </c>
      <c r="C88" s="25">
        <v>0.5</v>
      </c>
      <c r="F88" s="5"/>
      <c r="G88" s="3"/>
      <c r="H88" s="3"/>
      <c r="I88"/>
      <c r="J88"/>
      <c r="K88" s="3"/>
      <c r="M88"/>
      <c r="O88" s="3">
        <f t="shared" si="5"/>
        <v>83</v>
      </c>
      <c r="P88" s="13">
        <f t="shared" si="3"/>
        <v>3.8515496228238684</v>
      </c>
      <c r="Q88" s="13">
        <f t="shared" si="4"/>
        <v>8300</v>
      </c>
    </row>
    <row r="89" spans="2:17" x14ac:dyDescent="0.25">
      <c r="B89" t="s">
        <v>68</v>
      </c>
      <c r="C89" s="81">
        <v>20</v>
      </c>
      <c r="F89" s="5"/>
      <c r="G89" s="3"/>
      <c r="H89" s="3"/>
      <c r="I89"/>
      <c r="J89"/>
      <c r="K89" s="3"/>
      <c r="M89"/>
      <c r="O89" s="3">
        <f t="shared" si="5"/>
        <v>84</v>
      </c>
      <c r="P89" s="13">
        <f t="shared" si="3"/>
        <v>3.9152116000606263</v>
      </c>
      <c r="Q89" s="13">
        <f t="shared" si="4"/>
        <v>8400</v>
      </c>
    </row>
    <row r="90" spans="2:17" x14ac:dyDescent="0.25">
      <c r="B90" t="s">
        <v>69</v>
      </c>
      <c r="C90" s="81">
        <v>-1E-4</v>
      </c>
      <c r="F90" s="5"/>
      <c r="G90" s="3"/>
      <c r="H90" s="3"/>
      <c r="I90"/>
      <c r="J90"/>
      <c r="K90" s="3"/>
      <c r="M90"/>
      <c r="O90" s="3">
        <f t="shared" si="5"/>
        <v>85</v>
      </c>
      <c r="P90" s="13">
        <f t="shared" si="3"/>
        <v>3.9788735772973842</v>
      </c>
      <c r="Q90" s="13">
        <f t="shared" si="4"/>
        <v>8500</v>
      </c>
    </row>
    <row r="91" spans="2:17" x14ac:dyDescent="0.25">
      <c r="B91" t="s">
        <v>70</v>
      </c>
      <c r="C91" s="25">
        <v>0.15</v>
      </c>
      <c r="F91" s="5"/>
      <c r="G91" s="3"/>
      <c r="H91" s="3"/>
      <c r="I91"/>
      <c r="J91"/>
      <c r="K91" s="3"/>
      <c r="M91"/>
      <c r="O91" s="3">
        <f t="shared" si="5"/>
        <v>86</v>
      </c>
      <c r="P91" s="13">
        <f t="shared" si="3"/>
        <v>4.042535554534143</v>
      </c>
      <c r="Q91" s="13">
        <f t="shared" si="4"/>
        <v>8600.0000000000018</v>
      </c>
    </row>
    <row r="92" spans="2:17" x14ac:dyDescent="0.25">
      <c r="B92" t="s">
        <v>71</v>
      </c>
      <c r="C92" s="81">
        <v>0.15</v>
      </c>
      <c r="F92" s="5"/>
      <c r="G92" s="3"/>
      <c r="H92" s="3"/>
      <c r="I92"/>
      <c r="J92"/>
      <c r="K92" s="3"/>
      <c r="M92"/>
      <c r="O92" s="3">
        <f t="shared" si="5"/>
        <v>87</v>
      </c>
      <c r="P92" s="13">
        <f t="shared" si="3"/>
        <v>4.106197531770901</v>
      </c>
      <c r="Q92" s="13">
        <f t="shared" si="4"/>
        <v>8700.0000000000018</v>
      </c>
    </row>
    <row r="93" spans="2:17" x14ac:dyDescent="0.25">
      <c r="B93" t="s">
        <v>72</v>
      </c>
      <c r="C93" s="81">
        <v>12.28</v>
      </c>
      <c r="F93" s="5"/>
      <c r="G93" s="3"/>
      <c r="H93" s="3"/>
      <c r="I93"/>
      <c r="J93"/>
      <c r="K93" s="3"/>
      <c r="M93"/>
      <c r="O93" s="3">
        <f t="shared" si="5"/>
        <v>88</v>
      </c>
      <c r="P93" s="13">
        <f t="shared" si="3"/>
        <v>4.1698595090076589</v>
      </c>
      <c r="Q93" s="13">
        <f t="shared" si="4"/>
        <v>8800</v>
      </c>
    </row>
    <row r="94" spans="2:17" x14ac:dyDescent="0.25">
      <c r="B94" t="s">
        <v>191</v>
      </c>
      <c r="C94" s="81">
        <v>1E-3</v>
      </c>
      <c r="F94" s="5"/>
      <c r="G94" s="3"/>
      <c r="H94" s="3"/>
      <c r="I94"/>
      <c r="J94"/>
      <c r="K94" s="3"/>
      <c r="M94"/>
      <c r="O94" s="3">
        <f t="shared" si="5"/>
        <v>89</v>
      </c>
      <c r="P94" s="13">
        <f t="shared" si="3"/>
        <v>4.2335214862444168</v>
      </c>
      <c r="Q94" s="13">
        <f t="shared" si="4"/>
        <v>8900</v>
      </c>
    </row>
    <row r="95" spans="2:17" x14ac:dyDescent="0.25">
      <c r="B95" t="s">
        <v>73</v>
      </c>
      <c r="C95" s="21">
        <f>C21</f>
        <v>-1.4323944878270585</v>
      </c>
      <c r="D95">
        <f>0.975*C89</f>
        <v>19.5</v>
      </c>
      <c r="F95" s="5"/>
      <c r="G95" s="3"/>
      <c r="H95" s="3"/>
      <c r="I95"/>
      <c r="J95"/>
      <c r="K95" s="3"/>
      <c r="M95"/>
      <c r="O95" s="3">
        <f t="shared" si="5"/>
        <v>90</v>
      </c>
      <c r="P95" s="13">
        <f t="shared" si="3"/>
        <v>4.2971834634811747</v>
      </c>
      <c r="Q95" s="13">
        <f t="shared" si="4"/>
        <v>9000</v>
      </c>
    </row>
    <row r="96" spans="2:17" x14ac:dyDescent="0.25">
      <c r="B96" t="s">
        <v>215</v>
      </c>
      <c r="C96" s="81">
        <v>168000</v>
      </c>
      <c r="F96" s="5"/>
      <c r="G96" s="3"/>
      <c r="H96" s="3"/>
      <c r="I96"/>
      <c r="J96"/>
      <c r="K96" s="3"/>
      <c r="M96"/>
      <c r="O96" s="3">
        <f t="shared" si="5"/>
        <v>91</v>
      </c>
      <c r="P96" s="13">
        <f t="shared" si="3"/>
        <v>4.3608454407179336</v>
      </c>
      <c r="Q96" s="13">
        <f t="shared" si="4"/>
        <v>9100</v>
      </c>
    </row>
    <row r="97" spans="2:17" x14ac:dyDescent="0.25">
      <c r="B97" t="s">
        <v>216</v>
      </c>
      <c r="C97" s="81">
        <v>1</v>
      </c>
      <c r="F97" s="5"/>
      <c r="G97" s="3"/>
      <c r="H97" s="3"/>
      <c r="I97"/>
      <c r="J97"/>
      <c r="K97" s="3"/>
      <c r="M97"/>
      <c r="O97" s="3">
        <f t="shared" si="5"/>
        <v>92</v>
      </c>
      <c r="P97" s="13">
        <f t="shared" si="3"/>
        <v>4.4245074179546915</v>
      </c>
      <c r="Q97" s="13">
        <f t="shared" si="4"/>
        <v>9200</v>
      </c>
    </row>
    <row r="98" spans="2:17" x14ac:dyDescent="0.25">
      <c r="B98" t="s">
        <v>74</v>
      </c>
      <c r="C98" s="81">
        <v>20</v>
      </c>
      <c r="F98" s="5"/>
      <c r="G98" s="3"/>
      <c r="H98" s="3"/>
      <c r="I98"/>
      <c r="J98"/>
      <c r="K98" s="3"/>
      <c r="M98"/>
      <c r="O98" s="3">
        <f t="shared" si="5"/>
        <v>93</v>
      </c>
      <c r="P98" s="13">
        <f t="shared" si="3"/>
        <v>4.4881693951914494</v>
      </c>
      <c r="Q98" s="13">
        <f t="shared" si="4"/>
        <v>9300</v>
      </c>
    </row>
    <row r="99" spans="2:17" x14ac:dyDescent="0.25">
      <c r="B99" t="s">
        <v>75</v>
      </c>
      <c r="C99" s="81">
        <v>50</v>
      </c>
      <c r="F99" s="5"/>
      <c r="G99" s="3"/>
      <c r="H99" s="3"/>
      <c r="I99"/>
      <c r="J99"/>
      <c r="K99" s="3"/>
      <c r="M99"/>
      <c r="O99" s="3">
        <f t="shared" si="5"/>
        <v>94</v>
      </c>
      <c r="P99" s="13">
        <f t="shared" si="3"/>
        <v>4.5518313724282082</v>
      </c>
      <c r="Q99" s="13">
        <f t="shared" si="4"/>
        <v>9400</v>
      </c>
    </row>
    <row r="100" spans="2:17" x14ac:dyDescent="0.25">
      <c r="B100" t="s">
        <v>76</v>
      </c>
      <c r="C100" s="81">
        <v>0</v>
      </c>
      <c r="F100" s="5"/>
      <c r="G100" s="3"/>
      <c r="H100" s="3"/>
      <c r="I100"/>
      <c r="J100"/>
      <c r="K100" s="3"/>
      <c r="M100"/>
      <c r="O100" s="3">
        <f t="shared" si="5"/>
        <v>95</v>
      </c>
      <c r="P100" s="13">
        <f t="shared" si="3"/>
        <v>4.6154933496649662</v>
      </c>
      <c r="Q100" s="13">
        <f t="shared" si="4"/>
        <v>9500</v>
      </c>
    </row>
    <row r="101" spans="2:17" x14ac:dyDescent="0.25">
      <c r="B101" t="s">
        <v>77</v>
      </c>
      <c r="C101" s="81">
        <v>5.0000000000000001E-4</v>
      </c>
      <c r="F101" s="5"/>
      <c r="G101" s="3"/>
      <c r="H101" s="3"/>
      <c r="I101"/>
      <c r="J101"/>
      <c r="K101" s="3"/>
      <c r="M101"/>
      <c r="O101" s="3">
        <f t="shared" si="5"/>
        <v>96</v>
      </c>
      <c r="P101" s="13">
        <f t="shared" si="3"/>
        <v>4.6791553269017241</v>
      </c>
      <c r="Q101" s="13">
        <f t="shared" si="4"/>
        <v>9600</v>
      </c>
    </row>
    <row r="102" spans="2:17" x14ac:dyDescent="0.25">
      <c r="B102" t="s">
        <v>78</v>
      </c>
      <c r="C102" s="81">
        <v>0</v>
      </c>
      <c r="F102" s="5"/>
      <c r="G102" s="3"/>
      <c r="H102" s="3"/>
      <c r="I102"/>
      <c r="J102"/>
      <c r="K102" s="3"/>
      <c r="M102"/>
      <c r="O102" s="3">
        <f t="shared" si="5"/>
        <v>97</v>
      </c>
      <c r="P102" s="13">
        <f t="shared" si="3"/>
        <v>4.742817304138482</v>
      </c>
      <c r="Q102" s="13">
        <f t="shared" si="4"/>
        <v>9700</v>
      </c>
    </row>
    <row r="103" spans="2:17" x14ac:dyDescent="0.25">
      <c r="B103" t="s">
        <v>79</v>
      </c>
      <c r="C103" s="81">
        <v>0</v>
      </c>
      <c r="F103" s="5"/>
      <c r="G103" s="3"/>
      <c r="H103" s="3"/>
      <c r="I103"/>
      <c r="J103"/>
      <c r="K103" s="3"/>
      <c r="M103"/>
      <c r="O103" s="3">
        <f t="shared" si="5"/>
        <v>98</v>
      </c>
      <c r="P103" s="13">
        <f t="shared" si="3"/>
        <v>4.8064792813752399</v>
      </c>
      <c r="Q103" s="13">
        <f t="shared" si="4"/>
        <v>9800</v>
      </c>
    </row>
    <row r="104" spans="2:17" x14ac:dyDescent="0.25">
      <c r="B104" t="s">
        <v>80</v>
      </c>
      <c r="C104" s="24">
        <f>C95</f>
        <v>-1.4323944878270585</v>
      </c>
      <c r="F104" s="5"/>
      <c r="G104" s="3"/>
      <c r="H104" s="3"/>
      <c r="I104"/>
      <c r="J104"/>
      <c r="K104" s="3"/>
      <c r="M104"/>
      <c r="O104" s="3">
        <f t="shared" si="5"/>
        <v>99</v>
      </c>
      <c r="P104" s="13">
        <f t="shared" si="3"/>
        <v>4.8701412586119988</v>
      </c>
      <c r="Q104" s="13">
        <f t="shared" si="4"/>
        <v>9900.0000000000018</v>
      </c>
    </row>
    <row r="105" spans="2:17" x14ac:dyDescent="0.25">
      <c r="B105" t="s">
        <v>81</v>
      </c>
      <c r="C105" s="81">
        <v>12.28</v>
      </c>
      <c r="F105" s="5"/>
      <c r="G105" s="3"/>
      <c r="H105" s="3"/>
      <c r="I105"/>
      <c r="J105"/>
      <c r="K105" s="3"/>
      <c r="M105"/>
      <c r="O105" s="3">
        <f t="shared" si="5"/>
        <v>100</v>
      </c>
      <c r="P105" s="13">
        <f t="shared" si="3"/>
        <v>4.9338032358487567</v>
      </c>
      <c r="Q105" s="13">
        <f t="shared" si="4"/>
        <v>10000</v>
      </c>
    </row>
    <row r="106" spans="2:17" x14ac:dyDescent="0.25">
      <c r="B106" t="s">
        <v>82</v>
      </c>
      <c r="C106" s="81">
        <v>150</v>
      </c>
      <c r="F106" s="5"/>
      <c r="G106" s="3"/>
      <c r="H106" s="3"/>
      <c r="I106"/>
      <c r="J106"/>
      <c r="K106" s="3"/>
      <c r="M106"/>
      <c r="O106" s="3">
        <f t="shared" si="5"/>
        <v>101</v>
      </c>
      <c r="P106" s="13">
        <f t="shared" si="3"/>
        <v>4.9974652130855146</v>
      </c>
      <c r="Q106" s="13">
        <f t="shared" si="4"/>
        <v>10100</v>
      </c>
    </row>
    <row r="107" spans="2:17" x14ac:dyDescent="0.25">
      <c r="B107" t="s">
        <v>83</v>
      </c>
      <c r="C107" s="81">
        <v>150</v>
      </c>
      <c r="F107" s="5"/>
      <c r="G107" s="3"/>
      <c r="H107" s="3"/>
      <c r="I107"/>
      <c r="J107"/>
      <c r="K107" s="3"/>
      <c r="M107"/>
      <c r="O107" s="3">
        <f t="shared" si="5"/>
        <v>102</v>
      </c>
      <c r="P107" s="13">
        <f t="shared" si="3"/>
        <v>5.0611271903222734</v>
      </c>
      <c r="Q107" s="13">
        <f t="shared" si="4"/>
        <v>10200</v>
      </c>
    </row>
    <row r="108" spans="2:17" x14ac:dyDescent="0.25">
      <c r="B108" t="s">
        <v>84</v>
      </c>
      <c r="C108" s="81">
        <v>200</v>
      </c>
      <c r="F108" s="5"/>
      <c r="G108" s="3"/>
      <c r="H108" s="3"/>
      <c r="I108"/>
      <c r="J108"/>
      <c r="K108" s="3"/>
      <c r="M108"/>
      <c r="O108" s="3">
        <f t="shared" si="5"/>
        <v>103</v>
      </c>
      <c r="P108" s="13">
        <f t="shared" si="3"/>
        <v>5.1247891675590314</v>
      </c>
      <c r="Q108" s="13">
        <f t="shared" si="4"/>
        <v>10300</v>
      </c>
    </row>
    <row r="109" spans="2:17" x14ac:dyDescent="0.25">
      <c r="B109" t="s">
        <v>85</v>
      </c>
      <c r="C109" s="81">
        <v>2.5</v>
      </c>
      <c r="F109" s="5"/>
      <c r="G109" s="3"/>
      <c r="H109" s="3"/>
      <c r="I109"/>
      <c r="J109"/>
      <c r="K109" s="3"/>
      <c r="M109"/>
      <c r="O109" s="3">
        <f t="shared" si="5"/>
        <v>104</v>
      </c>
      <c r="P109" s="13">
        <f t="shared" si="3"/>
        <v>5.1884511447957893</v>
      </c>
      <c r="Q109" s="13">
        <f t="shared" si="4"/>
        <v>10400</v>
      </c>
    </row>
    <row r="110" spans="2:17" x14ac:dyDescent="0.25">
      <c r="B110" t="s">
        <v>86</v>
      </c>
      <c r="C110" s="81">
        <v>802.5</v>
      </c>
      <c r="F110" s="5"/>
      <c r="G110" s="3"/>
      <c r="H110" s="3"/>
      <c r="I110"/>
      <c r="J110"/>
      <c r="K110" s="3"/>
      <c r="M110"/>
      <c r="O110" s="3">
        <f t="shared" si="5"/>
        <v>105</v>
      </c>
      <c r="P110" s="13">
        <f t="shared" si="3"/>
        <v>5.2521131220325472</v>
      </c>
      <c r="Q110" s="13">
        <f t="shared" si="4"/>
        <v>10500</v>
      </c>
    </row>
    <row r="111" spans="2:17" x14ac:dyDescent="0.25">
      <c r="B111" t="s">
        <v>87</v>
      </c>
      <c r="C111" s="81">
        <v>100</v>
      </c>
      <c r="F111" s="5"/>
      <c r="G111" s="3"/>
      <c r="H111" s="3"/>
      <c r="I111"/>
      <c r="J111"/>
      <c r="K111" s="3"/>
      <c r="M111"/>
      <c r="O111" s="3">
        <f t="shared" si="5"/>
        <v>106</v>
      </c>
      <c r="P111" s="13">
        <f t="shared" si="3"/>
        <v>5.3157750992693051</v>
      </c>
      <c r="Q111" s="13">
        <f t="shared" si="4"/>
        <v>10600</v>
      </c>
    </row>
    <row r="112" spans="2:17" x14ac:dyDescent="0.25">
      <c r="B112" t="s">
        <v>43</v>
      </c>
      <c r="C112" s="81"/>
      <c r="F112" s="5"/>
      <c r="G112" s="3"/>
      <c r="H112" s="3"/>
      <c r="I112"/>
      <c r="J112"/>
      <c r="K112" s="3"/>
      <c r="M112"/>
      <c r="O112" s="3">
        <f t="shared" si="5"/>
        <v>107</v>
      </c>
      <c r="P112" s="13">
        <f t="shared" si="3"/>
        <v>5.379437076506064</v>
      </c>
      <c r="Q112" s="13">
        <f t="shared" si="4"/>
        <v>10700</v>
      </c>
    </row>
    <row r="113" spans="3:17" x14ac:dyDescent="0.25">
      <c r="C113" s="81"/>
      <c r="F113" s="5"/>
      <c r="G113" s="3"/>
      <c r="H113" s="3"/>
      <c r="I113"/>
      <c r="J113"/>
      <c r="K113" s="3"/>
      <c r="M113"/>
      <c r="O113" s="3">
        <f t="shared" si="5"/>
        <v>108</v>
      </c>
      <c r="P113" s="13">
        <f t="shared" si="3"/>
        <v>5.4430990537428219</v>
      </c>
      <c r="Q113" s="13">
        <f t="shared" si="4"/>
        <v>10800</v>
      </c>
    </row>
    <row r="114" spans="3:17" x14ac:dyDescent="0.25">
      <c r="C114" s="81"/>
      <c r="F114" s="5"/>
      <c r="G114" s="3"/>
      <c r="H114" s="3"/>
      <c r="I114"/>
      <c r="J114"/>
      <c r="K114" s="3"/>
      <c r="M114"/>
      <c r="O114" s="3">
        <f t="shared" si="5"/>
        <v>109</v>
      </c>
      <c r="P114" s="13">
        <f t="shared" si="3"/>
        <v>5.5067610309795798</v>
      </c>
      <c r="Q114" s="13">
        <f t="shared" si="4"/>
        <v>10900</v>
      </c>
    </row>
    <row r="115" spans="3:17" x14ac:dyDescent="0.25">
      <c r="C115" s="81"/>
      <c r="F115" s="5"/>
      <c r="G115" s="3"/>
      <c r="H115" s="3"/>
      <c r="I115"/>
      <c r="J115"/>
      <c r="K115" s="3"/>
      <c r="M115"/>
      <c r="O115" s="3">
        <f t="shared" si="5"/>
        <v>110</v>
      </c>
      <c r="P115" s="13">
        <f t="shared" si="3"/>
        <v>5.5704230082163386</v>
      </c>
      <c r="Q115" s="13">
        <f t="shared" si="4"/>
        <v>11000</v>
      </c>
    </row>
    <row r="116" spans="3:17" x14ac:dyDescent="0.25">
      <c r="C116" s="81"/>
      <c r="F116" s="5"/>
      <c r="G116" s="3"/>
      <c r="H116" s="3"/>
      <c r="I116"/>
      <c r="J116"/>
      <c r="K116" s="3"/>
      <c r="M116"/>
      <c r="O116" s="3">
        <f t="shared" si="5"/>
        <v>111</v>
      </c>
      <c r="P116" s="13">
        <f t="shared" si="3"/>
        <v>5.6340849854530966</v>
      </c>
      <c r="Q116" s="13">
        <f t="shared" si="4"/>
        <v>11100.000000000002</v>
      </c>
    </row>
    <row r="117" spans="3:17" x14ac:dyDescent="0.25">
      <c r="C117" s="81"/>
      <c r="F117" s="5"/>
      <c r="G117" s="3"/>
      <c r="H117" s="3"/>
      <c r="I117"/>
      <c r="J117"/>
      <c r="K117" s="3"/>
      <c r="M117"/>
      <c r="O117" s="3">
        <f t="shared" si="5"/>
        <v>112</v>
      </c>
      <c r="P117" s="13">
        <f t="shared" si="3"/>
        <v>5.6977469626898545</v>
      </c>
      <c r="Q117" s="13">
        <f t="shared" si="4"/>
        <v>11200.000000000002</v>
      </c>
    </row>
    <row r="118" spans="3:17" x14ac:dyDescent="0.25">
      <c r="C118" s="81"/>
      <c r="F118" s="5"/>
      <c r="G118" s="3"/>
      <c r="H118" s="3"/>
      <c r="I118"/>
      <c r="J118"/>
      <c r="K118" s="3"/>
      <c r="M118"/>
      <c r="O118" s="3">
        <f t="shared" si="5"/>
        <v>113</v>
      </c>
      <c r="P118" s="13">
        <f t="shared" si="3"/>
        <v>5.7614089399266124</v>
      </c>
      <c r="Q118" s="13">
        <f t="shared" si="4"/>
        <v>11299.999999999998</v>
      </c>
    </row>
    <row r="119" spans="3:17" x14ac:dyDescent="0.25">
      <c r="C119" s="81"/>
      <c r="F119" s="5"/>
      <c r="G119" s="3"/>
      <c r="H119" s="3"/>
      <c r="I119"/>
      <c r="J119"/>
      <c r="K119" s="3"/>
      <c r="M119"/>
      <c r="O119" s="3">
        <f t="shared" si="5"/>
        <v>114</v>
      </c>
      <c r="P119" s="13">
        <f t="shared" si="3"/>
        <v>5.8250709171633703</v>
      </c>
      <c r="Q119" s="13">
        <f t="shared" si="4"/>
        <v>11399.999999999998</v>
      </c>
    </row>
    <row r="120" spans="3:17" x14ac:dyDescent="0.25">
      <c r="C120" s="81"/>
      <c r="F120" s="5"/>
      <c r="G120" s="3"/>
      <c r="H120" s="3"/>
      <c r="I120"/>
      <c r="J120"/>
      <c r="K120" s="3"/>
      <c r="M120"/>
      <c r="O120" s="3">
        <f t="shared" si="5"/>
        <v>115</v>
      </c>
      <c r="P120" s="13">
        <f t="shared" si="3"/>
        <v>5.8887328944001291</v>
      </c>
      <c r="Q120" s="13">
        <f t="shared" si="4"/>
        <v>11500.000000000002</v>
      </c>
    </row>
    <row r="121" spans="3:17" x14ac:dyDescent="0.25">
      <c r="C121" s="81"/>
      <c r="F121" s="5"/>
      <c r="G121" s="3"/>
      <c r="H121" s="3"/>
      <c r="I121"/>
      <c r="J121"/>
      <c r="K121" s="3"/>
      <c r="M121"/>
      <c r="O121" s="3">
        <f t="shared" si="5"/>
        <v>116</v>
      </c>
      <c r="P121" s="13">
        <f t="shared" si="3"/>
        <v>5.9523948716368871</v>
      </c>
      <c r="Q121" s="13">
        <f t="shared" si="4"/>
        <v>11600</v>
      </c>
    </row>
    <row r="122" spans="3:17" x14ac:dyDescent="0.25">
      <c r="C122" s="81"/>
      <c r="F122" s="5"/>
      <c r="G122" s="3"/>
      <c r="H122" s="3"/>
      <c r="I122"/>
      <c r="J122"/>
      <c r="K122" s="3"/>
      <c r="M122"/>
      <c r="O122" s="3">
        <f t="shared" si="5"/>
        <v>117</v>
      </c>
      <c r="P122" s="13">
        <f t="shared" si="3"/>
        <v>6.016056848873645</v>
      </c>
      <c r="Q122" s="13">
        <f t="shared" si="4"/>
        <v>11700</v>
      </c>
    </row>
    <row r="123" spans="3:17" x14ac:dyDescent="0.25">
      <c r="C123" s="81"/>
      <c r="F123" s="5"/>
      <c r="G123" s="3"/>
      <c r="H123" s="3"/>
      <c r="I123"/>
      <c r="J123"/>
      <c r="K123" s="3"/>
      <c r="M123"/>
      <c r="O123" s="3">
        <f t="shared" si="5"/>
        <v>118</v>
      </c>
      <c r="P123" s="13">
        <f t="shared" si="3"/>
        <v>6.0797188261104038</v>
      </c>
      <c r="Q123" s="13">
        <f t="shared" si="4"/>
        <v>11800.000000000002</v>
      </c>
    </row>
    <row r="124" spans="3:17" x14ac:dyDescent="0.25">
      <c r="C124" s="81"/>
      <c r="F124" s="5"/>
      <c r="G124" s="3"/>
      <c r="H124" s="3"/>
      <c r="I124"/>
      <c r="J124"/>
      <c r="K124" s="3"/>
      <c r="M124"/>
      <c r="O124" s="3">
        <f t="shared" si="5"/>
        <v>119</v>
      </c>
      <c r="P124" s="13">
        <f t="shared" si="3"/>
        <v>6.1433808033471617</v>
      </c>
      <c r="Q124" s="13">
        <f t="shared" si="4"/>
        <v>11900.000000000002</v>
      </c>
    </row>
    <row r="125" spans="3:17" x14ac:dyDescent="0.25">
      <c r="C125" s="81"/>
      <c r="F125" s="5"/>
      <c r="G125" s="3"/>
      <c r="H125" s="3"/>
      <c r="I125"/>
      <c r="J125"/>
      <c r="K125" s="3"/>
      <c r="M125"/>
      <c r="O125" s="3">
        <f t="shared" si="5"/>
        <v>120</v>
      </c>
      <c r="P125" s="13">
        <f t="shared" si="3"/>
        <v>6.2070427805839197</v>
      </c>
      <c r="Q125" s="13">
        <f t="shared" si="4"/>
        <v>12000</v>
      </c>
    </row>
    <row r="126" spans="3:17" x14ac:dyDescent="0.25">
      <c r="C126" s="81"/>
      <c r="F126" s="5"/>
      <c r="G126" s="3"/>
      <c r="H126" s="3"/>
      <c r="I126"/>
      <c r="J126"/>
      <c r="K126" s="3"/>
      <c r="M126"/>
      <c r="O126" s="3">
        <f t="shared" si="5"/>
        <v>121</v>
      </c>
      <c r="P126" s="13">
        <f t="shared" si="3"/>
        <v>6.2707047578206776</v>
      </c>
      <c r="Q126" s="13">
        <f t="shared" si="4"/>
        <v>12100</v>
      </c>
    </row>
    <row r="127" spans="3:17" x14ac:dyDescent="0.25">
      <c r="C127" s="81"/>
      <c r="F127" s="5"/>
      <c r="G127" s="3"/>
      <c r="H127" s="3"/>
      <c r="I127"/>
      <c r="J127"/>
      <c r="K127" s="3"/>
      <c r="M127"/>
      <c r="O127" s="3">
        <f t="shared" si="5"/>
        <v>122</v>
      </c>
      <c r="P127" s="13">
        <f t="shared" si="3"/>
        <v>6.3343667350574355</v>
      </c>
      <c r="Q127" s="13">
        <f t="shared" si="4"/>
        <v>12200</v>
      </c>
    </row>
    <row r="128" spans="3:17" x14ac:dyDescent="0.25">
      <c r="C128" s="81"/>
      <c r="F128" s="5"/>
      <c r="G128" s="3"/>
      <c r="H128" s="3"/>
      <c r="I128"/>
      <c r="J128"/>
      <c r="K128" s="3"/>
      <c r="M128"/>
      <c r="O128" s="3">
        <f t="shared" si="5"/>
        <v>123</v>
      </c>
      <c r="P128" s="13">
        <f t="shared" si="3"/>
        <v>6.3980287122941943</v>
      </c>
      <c r="Q128" s="13">
        <f t="shared" si="4"/>
        <v>12300</v>
      </c>
    </row>
    <row r="129" spans="3:17" x14ac:dyDescent="0.25">
      <c r="C129" s="81"/>
      <c r="F129" s="5"/>
      <c r="G129" s="3"/>
      <c r="H129" s="3"/>
      <c r="I129"/>
      <c r="J129"/>
      <c r="K129" s="3"/>
      <c r="M129"/>
      <c r="O129" s="3">
        <f t="shared" si="5"/>
        <v>124</v>
      </c>
      <c r="P129" s="13">
        <f t="shared" si="3"/>
        <v>6.4616906895309523</v>
      </c>
      <c r="Q129" s="13">
        <f t="shared" si="4"/>
        <v>12400</v>
      </c>
    </row>
    <row r="130" spans="3:17" x14ac:dyDescent="0.25">
      <c r="C130" s="81"/>
      <c r="F130" s="5"/>
      <c r="G130" s="3"/>
      <c r="H130" s="3"/>
      <c r="I130"/>
      <c r="J130"/>
      <c r="K130" s="3"/>
      <c r="M130"/>
      <c r="O130" s="3">
        <f t="shared" si="5"/>
        <v>125</v>
      </c>
      <c r="P130" s="13">
        <f t="shared" si="3"/>
        <v>6.5253526667677102</v>
      </c>
      <c r="Q130" s="13">
        <f t="shared" si="4"/>
        <v>12500</v>
      </c>
    </row>
    <row r="131" spans="3:17" x14ac:dyDescent="0.25">
      <c r="C131" s="81"/>
      <c r="F131" s="5"/>
      <c r="G131" s="3"/>
      <c r="H131" s="3"/>
      <c r="I131"/>
      <c r="J131"/>
      <c r="K131" s="3"/>
      <c r="M131"/>
      <c r="O131" s="3">
        <f t="shared" si="5"/>
        <v>126</v>
      </c>
      <c r="P131" s="13">
        <f t="shared" si="3"/>
        <v>6.589014644004469</v>
      </c>
      <c r="Q131" s="13">
        <f t="shared" si="4"/>
        <v>12600</v>
      </c>
    </row>
    <row r="132" spans="3:17" x14ac:dyDescent="0.25">
      <c r="C132" s="81"/>
      <c r="F132" s="5"/>
      <c r="G132" s="3"/>
      <c r="H132" s="3"/>
      <c r="I132"/>
      <c r="J132"/>
      <c r="K132" s="3"/>
      <c r="M132"/>
      <c r="O132" s="3">
        <f t="shared" si="5"/>
        <v>127</v>
      </c>
      <c r="P132" s="13">
        <f t="shared" si="3"/>
        <v>6.6526766212412261</v>
      </c>
      <c r="Q132" s="13">
        <f t="shared" si="4"/>
        <v>12700</v>
      </c>
    </row>
    <row r="133" spans="3:17" x14ac:dyDescent="0.25">
      <c r="C133" s="81"/>
      <c r="F133" s="5"/>
      <c r="G133" s="3"/>
      <c r="H133" s="3"/>
      <c r="I133"/>
      <c r="J133"/>
      <c r="K133" s="3"/>
      <c r="M133"/>
      <c r="O133" s="3">
        <f t="shared" si="5"/>
        <v>128</v>
      </c>
      <c r="P133" s="13">
        <f t="shared" si="3"/>
        <v>6.7163385984779849</v>
      </c>
      <c r="Q133" s="13">
        <f t="shared" si="4"/>
        <v>12800</v>
      </c>
    </row>
    <row r="134" spans="3:17" x14ac:dyDescent="0.25">
      <c r="C134" s="81"/>
      <c r="F134" s="5"/>
      <c r="G134" s="3"/>
      <c r="H134" s="3"/>
      <c r="I134"/>
      <c r="J134"/>
      <c r="K134" s="3"/>
      <c r="M134"/>
      <c r="O134" s="3">
        <f t="shared" si="5"/>
        <v>129</v>
      </c>
      <c r="P134" s="13">
        <f t="shared" ref="P134:P159" si="6">$C$24*O134+$C$21</f>
        <v>6.7800005757147437</v>
      </c>
      <c r="Q134" s="13">
        <f t="shared" ref="Q134:Q159" si="7">(P134-P$5)*$G$18*10000</f>
        <v>12900</v>
      </c>
    </row>
    <row r="135" spans="3:17" x14ac:dyDescent="0.25">
      <c r="C135" s="81"/>
      <c r="F135" s="5"/>
      <c r="G135" s="3"/>
      <c r="H135" s="3"/>
      <c r="I135"/>
      <c r="J135"/>
      <c r="K135" s="3"/>
      <c r="M135"/>
      <c r="O135" s="3">
        <f t="shared" si="5"/>
        <v>130</v>
      </c>
      <c r="P135" s="13">
        <f t="shared" si="6"/>
        <v>6.8436625529515007</v>
      </c>
      <c r="Q135" s="13">
        <f t="shared" si="7"/>
        <v>13000</v>
      </c>
    </row>
    <row r="136" spans="3:17" x14ac:dyDescent="0.25">
      <c r="C136" s="81"/>
      <c r="F136" s="5"/>
      <c r="G136" s="3"/>
      <c r="H136" s="3"/>
      <c r="I136"/>
      <c r="J136"/>
      <c r="K136" s="3"/>
      <c r="M136"/>
      <c r="O136" s="3">
        <f t="shared" ref="O136:O159" si="8">O135+1</f>
        <v>131</v>
      </c>
      <c r="P136" s="13">
        <f t="shared" si="6"/>
        <v>6.9073245301882595</v>
      </c>
      <c r="Q136" s="13">
        <f t="shared" si="7"/>
        <v>13100</v>
      </c>
    </row>
    <row r="137" spans="3:17" x14ac:dyDescent="0.25">
      <c r="C137" s="81"/>
      <c r="F137" s="5"/>
      <c r="G137" s="3"/>
      <c r="H137" s="3"/>
      <c r="I137"/>
      <c r="J137"/>
      <c r="K137" s="3"/>
      <c r="M137"/>
      <c r="O137" s="3">
        <f t="shared" si="8"/>
        <v>132</v>
      </c>
      <c r="P137" s="13">
        <f t="shared" si="6"/>
        <v>6.9709865074250166</v>
      </c>
      <c r="Q137" s="13">
        <f t="shared" si="7"/>
        <v>13199.999999999998</v>
      </c>
    </row>
    <row r="138" spans="3:17" x14ac:dyDescent="0.25">
      <c r="C138" s="81"/>
      <c r="F138" s="5"/>
      <c r="G138" s="3"/>
      <c r="H138" s="3"/>
      <c r="I138"/>
      <c r="J138"/>
      <c r="K138" s="3"/>
      <c r="M138"/>
      <c r="O138" s="3">
        <f t="shared" si="8"/>
        <v>133</v>
      </c>
      <c r="P138" s="13">
        <f t="shared" si="6"/>
        <v>7.0346484846617754</v>
      </c>
      <c r="Q138" s="13">
        <f t="shared" si="7"/>
        <v>13300</v>
      </c>
    </row>
    <row r="139" spans="3:17" x14ac:dyDescent="0.25">
      <c r="C139" s="81"/>
      <c r="F139" s="5"/>
      <c r="G139" s="3"/>
      <c r="H139" s="3"/>
      <c r="I139"/>
      <c r="J139"/>
      <c r="K139" s="3"/>
      <c r="M139"/>
      <c r="O139" s="3">
        <f t="shared" si="8"/>
        <v>134</v>
      </c>
      <c r="P139" s="13">
        <f t="shared" si="6"/>
        <v>7.0983104618985342</v>
      </c>
      <c r="Q139" s="13">
        <f t="shared" si="7"/>
        <v>13400</v>
      </c>
    </row>
    <row r="140" spans="3:17" x14ac:dyDescent="0.25">
      <c r="C140" s="81"/>
      <c r="F140" s="5"/>
      <c r="G140" s="3"/>
      <c r="H140" s="3"/>
      <c r="I140"/>
      <c r="J140"/>
      <c r="K140" s="3"/>
      <c r="M140"/>
      <c r="O140" s="3">
        <f t="shared" si="8"/>
        <v>135</v>
      </c>
      <c r="P140" s="13">
        <f t="shared" si="6"/>
        <v>7.1619724391352912</v>
      </c>
      <c r="Q140" s="13">
        <f t="shared" si="7"/>
        <v>13499.999999999998</v>
      </c>
    </row>
    <row r="141" spans="3:17" x14ac:dyDescent="0.25">
      <c r="C141" s="81"/>
      <c r="F141" s="5"/>
      <c r="G141" s="3"/>
      <c r="H141" s="3"/>
      <c r="I141"/>
      <c r="J141"/>
      <c r="K141" s="3"/>
      <c r="M141"/>
      <c r="O141" s="3">
        <f t="shared" si="8"/>
        <v>136</v>
      </c>
      <c r="P141" s="13">
        <f t="shared" si="6"/>
        <v>7.2256344163720501</v>
      </c>
      <c r="Q141" s="13">
        <f t="shared" si="7"/>
        <v>13600.000000000002</v>
      </c>
    </row>
    <row r="142" spans="3:17" x14ac:dyDescent="0.25">
      <c r="C142" s="81"/>
      <c r="F142" s="5"/>
      <c r="G142" s="3"/>
      <c r="H142" s="3"/>
      <c r="I142"/>
      <c r="J142"/>
      <c r="K142" s="3"/>
      <c r="M142"/>
      <c r="O142" s="3">
        <f t="shared" si="8"/>
        <v>137</v>
      </c>
      <c r="P142" s="13">
        <f t="shared" si="6"/>
        <v>7.2892963936088089</v>
      </c>
      <c r="Q142" s="13">
        <f t="shared" si="7"/>
        <v>13700.000000000002</v>
      </c>
    </row>
    <row r="143" spans="3:17" x14ac:dyDescent="0.25">
      <c r="C143" s="81"/>
      <c r="F143" s="5"/>
      <c r="G143" s="3"/>
      <c r="H143" s="3"/>
      <c r="I143"/>
      <c r="J143"/>
      <c r="K143" s="3"/>
      <c r="M143"/>
      <c r="O143" s="3">
        <f t="shared" si="8"/>
        <v>138</v>
      </c>
      <c r="P143" s="13">
        <f t="shared" si="6"/>
        <v>7.3529583708455659</v>
      </c>
      <c r="Q143" s="13">
        <f t="shared" si="7"/>
        <v>13799.999999999998</v>
      </c>
    </row>
    <row r="144" spans="3:17" x14ac:dyDescent="0.25">
      <c r="C144" s="81"/>
      <c r="F144" s="5"/>
      <c r="G144" s="3"/>
      <c r="H144" s="3"/>
      <c r="I144"/>
      <c r="J144"/>
      <c r="K144" s="3"/>
      <c r="M144"/>
      <c r="O144" s="3">
        <f t="shared" si="8"/>
        <v>139</v>
      </c>
      <c r="P144" s="13">
        <f t="shared" si="6"/>
        <v>7.4166203480823247</v>
      </c>
      <c r="Q144" s="13">
        <f t="shared" si="7"/>
        <v>13900.000000000002</v>
      </c>
    </row>
    <row r="145" spans="3:17" x14ac:dyDescent="0.25">
      <c r="C145" s="81"/>
      <c r="F145" s="5"/>
      <c r="G145" s="3"/>
      <c r="H145" s="3"/>
      <c r="I145"/>
      <c r="J145"/>
      <c r="K145" s="3"/>
      <c r="M145"/>
      <c r="O145" s="3">
        <f t="shared" si="8"/>
        <v>140</v>
      </c>
      <c r="P145" s="13">
        <f t="shared" si="6"/>
        <v>7.4802823253190835</v>
      </c>
      <c r="Q145" s="13">
        <f t="shared" si="7"/>
        <v>14000.000000000002</v>
      </c>
    </row>
    <row r="146" spans="3:17" x14ac:dyDescent="0.25">
      <c r="C146" s="81"/>
      <c r="F146" s="5"/>
      <c r="G146" s="3"/>
      <c r="H146" s="3"/>
      <c r="I146"/>
      <c r="J146"/>
      <c r="K146" s="3"/>
      <c r="M146"/>
      <c r="O146" s="3">
        <f t="shared" si="8"/>
        <v>141</v>
      </c>
      <c r="P146" s="13">
        <f t="shared" si="6"/>
        <v>7.5439443025558406</v>
      </c>
      <c r="Q146" s="13">
        <f t="shared" si="7"/>
        <v>14100</v>
      </c>
    </row>
    <row r="147" spans="3:17" x14ac:dyDescent="0.25">
      <c r="C147" s="81"/>
      <c r="F147" s="5"/>
      <c r="G147" s="3"/>
      <c r="H147" s="3"/>
      <c r="I147"/>
      <c r="J147"/>
      <c r="K147" s="3"/>
      <c r="M147"/>
      <c r="O147" s="3">
        <f t="shared" si="8"/>
        <v>142</v>
      </c>
      <c r="P147" s="13">
        <f t="shared" si="6"/>
        <v>7.6076062797925994</v>
      </c>
      <c r="Q147" s="13">
        <f t="shared" si="7"/>
        <v>14200.000000000002</v>
      </c>
    </row>
    <row r="148" spans="3:17" x14ac:dyDescent="0.25">
      <c r="C148" s="81"/>
      <c r="F148" s="5"/>
      <c r="G148" s="3"/>
      <c r="H148" s="3"/>
      <c r="I148"/>
      <c r="J148"/>
      <c r="K148" s="3"/>
      <c r="M148"/>
      <c r="O148" s="3">
        <f t="shared" si="8"/>
        <v>143</v>
      </c>
      <c r="P148" s="13">
        <f t="shared" si="6"/>
        <v>7.6712682570293564</v>
      </c>
      <c r="Q148" s="13">
        <f t="shared" si="7"/>
        <v>14300</v>
      </c>
    </row>
    <row r="149" spans="3:17" x14ac:dyDescent="0.25">
      <c r="C149" s="81"/>
      <c r="F149" s="5"/>
      <c r="G149" s="3"/>
      <c r="H149" s="3"/>
      <c r="I149"/>
      <c r="J149"/>
      <c r="K149" s="3"/>
      <c r="M149"/>
      <c r="O149" s="3">
        <f t="shared" si="8"/>
        <v>144</v>
      </c>
      <c r="P149" s="13">
        <f t="shared" si="6"/>
        <v>7.7349302342661153</v>
      </c>
      <c r="Q149" s="13">
        <f t="shared" si="7"/>
        <v>14400</v>
      </c>
    </row>
    <row r="150" spans="3:17" x14ac:dyDescent="0.25">
      <c r="C150" s="81"/>
      <c r="F150" s="5"/>
      <c r="G150" s="3"/>
      <c r="H150" s="3"/>
      <c r="I150"/>
      <c r="J150"/>
      <c r="K150" s="3"/>
      <c r="M150"/>
      <c r="O150" s="3">
        <f t="shared" si="8"/>
        <v>145</v>
      </c>
      <c r="P150" s="13">
        <f t="shared" si="6"/>
        <v>7.7985922115028741</v>
      </c>
      <c r="Q150" s="13">
        <f t="shared" si="7"/>
        <v>14500.000000000002</v>
      </c>
    </row>
    <row r="151" spans="3:17" x14ac:dyDescent="0.25">
      <c r="C151" s="81"/>
      <c r="F151" s="5"/>
      <c r="G151" s="3"/>
      <c r="H151" s="3"/>
      <c r="I151"/>
      <c r="J151"/>
      <c r="K151" s="3"/>
      <c r="M151"/>
      <c r="O151" s="3">
        <f t="shared" si="8"/>
        <v>146</v>
      </c>
      <c r="P151" s="13">
        <f t="shared" si="6"/>
        <v>7.8622541887396311</v>
      </c>
      <c r="Q151" s="13">
        <f t="shared" si="7"/>
        <v>14600</v>
      </c>
    </row>
    <row r="152" spans="3:17" x14ac:dyDescent="0.25">
      <c r="C152" s="81"/>
      <c r="F152" s="5"/>
      <c r="G152" s="3"/>
      <c r="H152" s="3"/>
      <c r="I152"/>
      <c r="J152"/>
      <c r="K152" s="3"/>
      <c r="M152"/>
      <c r="O152" s="3">
        <f t="shared" si="8"/>
        <v>147</v>
      </c>
      <c r="P152" s="13">
        <f t="shared" si="6"/>
        <v>7.9259161659763899</v>
      </c>
      <c r="Q152" s="13">
        <f t="shared" si="7"/>
        <v>14700</v>
      </c>
    </row>
    <row r="153" spans="3:17" x14ac:dyDescent="0.25">
      <c r="C153" s="81"/>
      <c r="F153" s="5"/>
      <c r="G153" s="3"/>
      <c r="H153" s="3"/>
      <c r="I153"/>
      <c r="J153"/>
      <c r="K153" s="3"/>
      <c r="M153"/>
      <c r="O153" s="3">
        <f t="shared" si="8"/>
        <v>148</v>
      </c>
      <c r="P153" s="13">
        <f t="shared" si="6"/>
        <v>7.989578143213147</v>
      </c>
      <c r="Q153" s="13">
        <f t="shared" si="7"/>
        <v>14800</v>
      </c>
    </row>
    <row r="154" spans="3:17" x14ac:dyDescent="0.25">
      <c r="C154" s="81"/>
      <c r="F154" s="5"/>
      <c r="G154" s="3"/>
      <c r="H154" s="3"/>
      <c r="I154"/>
      <c r="J154"/>
      <c r="K154" s="3"/>
      <c r="M154"/>
      <c r="O154" s="3">
        <f t="shared" si="8"/>
        <v>149</v>
      </c>
      <c r="P154" s="13">
        <f t="shared" si="6"/>
        <v>8.0532401204499049</v>
      </c>
      <c r="Q154" s="13">
        <f t="shared" si="7"/>
        <v>14900</v>
      </c>
    </row>
    <row r="155" spans="3:17" x14ac:dyDescent="0.25">
      <c r="C155" s="81"/>
      <c r="F155" s="5"/>
      <c r="G155" s="3"/>
      <c r="H155" s="3"/>
      <c r="I155"/>
      <c r="J155"/>
      <c r="K155" s="3"/>
      <c r="M155"/>
      <c r="O155" s="3">
        <f t="shared" si="8"/>
        <v>150</v>
      </c>
      <c r="P155" s="13">
        <f t="shared" si="6"/>
        <v>8.1169020976866637</v>
      </c>
      <c r="Q155" s="13">
        <f t="shared" si="7"/>
        <v>15000</v>
      </c>
    </row>
    <row r="156" spans="3:17" x14ac:dyDescent="0.25">
      <c r="C156" s="81"/>
      <c r="F156" s="5"/>
      <c r="G156" s="3"/>
      <c r="H156" s="3"/>
      <c r="I156"/>
      <c r="J156"/>
      <c r="K156" s="3"/>
      <c r="M156"/>
      <c r="O156" s="3">
        <f t="shared" si="8"/>
        <v>151</v>
      </c>
      <c r="P156" s="13">
        <f t="shared" si="6"/>
        <v>8.1805640749234207</v>
      </c>
      <c r="Q156" s="13">
        <f t="shared" si="7"/>
        <v>15100</v>
      </c>
    </row>
    <row r="157" spans="3:17" x14ac:dyDescent="0.25">
      <c r="C157" s="81"/>
      <c r="F157" s="5"/>
      <c r="G157" s="3"/>
      <c r="H157" s="3"/>
      <c r="I157"/>
      <c r="J157"/>
      <c r="K157" s="3"/>
      <c r="M157"/>
      <c r="O157" s="3">
        <f t="shared" si="8"/>
        <v>152</v>
      </c>
      <c r="P157" s="13">
        <f t="shared" si="6"/>
        <v>8.2442260521601796</v>
      </c>
      <c r="Q157" s="13">
        <f t="shared" si="7"/>
        <v>15200</v>
      </c>
    </row>
    <row r="158" spans="3:17" x14ac:dyDescent="0.25">
      <c r="C158" s="81"/>
      <c r="F158" s="5"/>
      <c r="G158" s="3"/>
      <c r="H158" s="3"/>
      <c r="I158"/>
      <c r="J158"/>
      <c r="K158" s="3"/>
      <c r="M158"/>
      <c r="O158" s="3">
        <f t="shared" si="8"/>
        <v>153</v>
      </c>
      <c r="P158" s="13">
        <f t="shared" si="6"/>
        <v>8.3078880293969384</v>
      </c>
      <c r="Q158" s="13">
        <f t="shared" si="7"/>
        <v>15300</v>
      </c>
    </row>
    <row r="159" spans="3:17" x14ac:dyDescent="0.25">
      <c r="C159" s="81"/>
      <c r="F159" s="5"/>
      <c r="G159" s="3"/>
      <c r="H159" s="3"/>
      <c r="I159"/>
      <c r="J159"/>
      <c r="K159" s="3"/>
      <c r="M159"/>
      <c r="O159" s="3">
        <f t="shared" si="8"/>
        <v>154</v>
      </c>
      <c r="P159" s="13">
        <f t="shared" si="6"/>
        <v>8.3715500066336954</v>
      </c>
      <c r="Q159" s="13">
        <f t="shared" si="7"/>
        <v>15400</v>
      </c>
    </row>
    <row r="160" spans="3:17" x14ac:dyDescent="0.25">
      <c r="C160" s="81"/>
      <c r="F160" s="5"/>
      <c r="G160" s="3"/>
      <c r="H160" s="3"/>
      <c r="I160"/>
      <c r="J160"/>
      <c r="K160" s="3"/>
      <c r="M160"/>
      <c r="P160" s="3"/>
      <c r="Q160" s="7"/>
    </row>
    <row r="161" spans="3:17" x14ac:dyDescent="0.25">
      <c r="C161" s="81"/>
      <c r="F161" s="5"/>
      <c r="G161" s="3"/>
      <c r="H161" s="3"/>
      <c r="I161"/>
      <c r="J161"/>
      <c r="K161" s="3"/>
      <c r="M161"/>
      <c r="P161" s="3"/>
      <c r="Q161" s="7"/>
    </row>
    <row r="162" spans="3:17" x14ac:dyDescent="0.25">
      <c r="C162" s="81"/>
      <c r="F162" s="5"/>
      <c r="G162" s="3"/>
      <c r="H162" s="3"/>
      <c r="I162"/>
      <c r="J162"/>
      <c r="K162" s="3"/>
      <c r="M162"/>
      <c r="P162" s="3"/>
      <c r="Q162" s="7"/>
    </row>
    <row r="163" spans="3:17" x14ac:dyDescent="0.25">
      <c r="C163" s="81"/>
      <c r="F163" s="5"/>
      <c r="G163" s="3"/>
      <c r="H163" s="3"/>
      <c r="I163"/>
      <c r="J163"/>
      <c r="K163" s="3"/>
      <c r="M163"/>
      <c r="P163" s="3"/>
      <c r="Q163" s="7"/>
    </row>
    <row r="164" spans="3:17" x14ac:dyDescent="0.25">
      <c r="C164" s="81"/>
      <c r="F164" s="5"/>
      <c r="G164" s="3"/>
      <c r="H164" s="3"/>
      <c r="I164"/>
      <c r="J164"/>
      <c r="K164" s="3"/>
      <c r="M164"/>
      <c r="P164" s="3"/>
      <c r="Q164" s="7"/>
    </row>
    <row r="165" spans="3:17" x14ac:dyDescent="0.25">
      <c r="C165" s="81"/>
      <c r="F165" s="5"/>
      <c r="G165" s="3"/>
      <c r="H165" s="3"/>
      <c r="I165"/>
      <c r="J165"/>
      <c r="K165" s="3"/>
      <c r="M165"/>
      <c r="P165" s="3"/>
      <c r="Q165" s="7"/>
    </row>
    <row r="166" spans="3:17" x14ac:dyDescent="0.25">
      <c r="C166" s="81"/>
      <c r="F166" s="5"/>
      <c r="G166" s="3"/>
      <c r="H166" s="3"/>
      <c r="I166"/>
      <c r="J166"/>
      <c r="K166" s="3"/>
      <c r="M166"/>
      <c r="P166" s="3"/>
      <c r="Q166" s="7"/>
    </row>
    <row r="167" spans="3:17" x14ac:dyDescent="0.25">
      <c r="C167" s="81"/>
      <c r="F167" s="5"/>
      <c r="G167" s="3"/>
      <c r="H167" s="3"/>
      <c r="I167"/>
      <c r="J167"/>
      <c r="K167" s="3"/>
      <c r="M167"/>
      <c r="P167" s="3"/>
      <c r="Q167" s="7"/>
    </row>
    <row r="168" spans="3:17" x14ac:dyDescent="0.25">
      <c r="C168" s="81"/>
      <c r="F168" s="5"/>
      <c r="G168" s="3"/>
      <c r="H168" s="3"/>
      <c r="I168"/>
      <c r="J168"/>
      <c r="K168" s="3"/>
      <c r="M168"/>
      <c r="P168" s="3"/>
      <c r="Q168" s="7"/>
    </row>
    <row r="169" spans="3:17" x14ac:dyDescent="0.25">
      <c r="C169" s="81"/>
      <c r="F169" s="5"/>
      <c r="G169" s="3"/>
      <c r="H169" s="3"/>
      <c r="I169"/>
      <c r="J169"/>
      <c r="K169" s="3"/>
      <c r="M169"/>
      <c r="P169" s="3"/>
      <c r="Q169" s="7"/>
    </row>
    <row r="170" spans="3:17" x14ac:dyDescent="0.25">
      <c r="C170" s="81"/>
      <c r="F170" s="5"/>
      <c r="G170" s="3"/>
      <c r="H170" s="3"/>
      <c r="I170"/>
      <c r="J170"/>
      <c r="K170" s="3"/>
      <c r="M170"/>
      <c r="P170" s="3"/>
      <c r="Q170" s="7"/>
    </row>
    <row r="171" spans="3:17" x14ac:dyDescent="0.25">
      <c r="C171" s="81"/>
      <c r="F171" s="5"/>
      <c r="G171" s="3">
        <v>-3.6663092742415202</v>
      </c>
      <c r="H171" s="3">
        <v>-3.6651670969660901</v>
      </c>
      <c r="I171"/>
      <c r="J171"/>
      <c r="K171" s="3"/>
      <c r="M171"/>
      <c r="P171" s="3"/>
      <c r="Q171" s="7"/>
    </row>
    <row r="172" spans="3:17" x14ac:dyDescent="0.25">
      <c r="C172" s="81"/>
      <c r="F172" s="5"/>
      <c r="G172" s="3">
        <v>-3.65298387269483</v>
      </c>
      <c r="H172" s="3">
        <v>-3.6529838726948198</v>
      </c>
      <c r="I172"/>
      <c r="J172"/>
      <c r="K172" s="3"/>
      <c r="M172"/>
      <c r="P172" s="3"/>
      <c r="Q172" s="7"/>
    </row>
    <row r="173" spans="3:17" x14ac:dyDescent="0.25">
      <c r="C173" s="81"/>
      <c r="F173" s="5"/>
      <c r="G173" s="3">
        <v>-3.6396584711481399</v>
      </c>
      <c r="H173" s="3">
        <v>-3.64080064842355</v>
      </c>
      <c r="I173"/>
      <c r="J173"/>
      <c r="K173" s="3"/>
      <c r="M173"/>
      <c r="P173" s="3"/>
      <c r="Q173" s="7"/>
    </row>
    <row r="174" spans="3:17" x14ac:dyDescent="0.25">
      <c r="C174" s="81"/>
      <c r="F174" s="5"/>
      <c r="G174" s="3">
        <v>-3.6263330696014502</v>
      </c>
      <c r="H174" s="3">
        <v>-3.6286174241522802</v>
      </c>
      <c r="I174"/>
      <c r="J174"/>
      <c r="K174" s="3"/>
      <c r="M174"/>
      <c r="P174" s="3"/>
      <c r="Q174" s="7"/>
    </row>
    <row r="175" spans="3:17" x14ac:dyDescent="0.25">
      <c r="C175" s="81"/>
      <c r="F175" s="5"/>
      <c r="G175" s="3">
        <v>-3.61300766805476</v>
      </c>
      <c r="H175" s="3">
        <v>-3.6164341998810099</v>
      </c>
      <c r="I175"/>
      <c r="J175"/>
      <c r="K175" s="3"/>
      <c r="M175"/>
      <c r="P175" s="3"/>
      <c r="Q175" s="7"/>
    </row>
    <row r="176" spans="3:17" x14ac:dyDescent="0.25">
      <c r="C176" s="81"/>
      <c r="F176" s="5"/>
      <c r="G176" s="3"/>
      <c r="H176" s="3">
        <v>-3.6042509756097498</v>
      </c>
      <c r="I176"/>
      <c r="J176"/>
      <c r="K176" s="3"/>
      <c r="M176"/>
      <c r="P176" s="3"/>
      <c r="Q176" s="7"/>
    </row>
    <row r="177" spans="3:13" x14ac:dyDescent="0.25">
      <c r="C177" s="81"/>
      <c r="F177" s="5"/>
      <c r="G177" s="3"/>
      <c r="H177" s="3">
        <v>-3.59206775133848</v>
      </c>
      <c r="I177"/>
      <c r="J177"/>
      <c r="K177" s="3"/>
      <c r="M177"/>
    </row>
    <row r="178" spans="3:13" x14ac:dyDescent="0.25">
      <c r="C178" s="81"/>
      <c r="F178" s="5"/>
      <c r="G178" s="3"/>
      <c r="H178" s="3">
        <v>-3.5798845270672102</v>
      </c>
      <c r="I178"/>
      <c r="J178"/>
      <c r="K178" s="3"/>
      <c r="M178"/>
    </row>
    <row r="179" spans="3:13" x14ac:dyDescent="0.25">
      <c r="C179" s="81"/>
      <c r="F179" s="5"/>
      <c r="G179" s="3"/>
      <c r="H179" s="3"/>
      <c r="I179"/>
      <c r="J179"/>
      <c r="K179" s="3"/>
      <c r="M179"/>
    </row>
    <row r="180" spans="3:13" x14ac:dyDescent="0.25">
      <c r="C180" s="81"/>
      <c r="F180" s="5"/>
      <c r="G180" s="3"/>
      <c r="H180" s="3"/>
      <c r="I180"/>
      <c r="J180"/>
      <c r="K180" s="3"/>
      <c r="M180"/>
    </row>
    <row r="181" spans="3:13" x14ac:dyDescent="0.25">
      <c r="C181" s="81"/>
      <c r="F181" s="5"/>
      <c r="G181" s="3"/>
      <c r="H181" s="3"/>
      <c r="I181"/>
      <c r="J181"/>
      <c r="K181" s="3"/>
      <c r="M181"/>
    </row>
    <row r="182" spans="3:13" x14ac:dyDescent="0.25">
      <c r="C182" s="81"/>
      <c r="F182" s="5"/>
      <c r="G182" s="3"/>
      <c r="H182" s="3"/>
      <c r="I182"/>
      <c r="J182"/>
      <c r="K182" s="3"/>
      <c r="M182"/>
    </row>
    <row r="183" spans="3:13" x14ac:dyDescent="0.25">
      <c r="C183" s="81"/>
      <c r="F183" s="5"/>
      <c r="G183" s="3"/>
      <c r="H183" s="3"/>
      <c r="I183"/>
      <c r="J183"/>
      <c r="K183" s="3"/>
      <c r="M183"/>
    </row>
    <row r="184" spans="3:13" x14ac:dyDescent="0.25">
      <c r="C184" s="81"/>
      <c r="F184" s="5"/>
      <c r="G184" s="3"/>
      <c r="H184" s="3"/>
      <c r="I184"/>
      <c r="J184"/>
      <c r="K184" s="3"/>
      <c r="M184"/>
    </row>
    <row r="185" spans="3:13" x14ac:dyDescent="0.25">
      <c r="C185" s="81"/>
      <c r="F185" s="5"/>
      <c r="G185" s="3"/>
      <c r="H185" s="3"/>
      <c r="I185"/>
      <c r="J185"/>
      <c r="K185" s="3"/>
      <c r="M185"/>
    </row>
    <row r="186" spans="3:13" x14ac:dyDescent="0.25">
      <c r="C186" s="81"/>
      <c r="F186" s="5"/>
      <c r="G186" s="3"/>
      <c r="H186" s="3"/>
      <c r="I186"/>
      <c r="J186"/>
      <c r="K186" s="3"/>
      <c r="M186"/>
    </row>
    <row r="187" spans="3:13" x14ac:dyDescent="0.25">
      <c r="C187" s="81"/>
      <c r="F187" s="5"/>
      <c r="G187" s="3"/>
      <c r="H187" s="3"/>
      <c r="I187"/>
      <c r="J187"/>
      <c r="K187" s="3"/>
      <c r="M187"/>
    </row>
    <row r="188" spans="3:13" x14ac:dyDescent="0.25">
      <c r="C188" s="81"/>
      <c r="F188" s="5"/>
      <c r="G188" s="3"/>
      <c r="H188" s="3"/>
      <c r="I188"/>
      <c r="J188"/>
      <c r="K188" s="3"/>
      <c r="M188"/>
    </row>
    <row r="189" spans="3:13" x14ac:dyDescent="0.25">
      <c r="C189" s="81"/>
      <c r="F189" s="5"/>
      <c r="G189" s="3"/>
      <c r="H189" s="3"/>
      <c r="I189"/>
      <c r="J189"/>
      <c r="K189" s="3"/>
      <c r="M189"/>
    </row>
    <row r="190" spans="3:13" x14ac:dyDescent="0.25">
      <c r="C190" s="81"/>
      <c r="F190" s="5"/>
      <c r="G190" s="3"/>
      <c r="H190" s="3"/>
      <c r="I190"/>
      <c r="J190"/>
      <c r="K190" s="3"/>
      <c r="M190"/>
    </row>
    <row r="191" spans="3:13" x14ac:dyDescent="0.25">
      <c r="C191" s="81"/>
      <c r="F191" s="5"/>
      <c r="G191" s="3"/>
      <c r="H191" s="3"/>
      <c r="I191"/>
      <c r="J191"/>
      <c r="K191" s="3"/>
      <c r="M191"/>
    </row>
    <row r="192" spans="3:13" x14ac:dyDescent="0.25">
      <c r="C192" s="81"/>
      <c r="F192" s="5"/>
      <c r="G192" s="3"/>
      <c r="H192" s="3"/>
      <c r="I192"/>
      <c r="J192"/>
      <c r="K192" s="3"/>
      <c r="M192"/>
    </row>
    <row r="193" spans="3:13" x14ac:dyDescent="0.25">
      <c r="C193" s="81"/>
      <c r="F193" s="5"/>
      <c r="G193" s="3"/>
      <c r="H193" s="3"/>
      <c r="I193"/>
      <c r="J193"/>
      <c r="K193" s="3"/>
      <c r="M193"/>
    </row>
    <row r="194" spans="3:13" x14ac:dyDescent="0.25">
      <c r="C194" s="81"/>
      <c r="F194" s="5"/>
      <c r="G194" s="3"/>
      <c r="H194" s="3"/>
      <c r="I194"/>
      <c r="J194"/>
      <c r="K194" s="3"/>
      <c r="M194"/>
    </row>
    <row r="195" spans="3:13" x14ac:dyDescent="0.25">
      <c r="C195" s="81"/>
      <c r="F195" s="5"/>
      <c r="G195" s="3"/>
      <c r="H195" s="3"/>
      <c r="I195"/>
      <c r="J195"/>
      <c r="K195" s="3"/>
      <c r="M195"/>
    </row>
    <row r="196" spans="3:13" x14ac:dyDescent="0.25">
      <c r="C196" s="81"/>
      <c r="F196" s="5"/>
      <c r="G196" s="3"/>
      <c r="H196" s="3"/>
      <c r="I196"/>
      <c r="J196"/>
      <c r="K196" s="3"/>
      <c r="M196"/>
    </row>
    <row r="197" spans="3:13" x14ac:dyDescent="0.25">
      <c r="C197" s="81"/>
      <c r="F197" s="5"/>
      <c r="G197" s="3"/>
      <c r="H197" s="3"/>
      <c r="I197"/>
      <c r="J197"/>
      <c r="K197" s="3"/>
      <c r="M197"/>
    </row>
    <row r="198" spans="3:13" x14ac:dyDescent="0.25">
      <c r="C198" s="81"/>
      <c r="F198" s="5"/>
      <c r="G198" s="3"/>
      <c r="H198" s="3"/>
      <c r="I198"/>
      <c r="J198"/>
      <c r="K198" s="3"/>
      <c r="M198"/>
    </row>
    <row r="199" spans="3:13" x14ac:dyDescent="0.25">
      <c r="C199" s="81"/>
      <c r="F199" s="5"/>
      <c r="G199" s="3"/>
      <c r="H199" s="3"/>
      <c r="I199"/>
      <c r="J199"/>
      <c r="K199" s="3"/>
      <c r="M199"/>
    </row>
    <row r="200" spans="3:13" x14ac:dyDescent="0.25">
      <c r="C200" s="81"/>
      <c r="F200" s="5"/>
      <c r="G200" s="3"/>
      <c r="H200" s="3"/>
      <c r="I200"/>
      <c r="J200"/>
      <c r="K200" s="3"/>
      <c r="M200"/>
    </row>
    <row r="201" spans="3:13" x14ac:dyDescent="0.25">
      <c r="C201" s="81"/>
      <c r="F201" s="5"/>
      <c r="G201" s="3"/>
      <c r="H201" s="3"/>
      <c r="I201"/>
      <c r="J201"/>
      <c r="K201" s="3"/>
      <c r="M201"/>
    </row>
    <row r="202" spans="3:13" x14ac:dyDescent="0.25">
      <c r="C202" s="81"/>
      <c r="F202" s="5"/>
      <c r="G202" s="3"/>
      <c r="H202" s="3"/>
      <c r="I202"/>
      <c r="J202"/>
      <c r="K202" s="3"/>
      <c r="M202"/>
    </row>
    <row r="203" spans="3:13" x14ac:dyDescent="0.25">
      <c r="C203" s="81"/>
      <c r="F203" s="5"/>
      <c r="G203" s="3"/>
      <c r="H203" s="3"/>
      <c r="I203"/>
      <c r="J203"/>
      <c r="K203" s="3"/>
      <c r="M203"/>
    </row>
    <row r="204" spans="3:13" x14ac:dyDescent="0.25">
      <c r="C204" s="81"/>
      <c r="F204" s="5"/>
      <c r="G204" s="3"/>
      <c r="H204" s="3"/>
      <c r="I204"/>
      <c r="J204"/>
      <c r="K204" s="3"/>
      <c r="M204"/>
    </row>
    <row r="205" spans="3:13" x14ac:dyDescent="0.25">
      <c r="C205" s="81"/>
      <c r="F205" s="5"/>
      <c r="G205" s="3"/>
      <c r="H205" s="3"/>
      <c r="I205"/>
      <c r="J205"/>
      <c r="K205" s="3"/>
      <c r="M205"/>
    </row>
    <row r="206" spans="3:13" x14ac:dyDescent="0.25">
      <c r="C206" s="81"/>
      <c r="F206" s="5"/>
      <c r="G206" s="3"/>
      <c r="H206" s="3"/>
      <c r="I206"/>
      <c r="J206"/>
      <c r="K206" s="3"/>
      <c r="M206"/>
    </row>
    <row r="207" spans="3:13" x14ac:dyDescent="0.25">
      <c r="C207" s="81"/>
      <c r="F207" s="5"/>
      <c r="G207" s="3"/>
      <c r="H207" s="3"/>
      <c r="I207"/>
      <c r="J207"/>
      <c r="K207" s="3"/>
      <c r="M207"/>
    </row>
    <row r="208" spans="3:13" x14ac:dyDescent="0.25">
      <c r="C208" s="81"/>
      <c r="F208" s="5"/>
      <c r="G208" s="3"/>
      <c r="H208" s="3"/>
      <c r="I208"/>
      <c r="J208"/>
      <c r="K208" s="3"/>
      <c r="M208"/>
    </row>
    <row r="209" spans="3:13" x14ac:dyDescent="0.25">
      <c r="C209" s="81"/>
      <c r="F209" s="5"/>
      <c r="G209" s="3"/>
      <c r="H209" s="3"/>
      <c r="I209"/>
      <c r="J209"/>
      <c r="K209" s="3"/>
      <c r="M209"/>
    </row>
    <row r="210" spans="3:13" x14ac:dyDescent="0.25">
      <c r="C210" s="81"/>
      <c r="F210" s="5"/>
      <c r="G210" s="3"/>
      <c r="H210" s="3"/>
      <c r="I210"/>
      <c r="J210"/>
      <c r="K210" s="3"/>
      <c r="M210"/>
    </row>
    <row r="211" spans="3:13" x14ac:dyDescent="0.25">
      <c r="C211" s="81"/>
      <c r="F211" s="5"/>
      <c r="G211" s="3"/>
      <c r="H211" s="3"/>
      <c r="I211"/>
      <c r="J211"/>
      <c r="K211" s="3"/>
      <c r="M211"/>
    </row>
    <row r="212" spans="3:13" x14ac:dyDescent="0.25">
      <c r="C212" s="81"/>
      <c r="F212" s="5"/>
      <c r="G212" s="3"/>
      <c r="H212" s="3"/>
      <c r="I212"/>
      <c r="J212"/>
      <c r="K212" s="3"/>
      <c r="M212"/>
    </row>
    <row r="213" spans="3:13" x14ac:dyDescent="0.25">
      <c r="F213" s="5"/>
      <c r="G213" s="3"/>
      <c r="H213" s="3"/>
      <c r="I213"/>
      <c r="J213"/>
      <c r="K213" s="3"/>
      <c r="M213"/>
    </row>
    <row r="214" spans="3:13" x14ac:dyDescent="0.25">
      <c r="F214" s="5"/>
      <c r="G214" s="3"/>
      <c r="H214" s="3"/>
      <c r="I214"/>
      <c r="J214"/>
      <c r="K214" s="3"/>
      <c r="M214"/>
    </row>
    <row r="215" spans="3:13" x14ac:dyDescent="0.25">
      <c r="F215" s="5"/>
      <c r="G215" s="3"/>
      <c r="H215" s="3"/>
      <c r="I215"/>
      <c r="J215"/>
      <c r="K215" s="3"/>
      <c r="M215"/>
    </row>
    <row r="216" spans="3:13" x14ac:dyDescent="0.25">
      <c r="F216" s="5"/>
      <c r="G216" s="3"/>
      <c r="H216" s="3"/>
      <c r="I216"/>
      <c r="J216"/>
      <c r="K216" s="3"/>
      <c r="M216"/>
    </row>
    <row r="217" spans="3:13" x14ac:dyDescent="0.25">
      <c r="F217" s="5"/>
      <c r="G217" s="3"/>
      <c r="H217" s="3"/>
      <c r="I217"/>
      <c r="J217"/>
      <c r="K217" s="3"/>
      <c r="M217"/>
    </row>
    <row r="218" spans="3:13" x14ac:dyDescent="0.25">
      <c r="G218" s="5"/>
      <c r="H218" s="3"/>
      <c r="J218"/>
      <c r="L218" s="3"/>
      <c r="M218"/>
    </row>
    <row r="219" spans="3:13" x14ac:dyDescent="0.25">
      <c r="G219" s="5"/>
      <c r="H219" s="3"/>
      <c r="J219"/>
      <c r="L219" s="3"/>
      <c r="M219"/>
    </row>
    <row r="220" spans="3:13" x14ac:dyDescent="0.25">
      <c r="G220" s="5"/>
      <c r="H220" s="3"/>
      <c r="J220"/>
      <c r="L220" s="3"/>
      <c r="M220"/>
    </row>
    <row r="221" spans="3:13" x14ac:dyDescent="0.25">
      <c r="G221" s="5"/>
      <c r="H221" s="3"/>
      <c r="J221"/>
      <c r="L221" s="3"/>
      <c r="M221"/>
    </row>
    <row r="222" spans="3:13" x14ac:dyDescent="0.25">
      <c r="G222" s="5"/>
      <c r="H222" s="3"/>
      <c r="J222"/>
      <c r="L222" s="3"/>
      <c r="M222"/>
    </row>
    <row r="223" spans="3:13" x14ac:dyDescent="0.25">
      <c r="G223" s="5"/>
      <c r="H223" s="3"/>
      <c r="J223"/>
      <c r="L223" s="3"/>
      <c r="M223"/>
    </row>
    <row r="224" spans="3:13" x14ac:dyDescent="0.25">
      <c r="G224" s="5"/>
      <c r="H224" s="3"/>
      <c r="J224"/>
      <c r="L224" s="3"/>
      <c r="M224"/>
    </row>
    <row r="225" spans="7:13" x14ac:dyDescent="0.25">
      <c r="G225" s="5"/>
      <c r="H225" s="3"/>
      <c r="J225"/>
      <c r="L225" s="3"/>
      <c r="M225"/>
    </row>
    <row r="226" spans="7:13" x14ac:dyDescent="0.25">
      <c r="G226" s="5"/>
      <c r="H226" s="3"/>
      <c r="J226"/>
      <c r="L226" s="3"/>
      <c r="M226"/>
    </row>
    <row r="227" spans="7:13" x14ac:dyDescent="0.25">
      <c r="G227" s="5"/>
      <c r="H227" s="3"/>
      <c r="J227"/>
      <c r="L227" s="3"/>
      <c r="M227"/>
    </row>
    <row r="228" spans="7:13" x14ac:dyDescent="0.25">
      <c r="G228" s="5"/>
      <c r="H228" s="3"/>
      <c r="J228"/>
      <c r="L228" s="3"/>
      <c r="M228"/>
    </row>
    <row r="229" spans="7:13" x14ac:dyDescent="0.25">
      <c r="G229" s="5"/>
      <c r="H229" s="3"/>
      <c r="J229"/>
      <c r="L229" s="3"/>
      <c r="M229"/>
    </row>
    <row r="230" spans="7:13" x14ac:dyDescent="0.25">
      <c r="G230" s="5"/>
      <c r="H230" s="3"/>
      <c r="J230"/>
      <c r="L230" s="3"/>
      <c r="M230"/>
    </row>
    <row r="231" spans="7:13" x14ac:dyDescent="0.25">
      <c r="G231" s="5"/>
      <c r="H231" s="3"/>
      <c r="J231"/>
      <c r="L231" s="3"/>
      <c r="M231"/>
    </row>
    <row r="232" spans="7:13" x14ac:dyDescent="0.25">
      <c r="G232" s="5"/>
      <c r="H232" s="3"/>
      <c r="J232"/>
      <c r="L232" s="3"/>
      <c r="M232"/>
    </row>
    <row r="233" spans="7:13" x14ac:dyDescent="0.25">
      <c r="G233" s="5"/>
      <c r="H233" s="3"/>
      <c r="J233"/>
      <c r="L233" s="3"/>
      <c r="M233"/>
    </row>
    <row r="234" spans="7:13" x14ac:dyDescent="0.25">
      <c r="G234" s="5"/>
      <c r="H234" s="3"/>
      <c r="J234"/>
      <c r="L234" s="3"/>
      <c r="M234"/>
    </row>
    <row r="235" spans="7:13" x14ac:dyDescent="0.25">
      <c r="G235" s="5"/>
      <c r="H235" s="3"/>
      <c r="J235"/>
      <c r="L235" s="3"/>
      <c r="M235"/>
    </row>
    <row r="236" spans="7:13" x14ac:dyDescent="0.25">
      <c r="G236" s="5"/>
      <c r="H236" s="3"/>
      <c r="J236"/>
      <c r="L236" s="3"/>
      <c r="M236"/>
    </row>
    <row r="237" spans="7:13" x14ac:dyDescent="0.25">
      <c r="G237" s="5"/>
      <c r="H237" s="3"/>
      <c r="J237"/>
      <c r="L237" s="3"/>
      <c r="M237"/>
    </row>
    <row r="238" spans="7:13" x14ac:dyDescent="0.25">
      <c r="G238" s="5"/>
      <c r="H238" s="3"/>
      <c r="J238"/>
      <c r="L238" s="3"/>
      <c r="M238"/>
    </row>
    <row r="239" spans="7:13" x14ac:dyDescent="0.25">
      <c r="G239" s="5"/>
      <c r="H239" s="3"/>
      <c r="J239"/>
      <c r="L239" s="3"/>
      <c r="M239"/>
    </row>
    <row r="240" spans="7:13" x14ac:dyDescent="0.25">
      <c r="G240" s="5"/>
      <c r="H240" s="3"/>
      <c r="J240"/>
      <c r="L240" s="3"/>
      <c r="M240"/>
    </row>
    <row r="241" spans="7:13" x14ac:dyDescent="0.25">
      <c r="G241" s="5"/>
      <c r="H241" s="3"/>
      <c r="J241"/>
      <c r="L241" s="3"/>
      <c r="M241"/>
    </row>
    <row r="242" spans="7:13" x14ac:dyDescent="0.25">
      <c r="G242" s="5"/>
      <c r="H242" s="3"/>
      <c r="J242"/>
      <c r="L242" s="3"/>
      <c r="M242"/>
    </row>
    <row r="243" spans="7:13" x14ac:dyDescent="0.25">
      <c r="G243" s="5"/>
      <c r="H243" s="3"/>
      <c r="J243"/>
      <c r="L243" s="3"/>
      <c r="M243"/>
    </row>
    <row r="244" spans="7:13" x14ac:dyDescent="0.25">
      <c r="G244" s="5"/>
      <c r="H244" s="3"/>
      <c r="J244"/>
      <c r="L244" s="3"/>
      <c r="M244"/>
    </row>
    <row r="245" spans="7:13" x14ac:dyDescent="0.25">
      <c r="G245" s="5"/>
      <c r="H245" s="3"/>
      <c r="J245"/>
      <c r="L245" s="3"/>
      <c r="M245"/>
    </row>
    <row r="246" spans="7:13" x14ac:dyDescent="0.25">
      <c r="G246" s="5"/>
      <c r="H246" s="3"/>
      <c r="J246"/>
      <c r="L246" s="3"/>
      <c r="M246"/>
    </row>
    <row r="247" spans="7:13" x14ac:dyDescent="0.25">
      <c r="G247" s="5"/>
      <c r="H247" s="3"/>
      <c r="J247"/>
      <c r="L247" s="3"/>
      <c r="M247"/>
    </row>
    <row r="248" spans="7:13" x14ac:dyDescent="0.25">
      <c r="G248" s="5"/>
      <c r="H248" s="3"/>
      <c r="J248"/>
      <c r="L248" s="3"/>
      <c r="M248"/>
    </row>
    <row r="249" spans="7:13" x14ac:dyDescent="0.25">
      <c r="G249" s="5"/>
      <c r="H249" s="3"/>
      <c r="J249"/>
      <c r="L249" s="3"/>
      <c r="M249"/>
    </row>
    <row r="250" spans="7:13" x14ac:dyDescent="0.25">
      <c r="G250" s="5"/>
      <c r="H250" s="3"/>
      <c r="J250"/>
      <c r="L250" s="3"/>
      <c r="M250"/>
    </row>
    <row r="251" spans="7:13" x14ac:dyDescent="0.25">
      <c r="G251" s="5"/>
      <c r="H251" s="3"/>
      <c r="J251"/>
      <c r="L251" s="3"/>
      <c r="M251"/>
    </row>
    <row r="252" spans="7:13" x14ac:dyDescent="0.25">
      <c r="G252" s="5"/>
      <c r="H252" s="3"/>
      <c r="J252"/>
      <c r="L252" s="3"/>
      <c r="M252"/>
    </row>
    <row r="253" spans="7:13" x14ac:dyDescent="0.25">
      <c r="L253" s="3"/>
      <c r="M253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WakeUbuntu001</vt:lpstr>
      <vt:lpstr>WakeUbuntu002</vt:lpstr>
      <vt:lpstr>WakeUbuntu003</vt:lpstr>
      <vt:lpstr>WakeUbuntu004</vt:lpstr>
      <vt:lpstr>WakeACWarpGM002aetbetc</vt:lpstr>
      <vt:lpstr>WakeACWarpGM002d</vt:lpstr>
      <vt:lpstr>WakeACGM002f</vt:lpstr>
      <vt:lpstr>WakeACGM002g</vt:lpstr>
      <vt:lpstr>WakeACWarpGM002aTest13</vt:lpstr>
      <vt:lpstr>WakeACWarpGM002bTest13</vt:lpstr>
      <vt:lpstr>WakeACWarp001test13b</vt:lpstr>
      <vt:lpstr>WakeACWarp001atest15</vt:lpstr>
      <vt:lpstr>WakeACwarp001btest15</vt:lpstr>
      <vt:lpstr>Basic</vt:lpstr>
      <vt:lpstr>WakeTrajLGtest1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gilles</cp:lastModifiedBy>
  <dcterms:created xsi:type="dcterms:W3CDTF">2016-01-11T17:21:04Z</dcterms:created>
  <dcterms:modified xsi:type="dcterms:W3CDTF">2017-04-04T20:40:01Z</dcterms:modified>
</cp:coreProperties>
</file>