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crapping\test\pythonProject\"/>
    </mc:Choice>
  </mc:AlternateContent>
  <bookViews>
    <workbookView xWindow="0" yWindow="0" windowWidth="28890" windowHeight="12300"/>
  </bookViews>
  <sheets>
    <sheet name="Clients" sheetId="1" r:id="rId1"/>
    <sheet name="Questions" sheetId="2" r:id="rId2"/>
    <sheet name="Applications" sheetId="3" r:id="rId3"/>
    <sheet name="Externals" sheetId="4" r:id="rId4"/>
    <sheet name="Unanswered" sheetId="5" r:id="rId5"/>
    <sheet name="Failures" sheetId="6" r:id="rId6"/>
  </sheets>
  <definedNames>
    <definedName name="_xlnm._FilterDatabase" localSheetId="2" hidden="1">Applications!$B$1:$F$1</definedName>
    <definedName name="_xlnm._FilterDatabase" localSheetId="1" hidden="1">Questions!$A$1:$E$114</definedName>
    <definedName name="_xlnm._FilterDatabase" localSheetId="4" hidden="1">Unanswered!$B$1:$I$71</definedName>
  </definedNames>
  <calcPr calcId="162913"/>
</workbook>
</file>

<file path=xl/calcChain.xml><?xml version="1.0" encoding="utf-8"?>
<calcChain xmlns="http://schemas.openxmlformats.org/spreadsheetml/2006/main">
  <c r="C256" i="6" l="1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<sst xmlns="http://schemas.openxmlformats.org/spreadsheetml/2006/main" count="7349" uniqueCount="912">
  <si>
    <t>Country</t>
  </si>
  <si>
    <t>Active</t>
  </si>
  <si>
    <t>Name</t>
  </si>
  <si>
    <t>Email</t>
  </si>
  <si>
    <t>Password</t>
  </si>
  <si>
    <t>Phone Number</t>
  </si>
  <si>
    <t>Batch</t>
  </si>
  <si>
    <t>Order</t>
  </si>
  <si>
    <t>Applications</t>
  </si>
  <si>
    <t>Failures</t>
  </si>
  <si>
    <t>Australia</t>
  </si>
  <si>
    <t>Client A Full Name</t>
  </si>
  <si>
    <t>A</t>
  </si>
  <si>
    <t>Client A Indeed User Name</t>
  </si>
  <si>
    <t>Client A Indeed Password</t>
  </si>
  <si>
    <t>B</t>
  </si>
  <si>
    <t>Question</t>
  </si>
  <si>
    <t>Text</t>
  </si>
  <si>
    <t>Select</t>
  </si>
  <si>
    <t>Textarea</t>
  </si>
  <si>
    <t>Multiselect</t>
  </si>
  <si>
    <t>Are you an Australian Citizen or permanent resident?</t>
  </si>
  <si>
    <t>Yes</t>
  </si>
  <si>
    <t>Are you an Australian Citizen?</t>
  </si>
  <si>
    <t>Are you authorized to work in the job's location?</t>
  </si>
  <si>
    <t>Are you available/willing to work away from home for project work?</t>
  </si>
  <si>
    <t>Are you currently enrolled at school?</t>
  </si>
  <si>
    <t>No</t>
  </si>
  <si>
    <t>Are you currently enrolled in a course, if so, what is the course name and code?</t>
  </si>
  <si>
    <t>Are you currently in Australia?</t>
  </si>
  <si>
    <t>Are you related to an Arista employee, an employee of a Government Entity* OR any Arista Customer? &lt;br&gt;&lt;br&gt;Includes any elected or appointed official or employee of a government agency, any employee of a commercial entity that is government-controlled or</t>
  </si>
  <si>
    <t>At what level are your English skills?</t>
  </si>
  <si>
    <t>Proficient</t>
  </si>
  <si>
    <t>By pressing continue, you will declare that you read and agree to Arista Networks's</t>
  </si>
  <si>
    <t>City</t>
  </si>
  <si>
    <t>College/University</t>
  </si>
  <si>
    <t>Consent to Data Collection.</t>
  </si>
  <si>
    <t>Current salary</t>
  </si>
  <si>
    <t>N/A</t>
  </si>
  <si>
    <t>Date Available</t>
  </si>
  <si>
    <t>2 Weeks</t>
  </si>
  <si>
    <t>Date of Birth</t>
  </si>
  <si>
    <t>Desired Pay</t>
  </si>
  <si>
    <t>Above $60,000</t>
  </si>
  <si>
    <t>Do you consider yourself to have a disability, impairment or long-term condition?</t>
  </si>
  <si>
    <t>Do you have a background in Computer Science or IT?</t>
  </si>
  <si>
    <t>Do you have a current Drivers licence and your own transport?</t>
  </si>
  <si>
    <t>Do you have appropriate working/visa rights to work in Australia?</t>
  </si>
  <si>
    <t>Do you have experience working in a technical support role?</t>
  </si>
  <si>
    <t>Do you have the following licence or certification: drivers?</t>
  </si>
  <si>
    <t>Do you have the right to work in Australia?</t>
  </si>
  <si>
    <t>Yes - Permanently with no restrictions</t>
  </si>
  <si>
    <t>Do you have working rights in the country related to this role?</t>
  </si>
  <si>
    <t>Do you have working rights in thery related to this role?</t>
  </si>
  <si>
    <t>Do you speak english?</t>
  </si>
  <si>
    <t>Employment Status</t>
  </si>
  <si>
    <t>Available</t>
  </si>
  <si>
    <t>Gender</t>
  </si>
  <si>
    <t>Other</t>
  </si>
  <si>
    <t>Gender, Race and Ethnicity [(definitions)](https://smartrecruiters.com/oneclick-ui/resources/html/eeoGeneral?lang=en)&lt;br&gt;&lt;br&gt;Gender</t>
  </si>
  <si>
    <t>Have you ever been *employed* by Square, Inc. or any of its subsidiaries or affiliates (whether in the U.S. or internationally)?</t>
  </si>
  <si>
    <t>Have you ever been known by another name?</t>
  </si>
  <si>
    <t>Have you ever provided any *contract work* for Square, Inc. or any of its subsidiaries or affiliates (whether in the U.S. or internationally)?</t>
  </si>
  <si>
    <t>Highest Education Obtained</t>
  </si>
  <si>
    <t>Degree</t>
  </si>
  <si>
    <t>Highest School Level Completed</t>
  </si>
  <si>
    <t>Home Address</t>
  </si>
  <si>
    <t>How did you learn about this job?</t>
  </si>
  <si>
    <t>INDEED</t>
  </si>
  <si>
    <t>How is your previous experience relevant and what makes you a good fit for this role? Please describe in 1 to 2 sentences.</t>
  </si>
  <si>
    <t>How many years full time working experience do you have?</t>
  </si>
  <si>
    <t>How many years of AWS experience do you have?</t>
  </si>
  <si>
    <t>How many years of business analysis experience do you have?</t>
  </si>
  <si>
    <t>How many years of civil engineering experience do you have?</t>
  </si>
  <si>
    <t>More than 5 Years</t>
  </si>
  <si>
    <t>How many years of Civil or Geotechnical engineering experience do you have?</t>
  </si>
  <si>
    <t>How many years of confectionery plant design experience do you have?</t>
  </si>
  <si>
    <t>How many years of HVAC experience do you have?</t>
  </si>
  <si>
    <t>How many years of industry experience do you have?</t>
  </si>
  <si>
    <t>How many years of Infrastructure experience do you have?</t>
  </si>
  <si>
    <t>How many years of large utility construction or telecommunications projects experience do you have?</t>
  </si>
  <si>
    <t>How many years of Linux experience do you have?</t>
  </si>
  <si>
    <t>How many years of maintenance of confectionery Machines experience do you have?</t>
  </si>
  <si>
    <t>How many years of managing a team / project do you have?</t>
  </si>
  <si>
    <t>How many years of Senior Network &amp; Infrastructure Engineer experience do you have?</t>
  </si>
  <si>
    <t>How many years of Technical Support experience do you have?</t>
  </si>
  <si>
    <t>How many years of working in renewable energy and solar experience do you have?</t>
  </si>
  <si>
    <t>How much notice are you required to give your current employer?</t>
  </si>
  <si>
    <t>2 weeks</t>
  </si>
  <si>
    <t>If not applying in the area the job is advertised, are you willing to relocate?</t>
  </si>
  <si>
    <t>If required, are you willing to complete a pre-employment medical check?</t>
  </si>
  <si>
    <t>If successful, when would you be able to start work?</t>
  </si>
  <si>
    <t>If yes, please indicate the area/s below</t>
  </si>
  <si>
    <t>If yes, what name?</t>
  </si>
  <si>
    <t>If you answered "Yes" to the question above, please enter your dates of contract engagement or work through agency.</t>
  </si>
  <si>
    <t>If you answered "Yes" to the question above, please enter your dates of employment.</t>
  </si>
  <si>
    <t>If you answered MongoDB Employee, MongoDB Event, or Other, please specify here:</t>
  </si>
  <si>
    <t>In 1-3 sentences, tell us why you're leaving/ did you leave your current/ last role?</t>
  </si>
  <si>
    <t>In 100 words or less, tell us why you're the best candidate for this role.</t>
  </si>
  <si>
    <t>Indigenous Status</t>
  </si>
  <si>
    <t>Neither</t>
  </si>
  <si>
    <t>LinkedIn URL</t>
  </si>
  <si>
    <t>Medical device background</t>
  </si>
  <si>
    <t>Mobile phone number</t>
  </si>
  <si>
    <t>Note: Failure to complete these additional questions may mean your application is not reviewed.</t>
  </si>
  <si>
    <t>Option to write in preferred pronoun (if needed)</t>
  </si>
  <si>
    <t>Other Details</t>
  </si>
  <si>
    <t>Please detail any skills or experience relevant to this role</t>
  </si>
  <si>
    <t>Please indicate whether you are a citizen of any of the following countries: Cuba, Iran, North Korea, Sudan, Syria in order to help Arista determine whether it may need to obtain an export license before it can disclose controlled technology to you. Tota</t>
  </si>
  <si>
    <t>Please indicate whether you are a citizen of any of the followingries: Cuba, Iran, North Korea, Sudan, Syria in order to help Arista determine whether it may need to obtain an export license before it can disclose controlled technology to you. Coun</t>
  </si>
  <si>
    <t>Please list the last 3 Companies and Roles you had in the format [Company]/[Role]</t>
  </si>
  <si>
    <t>Please sign by typing your Full Legal First, Middle Initial, and Last Name</t>
  </si>
  <si>
    <t>Please state your working rights / citizenships / PR status</t>
  </si>
  <si>
    <t>Australian Citizen</t>
  </si>
  <si>
    <t>Postcode</t>
  </si>
  <si>
    <t>Preferred Contact Method</t>
  </si>
  <si>
    <t>Mobile</t>
  </si>
  <si>
    <t>Preferred location</t>
  </si>
  <si>
    <t>Home</t>
  </si>
  <si>
    <t>Preferred pronoun (to be shared with the recruiter, hiring manager, and/or interviewers)</t>
  </si>
  <si>
    <t>Prior Education</t>
  </si>
  <si>
    <t>Bachelors</t>
  </si>
  <si>
    <t>Race/Ethnicity</t>
  </si>
  <si>
    <t>State</t>
  </si>
  <si>
    <t>Street Address</t>
  </si>
  <si>
    <t>Suburb</t>
  </si>
  <si>
    <t>Telephone Number</t>
  </si>
  <si>
    <t>The employer has stated: This is a job for the Commonwealth of Australia or one of its departments or agencies which is required by law to only be open to citizens of Australia. Are you a citizen of Australia?</t>
  </si>
  <si>
    <t>Twitter Username</t>
  </si>
  <si>
    <t>Website, Blog or Portfolio</t>
  </si>
  <si>
    <t>What are your salary expectations?</t>
  </si>
  <si>
    <t>Open</t>
  </si>
  <si>
    <t>What attracted you to this position?</t>
  </si>
  <si>
    <t>What engineering qualification?</t>
  </si>
  <si>
    <t>What formal chemical engineering/science related qualifications do you have relevant to this role?</t>
  </si>
  <si>
    <t>What is the highest level of education you have completed?</t>
  </si>
  <si>
    <t>What is your current notice period?</t>
  </si>
  <si>
    <t>What is your expected base salary (including Superannuation)</t>
  </si>
  <si>
    <t>50,000 - 60,000</t>
  </si>
  <si>
    <t>What is your notice period for your current position?</t>
  </si>
  <si>
    <t>What is your salary expectation?</t>
  </si>
  <si>
    <t>What is your salary expectation? (EUR)</t>
  </si>
  <si>
    <t>Any</t>
  </si>
  <si>
    <t>What kind of work permit do you have?</t>
  </si>
  <si>
    <t>What type of employment are you interested in?</t>
  </si>
  <si>
    <t>Full time</t>
  </si>
  <si>
    <t>What was your last base salary excluding super?</t>
  </si>
  <si>
    <t>What's your highest level of education?</t>
  </si>
  <si>
    <t>Bachelor Degree (Honours)</t>
  </si>
  <si>
    <t>Which of the following describes your work eligibility in Australia?</t>
  </si>
  <si>
    <t>Permitted to work permanently with no restriction on hours (e.g. citizen, permanent resident)</t>
  </si>
  <si>
    <t>Why do you want to work at Square?</t>
  </si>
  <si>
    <t>Will you now or in the future require sponsorship for work authorization? (This information will not be used in assessing your qualifications for any position.)</t>
  </si>
  <si>
    <t>Worked in regulated environment?</t>
  </si>
  <si>
    <t>your gender</t>
  </si>
  <si>
    <t>Zipcode</t>
  </si>
  <si>
    <t>Location</t>
  </si>
  <si>
    <t>All Words</t>
  </si>
  <si>
    <t>Job Title</t>
  </si>
  <si>
    <t>Advertiser</t>
  </si>
  <si>
    <t>Timestamp</t>
  </si>
  <si>
    <t>Client</t>
  </si>
  <si>
    <t>Design Engineer</t>
  </si>
  <si>
    <t>KETCOM PTY LTD</t>
  </si>
  <si>
    <t>Aamirkhan SIPAIPATHAN</t>
  </si>
  <si>
    <t>Mechanical Engineer</t>
  </si>
  <si>
    <t>Royal Australian Navy</t>
  </si>
  <si>
    <t>Infrastructure Engineer</t>
  </si>
  <si>
    <t>AC3</t>
  </si>
  <si>
    <t>Cloud</t>
  </si>
  <si>
    <t>INGRITY PTY LTD</t>
  </si>
  <si>
    <t>Temitope Akindele</t>
  </si>
  <si>
    <t>Fuse Technology Pty Ltd</t>
  </si>
  <si>
    <t>FourQuarters</t>
  </si>
  <si>
    <t>Superior People Recruitment</t>
  </si>
  <si>
    <t>Mission Critical Recruitment</t>
  </si>
  <si>
    <t>Project Engineer</t>
  </si>
  <si>
    <t>CGC Recruitment</t>
  </si>
  <si>
    <t>Atom Resources Pty Ltd</t>
  </si>
  <si>
    <t>JC Ventilation &amp; Engineering P/L</t>
  </si>
  <si>
    <t>Stream Consulting Group</t>
  </si>
  <si>
    <t>Mirabend</t>
  </si>
  <si>
    <t>Design &amp; Build Recruitment</t>
  </si>
  <si>
    <t>Amida Recruitment Limited</t>
  </si>
  <si>
    <t>Tandem Corp</t>
  </si>
  <si>
    <t>Public Sector People</t>
  </si>
  <si>
    <t>Development Engineer</t>
  </si>
  <si>
    <t>MCS Consulting</t>
  </si>
  <si>
    <t>Ivory Group</t>
  </si>
  <si>
    <t>White Bay Search</t>
  </si>
  <si>
    <t>Maintenance Engineer</t>
  </si>
  <si>
    <t>Coulson Aviation (PTY)</t>
  </si>
  <si>
    <t>Production Engineer</t>
  </si>
  <si>
    <t>KaRaTec Power Supplies Pty Ltd</t>
  </si>
  <si>
    <t>Foundation Recruitment</t>
  </si>
  <si>
    <t>Antoun Civil</t>
  </si>
  <si>
    <t>Civil Construction Company</t>
  </si>
  <si>
    <t>Triton Search and Select</t>
  </si>
  <si>
    <t>Brefni</t>
  </si>
  <si>
    <t>Construct Consulting</t>
  </si>
  <si>
    <t>Constructability Recruitment</t>
  </si>
  <si>
    <t>ConsultANZ</t>
  </si>
  <si>
    <t>Reliability Engineer</t>
  </si>
  <si>
    <t>Cash App</t>
  </si>
  <si>
    <t>Sirius People</t>
  </si>
  <si>
    <t>Datacom</t>
  </si>
  <si>
    <t>Squiz</t>
  </si>
  <si>
    <t>Aurec</t>
  </si>
  <si>
    <t>Talentpool Recruitment</t>
  </si>
  <si>
    <t>Services Engineer</t>
  </si>
  <si>
    <t>Now Careers</t>
  </si>
  <si>
    <t>Tufin</t>
  </si>
  <si>
    <t>Swell Talent Services</t>
  </si>
  <si>
    <t>Site Engineer</t>
  </si>
  <si>
    <t>ACRWORLD</t>
  </si>
  <si>
    <t>Kenny Constructions</t>
  </si>
  <si>
    <t>Austcorp Executive</t>
  </si>
  <si>
    <t>Asset Engineer</t>
  </si>
  <si>
    <t>Kordia</t>
  </si>
  <si>
    <t>Talent Web</t>
  </si>
  <si>
    <t>Industrial Engineer</t>
  </si>
  <si>
    <t>Insider AU Pty Ltd</t>
  </si>
  <si>
    <t>Easy Payroll Global</t>
  </si>
  <si>
    <t>Process Engineer</t>
  </si>
  <si>
    <t>JIMMY LEA PTY LTD</t>
  </si>
  <si>
    <t>Terranova International – trading as Salvador Coffee Rosters</t>
  </si>
  <si>
    <t>Jindex Pty Ltd</t>
  </si>
  <si>
    <t>Fusion People Sydney</t>
  </si>
  <si>
    <t>Finite Group APAC Pty Ltd</t>
  </si>
  <si>
    <t>Dasco Australia</t>
  </si>
  <si>
    <t>Kona and Co</t>
  </si>
  <si>
    <t>Breville</t>
  </si>
  <si>
    <t>Denovo Recruitment</t>
  </si>
  <si>
    <t>Icombined360</t>
  </si>
  <si>
    <t>AEG Maintenance Pty Ltd.</t>
  </si>
  <si>
    <t>Electronic Engineer</t>
  </si>
  <si>
    <t>Blackbook.ai</t>
  </si>
  <si>
    <t>Abdul Hannan</t>
  </si>
  <si>
    <t>Insightus</t>
  </si>
  <si>
    <t>Muller Martini Aust</t>
  </si>
  <si>
    <t>Laserdyne Technologies</t>
  </si>
  <si>
    <t>Zoomo</t>
  </si>
  <si>
    <t>Colussi Engineering Pty Ltd</t>
  </si>
  <si>
    <t>Automation Engineer</t>
  </si>
  <si>
    <t>Edison Talent</t>
  </si>
  <si>
    <t>D Tech Engineering Pty Ltd</t>
  </si>
  <si>
    <t>Automation Test</t>
  </si>
  <si>
    <t>Ampion</t>
  </si>
  <si>
    <t>GRIT Talent Consulting</t>
  </si>
  <si>
    <t>Control Engineer</t>
  </si>
  <si>
    <t>Connexus Recruitment</t>
  </si>
  <si>
    <t>GEE project consulting</t>
  </si>
  <si>
    <t>Barclay Recruitment</t>
  </si>
  <si>
    <t>Aptus Personnel AUS</t>
  </si>
  <si>
    <t>Eight Recruitment</t>
  </si>
  <si>
    <t>Electrical Engineer</t>
  </si>
  <si>
    <t>JP Smith</t>
  </si>
  <si>
    <t>ECi Executive</t>
  </si>
  <si>
    <t>Dash Group</t>
  </si>
  <si>
    <t>Fenner Dunlop</t>
  </si>
  <si>
    <t>Framework Search &amp; Select Pty Ltd</t>
  </si>
  <si>
    <t>Connect Personnel</t>
  </si>
  <si>
    <t>Tonic Recruitment</t>
  </si>
  <si>
    <t>Attribute Consulting</t>
  </si>
  <si>
    <t>Talent Blueprint</t>
  </si>
  <si>
    <t>Resourceful Recruitment</t>
  </si>
  <si>
    <t>Acquire Talent Consulting</t>
  </si>
  <si>
    <t>SSA Recruitment</t>
  </si>
  <si>
    <t>Green Light Contractors Pty Ltd</t>
  </si>
  <si>
    <t>Engineering Networks Pty Ltd</t>
  </si>
  <si>
    <t>IEPro Recruitment</t>
  </si>
  <si>
    <t>Halcyon Knights - LogicMelon</t>
  </si>
  <si>
    <t>Talenza</t>
  </si>
  <si>
    <t>Cisco Meraki</t>
  </si>
  <si>
    <t>Preacta Recruitment</t>
  </si>
  <si>
    <t>Harvey Nash</t>
  </si>
  <si>
    <t>MMD Australia Pty Ltd</t>
  </si>
  <si>
    <t>Formbay</t>
  </si>
  <si>
    <t>juwi Energie Rinnovabili</t>
  </si>
  <si>
    <t>Built Holdings Pty Ltd</t>
  </si>
  <si>
    <t>Gemco Recruitment Pty Ltd</t>
  </si>
  <si>
    <t>ECi Engineering</t>
  </si>
  <si>
    <t>Coleman Recruitment Australia</t>
  </si>
  <si>
    <t>David The Company Pty Ltd</t>
  </si>
  <si>
    <t>Mining Engineer</t>
  </si>
  <si>
    <t>Stellar Recruitment</t>
  </si>
  <si>
    <t>Civil Services GROUP</t>
  </si>
  <si>
    <t>Contec Recruitment Pty Ltd</t>
  </si>
  <si>
    <t>Tognetti Consulting</t>
  </si>
  <si>
    <t>Ledonne Constructions Pty Ltd</t>
  </si>
  <si>
    <t>ATLAS RECRUITMENT</t>
  </si>
  <si>
    <t>Hanley Energy, Ltd</t>
  </si>
  <si>
    <t>Quickway Constructions Pty Ltd</t>
  </si>
  <si>
    <t>Bellwether Contractors</t>
  </si>
  <si>
    <t>Phillip Riley</t>
  </si>
  <si>
    <t>Construct Recruit</t>
  </si>
  <si>
    <t>Andrei Osawe</t>
  </si>
  <si>
    <t>TRICENTIS</t>
  </si>
  <si>
    <t>Career Building</t>
  </si>
  <si>
    <t>AJK Holdings Pty Ltd</t>
  </si>
  <si>
    <t>BSI People</t>
  </si>
  <si>
    <t>Engineer</t>
  </si>
  <si>
    <t>A&amp;Y Associates</t>
  </si>
  <si>
    <t>Found People</t>
  </si>
  <si>
    <t>CBD Contractors</t>
  </si>
  <si>
    <t>Peter Jacob Recruitment</t>
  </si>
  <si>
    <t>Daracon Group</t>
  </si>
  <si>
    <t>Building Partners Recruitment Pty Ltd</t>
  </si>
  <si>
    <t>The Civil People</t>
  </si>
  <si>
    <t>Tropikool airconditioning</t>
  </si>
  <si>
    <t>Hunter Recruitment Group</t>
  </si>
  <si>
    <t>Frontline Construction</t>
  </si>
  <si>
    <t>Cranfield Group</t>
  </si>
  <si>
    <t>Hayes Spraying</t>
  </si>
  <si>
    <t>S&amp;You</t>
  </si>
  <si>
    <t>TECHGONG AUSTRALIA</t>
  </si>
  <si>
    <t>Bluefin Resources</t>
  </si>
  <si>
    <t>Australia Wide Engineering Recruitment</t>
  </si>
  <si>
    <t>The Argyle Network</t>
  </si>
  <si>
    <t>Lloyd Group</t>
  </si>
  <si>
    <t>Naviro Pty Ltd</t>
  </si>
  <si>
    <t>Clarrow</t>
  </si>
  <si>
    <t>Buildability Group</t>
  </si>
  <si>
    <t>Monica Clare Recruitment</t>
  </si>
  <si>
    <t>HKA</t>
  </si>
  <si>
    <t>Oztech Intelligent Systems</t>
  </si>
  <si>
    <t>Wyn&amp;Co</t>
  </si>
  <si>
    <t>Kappa Executive Search</t>
  </si>
  <si>
    <t>ASR Recruitment</t>
  </si>
  <si>
    <t>Blackbook Executive</t>
  </si>
  <si>
    <t>ArcTree</t>
  </si>
  <si>
    <t>ALRA</t>
  </si>
  <si>
    <t>Project Mechanical</t>
  </si>
  <si>
    <t>The Network IT</t>
  </si>
  <si>
    <t>CircuIT Recruitment Group</t>
  </si>
  <si>
    <t>Saul Recruitment</t>
  </si>
  <si>
    <t>MongoDB</t>
  </si>
  <si>
    <t>Nuix</t>
  </si>
  <si>
    <t>Drager</t>
  </si>
  <si>
    <t>CSA Recruitment Pty Ltd</t>
  </si>
  <si>
    <t>Your IT Desk Pty Ltd</t>
  </si>
  <si>
    <t>Decipher Bureau</t>
  </si>
  <si>
    <t>Lucan Group</t>
  </si>
  <si>
    <t>Hawksworth</t>
  </si>
  <si>
    <t>Design &amp; Build</t>
  </si>
  <si>
    <t>DARACON ENGINEERING PTY LTD</t>
  </si>
  <si>
    <t>Welink Recruitment</t>
  </si>
  <si>
    <t>Product Engineer</t>
  </si>
  <si>
    <t>Hyre Pty Ltd</t>
  </si>
  <si>
    <t>TheDriveGroup</t>
  </si>
  <si>
    <t>Aidacare Pty Ltd</t>
  </si>
  <si>
    <t>Brisbane</t>
  </si>
  <si>
    <t>Core Talent</t>
  </si>
  <si>
    <t>SNC-Lavalin</t>
  </si>
  <si>
    <t>Cundall</t>
  </si>
  <si>
    <t>Baraja</t>
  </si>
  <si>
    <t>Aurecon Group</t>
  </si>
  <si>
    <t>Slalom Consulting</t>
  </si>
  <si>
    <t>Google</t>
  </si>
  <si>
    <t>Stockland</t>
  </si>
  <si>
    <t>Fujitsu</t>
  </si>
  <si>
    <t>SoftwareONE</t>
  </si>
  <si>
    <t>Hewlett Packard Enterprise</t>
  </si>
  <si>
    <t>Microsoft</t>
  </si>
  <si>
    <t>FINEOS Corporation</t>
  </si>
  <si>
    <t>Nutanix</t>
  </si>
  <si>
    <t>Optus</t>
  </si>
  <si>
    <t>Deloitte</t>
  </si>
  <si>
    <t>DELUXE CORPORATION</t>
  </si>
  <si>
    <t>AWS Australia Pty Ltd</t>
  </si>
  <si>
    <t>Acronis</t>
  </si>
  <si>
    <t>Sitecore</t>
  </si>
  <si>
    <t>Infosys Limited</t>
  </si>
  <si>
    <t>SAS Institute Inc</t>
  </si>
  <si>
    <t>Compass Group Australia</t>
  </si>
  <si>
    <t>Macquarie Group Limited</t>
  </si>
  <si>
    <t>ED - Group Support Functions</t>
  </si>
  <si>
    <t>Westpac Group</t>
  </si>
  <si>
    <t>Publicis Sapient</t>
  </si>
  <si>
    <t>Fortune Select</t>
  </si>
  <si>
    <t>Atlassian</t>
  </si>
  <si>
    <t>Salesforce</t>
  </si>
  <si>
    <t>Guidewire Software, Inc.</t>
  </si>
  <si>
    <t>Canva</t>
  </si>
  <si>
    <t>IBM</t>
  </si>
  <si>
    <t>KPMG</t>
  </si>
  <si>
    <t>OVH</t>
  </si>
  <si>
    <t>OVHcloud</t>
  </si>
  <si>
    <t>Splunk</t>
  </si>
  <si>
    <t>Uniting</t>
  </si>
  <si>
    <t>Jefferson Frank</t>
  </si>
  <si>
    <t>HAYS</t>
  </si>
  <si>
    <t>Strive UK</t>
  </si>
  <si>
    <t>Capgemini Australia</t>
  </si>
  <si>
    <t>Accenture</t>
  </si>
  <si>
    <t>NRMA Motoring &amp; Services</t>
  </si>
  <si>
    <t>Mazars</t>
  </si>
  <si>
    <t>TabCorp Holdings</t>
  </si>
  <si>
    <t>Ellucian</t>
  </si>
  <si>
    <t>Proofpoint</t>
  </si>
  <si>
    <t>Sage Global Services Ltd.</t>
  </si>
  <si>
    <t>Dialog Information Technology</t>
  </si>
  <si>
    <t>Adroitent</t>
  </si>
  <si>
    <t>opentext</t>
  </si>
  <si>
    <t>SailPoint</t>
  </si>
  <si>
    <t>Skillfinder International</t>
  </si>
  <si>
    <t>PwC</t>
  </si>
  <si>
    <t>Servian</t>
  </si>
  <si>
    <t>Niche 212</t>
  </si>
  <si>
    <t>Adaps</t>
  </si>
  <si>
    <t>VMware</t>
  </si>
  <si>
    <t>KAPiTAL Consulting</t>
  </si>
  <si>
    <t>Axiom Technologies</t>
  </si>
  <si>
    <t>Versent</t>
  </si>
  <si>
    <t>RHL</t>
  </si>
  <si>
    <t>Rolls-Royce</t>
  </si>
  <si>
    <t>Squad</t>
  </si>
  <si>
    <t>Aristocrat Technologies</t>
  </si>
  <si>
    <t>Thales Group</t>
  </si>
  <si>
    <t>Michael Page</t>
  </si>
  <si>
    <t>Penrith City Council</t>
  </si>
  <si>
    <t>Arcadis</t>
  </si>
  <si>
    <t>Calibre Group</t>
  </si>
  <si>
    <t>Amazon Corporate Services Pty</t>
  </si>
  <si>
    <t>Rode Microphones</t>
  </si>
  <si>
    <t>Imagination Technologies</t>
  </si>
  <si>
    <t>Hitachi Rail STS</t>
  </si>
  <si>
    <t>Woolworths Group</t>
  </si>
  <si>
    <t>Healthcare Professionals Group</t>
  </si>
  <si>
    <t>Amazon Support Services PtyLtd</t>
  </si>
  <si>
    <t>InterSystems</t>
  </si>
  <si>
    <t>PC Recruitment</t>
  </si>
  <si>
    <t>Peoplebank</t>
  </si>
  <si>
    <t>Corporate Travel Management</t>
  </si>
  <si>
    <t>u&amp;u Recruitment Partners</t>
  </si>
  <si>
    <t>Ethos BeathChapman</t>
  </si>
  <si>
    <t>IT Alliance Australia</t>
  </si>
  <si>
    <t>Campbelltown City Council NSW</t>
  </si>
  <si>
    <t>Tyro</t>
  </si>
  <si>
    <t>GAIN Capital</t>
  </si>
  <si>
    <t>Nielsen</t>
  </si>
  <si>
    <t>Airbus Group Australia Pacific</t>
  </si>
  <si>
    <t>Manufacturing Engineer</t>
  </si>
  <si>
    <t>CSR Group</t>
  </si>
  <si>
    <t>Bayer AG</t>
  </si>
  <si>
    <t>Industrial Light &amp; Magic</t>
  </si>
  <si>
    <t>Project Controls Engineer</t>
  </si>
  <si>
    <t>WSP Australia</t>
  </si>
  <si>
    <t>UGL Limited</t>
  </si>
  <si>
    <t>Service Stream</t>
  </si>
  <si>
    <t>Diona</t>
  </si>
  <si>
    <t>Stryker</t>
  </si>
  <si>
    <t>Zoom Recruitment &amp; Training</t>
  </si>
  <si>
    <t>Honeywell</t>
  </si>
  <si>
    <t>West Region Delivery Team</t>
  </si>
  <si>
    <t>SLD</t>
  </si>
  <si>
    <t>Downer Group</t>
  </si>
  <si>
    <t>John Holland</t>
  </si>
  <si>
    <t>Stryker Corporation</t>
  </si>
  <si>
    <t>Liberty Industrial</t>
  </si>
  <si>
    <t>Haslin Constructions</t>
  </si>
  <si>
    <t>Lendlease</t>
  </si>
  <si>
    <t>Zenith Executive Search</t>
  </si>
  <si>
    <t>Rhomberg Sersa Rail Group</t>
  </si>
  <si>
    <t>Broadspectrum</t>
  </si>
  <si>
    <t>NES FIRCROFT</t>
  </si>
  <si>
    <t>Colliers International</t>
  </si>
  <si>
    <t>ABB</t>
  </si>
  <si>
    <t>Appetency Recruitment Services</t>
  </si>
  <si>
    <t>Polyglot Group</t>
  </si>
  <si>
    <t>Antoun</t>
  </si>
  <si>
    <t>Zenith Search</t>
  </si>
  <si>
    <t>PERSOLKELLY</t>
  </si>
  <si>
    <t>New Venture Recruitment</t>
  </si>
  <si>
    <t>Randstad</t>
  </si>
  <si>
    <t>Redpath Partners</t>
  </si>
  <si>
    <t>Goldman Sachs</t>
  </si>
  <si>
    <t>Firesoft People</t>
  </si>
  <si>
    <t>ServiceNow</t>
  </si>
  <si>
    <t>Zip</t>
  </si>
  <si>
    <t>CrowdStrike</t>
  </si>
  <si>
    <t>Dimensional Fund Advisors</t>
  </si>
  <si>
    <t>Salt Recruitment</t>
  </si>
  <si>
    <t>Circuit Recruitment</t>
  </si>
  <si>
    <t>BG Recruitment</t>
  </si>
  <si>
    <t>Audinate Pty Ltd</t>
  </si>
  <si>
    <t>Snap Talent International</t>
  </si>
  <si>
    <t>Fiserv, Inc.</t>
  </si>
  <si>
    <t>Service NSW</t>
  </si>
  <si>
    <t>Talent International</t>
  </si>
  <si>
    <t>Fluke</t>
  </si>
  <si>
    <t>The Recruitment Company</t>
  </si>
  <si>
    <t>Lion Pty Ltd</t>
  </si>
  <si>
    <t>The Hills Shire Council</t>
  </si>
  <si>
    <t>ResMed</t>
  </si>
  <si>
    <t>International Recruitment Group - IRG ltd</t>
  </si>
  <si>
    <t>Beca</t>
  </si>
  <si>
    <t>Tesla</t>
  </si>
  <si>
    <t>RobLawMax Recruitment</t>
  </si>
  <si>
    <t>Utilities Engineer</t>
  </si>
  <si>
    <t>Chandler Macleod</t>
  </si>
  <si>
    <t>Careers at Council</t>
  </si>
  <si>
    <t>Agribusiness</t>
  </si>
  <si>
    <t>DA Hall &amp; Co.</t>
  </si>
  <si>
    <t>Dapo Olukomaiya</t>
  </si>
  <si>
    <t>Agronomist</t>
  </si>
  <si>
    <t>Rimfire Resources</t>
  </si>
  <si>
    <t>BG&amp;E Resources</t>
  </si>
  <si>
    <t>Dash Construction Recruitment</t>
  </si>
  <si>
    <t>South32</t>
  </si>
  <si>
    <t>Australian Antarctic Division</t>
  </si>
  <si>
    <t>GFG Alliance</t>
  </si>
  <si>
    <t>Evolution Mining</t>
  </si>
  <si>
    <t>Automation and Controls</t>
  </si>
  <si>
    <t>AKD Softwoods</t>
  </si>
  <si>
    <t>Automation Application</t>
  </si>
  <si>
    <t>Mater Health</t>
  </si>
  <si>
    <t>Weir Minerals Australia</t>
  </si>
  <si>
    <t>Davidson Recruitment</t>
  </si>
  <si>
    <t>Workday</t>
  </si>
  <si>
    <t>Megaport</t>
  </si>
  <si>
    <t>Auto &amp; General Insurance</t>
  </si>
  <si>
    <t>Boeing RIV Site</t>
  </si>
  <si>
    <t>AECOM</t>
  </si>
  <si>
    <t>Monadelphous</t>
  </si>
  <si>
    <t>RACQ</t>
  </si>
  <si>
    <t>Clarence Valley Council</t>
  </si>
  <si>
    <t>Deswik</t>
  </si>
  <si>
    <t>Komatsu</t>
  </si>
  <si>
    <t>BOEING</t>
  </si>
  <si>
    <t>AccessHQ</t>
  </si>
  <si>
    <t>ICI Industries</t>
  </si>
  <si>
    <t>Linfox</t>
  </si>
  <si>
    <t>Clicks IT Recruitment</t>
  </si>
  <si>
    <t>Sedgman Limited</t>
  </si>
  <si>
    <t>Axiom Project Services</t>
  </si>
  <si>
    <t>Hatch</t>
  </si>
  <si>
    <t>Titan Recruitment</t>
  </si>
  <si>
    <t>PSA Engineering</t>
  </si>
  <si>
    <t>Navartis Limited</t>
  </si>
  <si>
    <t>Local Government Appointments</t>
  </si>
  <si>
    <t>Broad Construction</t>
  </si>
  <si>
    <t>Bradken</t>
  </si>
  <si>
    <t>Hamilton Island Enterprises</t>
  </si>
  <si>
    <t>Alchemy Recruitment Consulting</t>
  </si>
  <si>
    <t>Mott MacDonald</t>
  </si>
  <si>
    <t>Cardno</t>
  </si>
  <si>
    <t>Clough</t>
  </si>
  <si>
    <t>Freyssinet</t>
  </si>
  <si>
    <t>GHD</t>
  </si>
  <si>
    <t>Ampcontrol</t>
  </si>
  <si>
    <t>Worley</t>
  </si>
  <si>
    <t>Tassal</t>
  </si>
  <si>
    <t>ADW Johnson</t>
  </si>
  <si>
    <t>De Beers Group of Companies</t>
  </si>
  <si>
    <t>Ricerca Executive</t>
  </si>
  <si>
    <t>Thermo Fisher Scientific</t>
  </si>
  <si>
    <t>MBC Recruitment</t>
  </si>
  <si>
    <t>Veolia Environmental Services</t>
  </si>
  <si>
    <t>Golding Contractors</t>
  </si>
  <si>
    <t>Expedia.com</t>
  </si>
  <si>
    <t>Georgiou</t>
  </si>
  <si>
    <t>SEE Civil</t>
  </si>
  <si>
    <t>Wagners</t>
  </si>
  <si>
    <t>Duratec Australia</t>
  </si>
  <si>
    <t>Ergon Energy</t>
  </si>
  <si>
    <t>CP Personnel</t>
  </si>
  <si>
    <t>Departer Deutschland GmbH</t>
  </si>
  <si>
    <t>CPB Contractors</t>
  </si>
  <si>
    <t>Vassallo Constructions</t>
  </si>
  <si>
    <t>Canon</t>
  </si>
  <si>
    <t>Fulton Hogan</t>
  </si>
  <si>
    <t>Energex</t>
  </si>
  <si>
    <t>Murphy Pipe &amp; Civil</t>
  </si>
  <si>
    <t>Moreton Bay Regional Council</t>
  </si>
  <si>
    <t>Concentis</t>
  </si>
  <si>
    <t>Volvo Group</t>
  </si>
  <si>
    <t>McConnell Dowell</t>
  </si>
  <si>
    <t>Vesuvian</t>
  </si>
  <si>
    <t>PCL Construction</t>
  </si>
  <si>
    <t>Simplot</t>
  </si>
  <si>
    <t>Foxtel</t>
  </si>
  <si>
    <t>Qantas Airways Limited</t>
  </si>
  <si>
    <t>Hawker Pacific</t>
  </si>
  <si>
    <t>RPMGlobal</t>
  </si>
  <si>
    <t>Synaco Global Recruitment</t>
  </si>
  <si>
    <t>MMG Limited</t>
  </si>
  <si>
    <t>Whitehaven Coal</t>
  </si>
  <si>
    <t>Pipeline Engineer</t>
  </si>
  <si>
    <t>Slatevfx</t>
  </si>
  <si>
    <t>Cochlear Ltd</t>
  </si>
  <si>
    <t>Shoalhaven City Council</t>
  </si>
  <si>
    <t>Contec Recruitment</t>
  </si>
  <si>
    <t>Purina</t>
  </si>
  <si>
    <t>Competentia</t>
  </si>
  <si>
    <t>Public Works Advisory &amp; Regional Dev</t>
  </si>
  <si>
    <t>Cloud Specialists</t>
  </si>
  <si>
    <t>Constructive.net</t>
  </si>
  <si>
    <t>Zinfra</t>
  </si>
  <si>
    <t>Kinexus Australia</t>
  </si>
  <si>
    <t>Herrth</t>
  </si>
  <si>
    <t>ClearPoint NZ</t>
  </si>
  <si>
    <t>Lifi Labs</t>
  </si>
  <si>
    <t>WordPress.com</t>
  </si>
  <si>
    <t>Culture Amp</t>
  </si>
  <si>
    <t>Bombardier</t>
  </si>
  <si>
    <t>Civil Mining &amp; Construction</t>
  </si>
  <si>
    <t>LSBJV WestConnex</t>
  </si>
  <si>
    <t>Red Hat Software</t>
  </si>
  <si>
    <t>The Trade Desk</t>
  </si>
  <si>
    <t>Aspect Personnel</t>
  </si>
  <si>
    <t>Connected HR</t>
  </si>
  <si>
    <t>CommScope</t>
  </si>
  <si>
    <t>PEX</t>
  </si>
  <si>
    <t>ASG Group</t>
  </si>
  <si>
    <t>Super Retail Group</t>
  </si>
  <si>
    <t>Société Générale</t>
  </si>
  <si>
    <t>Planit Testing</t>
  </si>
  <si>
    <t>Dematic</t>
  </si>
  <si>
    <t>Herrick Recruitment Group</t>
  </si>
  <si>
    <t>Bingo Industries</t>
  </si>
  <si>
    <t>Snowyhydro</t>
  </si>
  <si>
    <t>Halliburton</t>
  </si>
  <si>
    <t>BAE Systems</t>
  </si>
  <si>
    <t>Qualcomm Technologies, Inc.</t>
  </si>
  <si>
    <t>Fairfield City Council</t>
  </si>
  <si>
    <t>Camden Council</t>
  </si>
  <si>
    <t>Smith &amp; Nephew</t>
  </si>
  <si>
    <t>Charterhouse</t>
  </si>
  <si>
    <t>Paxus</t>
  </si>
  <si>
    <t>Robert Half</t>
  </si>
  <si>
    <t>Aryzta</t>
  </si>
  <si>
    <t>Lockheed Martin Australia</t>
  </si>
  <si>
    <t>Fortescue Metals Group</t>
  </si>
  <si>
    <t>Central Highlands Regional Council</t>
  </si>
  <si>
    <t>Sydney Water</t>
  </si>
  <si>
    <t>Roads &amp; Maritime Services</t>
  </si>
  <si>
    <t>Robson Civil Projects</t>
  </si>
  <si>
    <t>Prysmian</t>
  </si>
  <si>
    <t>Programmed</t>
  </si>
  <si>
    <t>MCMAHON SERVICES</t>
  </si>
  <si>
    <t>CSG Talent</t>
  </si>
  <si>
    <t>nbn™</t>
  </si>
  <si>
    <t>Canonical</t>
  </si>
  <si>
    <t>Ping Identity</t>
  </si>
  <si>
    <t>Waters Corporation</t>
  </si>
  <si>
    <t>Beckman Coulter Life Sciences</t>
  </si>
  <si>
    <t>Dolby</t>
  </si>
  <si>
    <t>Compac Group</t>
  </si>
  <si>
    <t>Agilent Technologies, Inc.</t>
  </si>
  <si>
    <t>Central Coast Group Training</t>
  </si>
  <si>
    <t>Nexon Asia Pacific Pty Ltd</t>
  </si>
  <si>
    <t>Abbott Laboratories</t>
  </si>
  <si>
    <t>Lang Deacon Pty Ltd</t>
  </si>
  <si>
    <t>Markem-Imaje</t>
  </si>
  <si>
    <t>NTT Ltd</t>
  </si>
  <si>
    <t>Leica Biosystems</t>
  </si>
  <si>
    <t>Siemens Healthcare Pty. Ltd.</t>
  </si>
  <si>
    <t>Inmarsat</t>
  </si>
  <si>
    <t>Klarna</t>
  </si>
  <si>
    <t>Matrix Process Solutions</t>
  </si>
  <si>
    <t>Oracle</t>
  </si>
  <si>
    <t>NTT</t>
  </si>
  <si>
    <t>Commonwealth Bank</t>
  </si>
  <si>
    <t>Hamilton Barnes</t>
  </si>
  <si>
    <t>About Recruitment</t>
  </si>
  <si>
    <t>Citrix</t>
  </si>
  <si>
    <t>Cisco Systems</t>
  </si>
  <si>
    <t>JPMorgan Chase Bank, N.A.</t>
  </si>
  <si>
    <t>Connect One Recruitment</t>
  </si>
  <si>
    <t>Feedzai</t>
  </si>
  <si>
    <t>Xylem</t>
  </si>
  <si>
    <t>deltatre</t>
  </si>
  <si>
    <t>OSIsoft</t>
  </si>
  <si>
    <t>LogiCamms Limited</t>
  </si>
  <si>
    <t>Enginuity People</t>
  </si>
  <si>
    <t>Control Systems</t>
  </si>
  <si>
    <t>Aurizon</t>
  </si>
  <si>
    <t>Schenck Process</t>
  </si>
  <si>
    <t>Emmanuel Adebowale</t>
  </si>
  <si>
    <t>Harvey Norman</t>
  </si>
  <si>
    <t>Beilby Downing Teal</t>
  </si>
  <si>
    <t>KBR</t>
  </si>
  <si>
    <t>Qenos</t>
  </si>
  <si>
    <t>Bureau Veritas</t>
  </si>
  <si>
    <t>WorkPac Group</t>
  </si>
  <si>
    <t>Signify</t>
  </si>
  <si>
    <t>Arup</t>
  </si>
  <si>
    <t>Vanderlande Industries</t>
  </si>
  <si>
    <t>Eilbeck Cranes</t>
  </si>
  <si>
    <t>Hudson</t>
  </si>
  <si>
    <t>HR GO Recruitment</t>
  </si>
  <si>
    <t>Amida Jobadder</t>
  </si>
  <si>
    <t>NSW Public Service Commission</t>
  </si>
  <si>
    <t>Safety Environment &amp; Regulation</t>
  </si>
  <si>
    <t>Six Degrees Executive</t>
  </si>
  <si>
    <t>Aerotek</t>
  </si>
  <si>
    <t>Vegco</t>
  </si>
  <si>
    <t>Transdev</t>
  </si>
  <si>
    <t>Transdev Australasia</t>
  </si>
  <si>
    <t>Waverly Council</t>
  </si>
  <si>
    <t>Leviat</t>
  </si>
  <si>
    <t>PERI</t>
  </si>
  <si>
    <t>TransGrid</t>
  </si>
  <si>
    <t>Cootamundra-Gundagai Regional Council</t>
  </si>
  <si>
    <t>Ventia Pty Limited</t>
  </si>
  <si>
    <t>Cumberland Council</t>
  </si>
  <si>
    <t>Iplex AU</t>
  </si>
  <si>
    <t>Northrop Consulting Engineers</t>
  </si>
  <si>
    <t>Movandi Corporation</t>
  </si>
  <si>
    <t>Link Group</t>
  </si>
  <si>
    <t>Robert Bird Group</t>
  </si>
  <si>
    <t>IC Resources</t>
  </si>
  <si>
    <t>Verifone</t>
  </si>
  <si>
    <t>Casa Systems Inc</t>
  </si>
  <si>
    <t>Equity Packaging, Inc.</t>
  </si>
  <si>
    <t>MasterCard</t>
  </si>
  <si>
    <t>Amadeus</t>
  </si>
  <si>
    <t>AMP Limited</t>
  </si>
  <si>
    <t>MMC Corporate</t>
  </si>
  <si>
    <t>Aglive</t>
  </si>
  <si>
    <t>ON Semiconductor</t>
  </si>
  <si>
    <t>Aveva</t>
  </si>
  <si>
    <t>Schneider Electric</t>
  </si>
  <si>
    <t>News Corp Australia</t>
  </si>
  <si>
    <t>Opus Recruitment Solutions</t>
  </si>
  <si>
    <t>Kraken Digital Asset Exchange</t>
  </si>
  <si>
    <t>BAE Systems Applied Intelligence</t>
  </si>
  <si>
    <t>CoreLogic</t>
  </si>
  <si>
    <t>Southern Cross University</t>
  </si>
  <si>
    <t>Seven West Media</t>
  </si>
  <si>
    <t>ViaSat</t>
  </si>
  <si>
    <t>Dechra Pharmaceuticals PLC</t>
  </si>
  <si>
    <t>ALSTOM</t>
  </si>
  <si>
    <t>Prysmian Group</t>
  </si>
  <si>
    <t>Hitachi Construction Machinery</t>
  </si>
  <si>
    <t>YanCoal</t>
  </si>
  <si>
    <t>Animal Logic</t>
  </si>
  <si>
    <t>BOC/Elgas</t>
  </si>
  <si>
    <t>Fuse Recruitment</t>
  </si>
  <si>
    <t>DuluxGroup</t>
  </si>
  <si>
    <t>Borg</t>
  </si>
  <si>
    <t>Russell Investments</t>
  </si>
  <si>
    <t>Aptitude Asia</t>
  </si>
  <si>
    <t>Greater Sydney</t>
  </si>
  <si>
    <t>Regional and Outer Metropolitan</t>
  </si>
  <si>
    <t>RWDI</t>
  </si>
  <si>
    <t>Nestlé</t>
  </si>
  <si>
    <t>Veolia</t>
  </si>
  <si>
    <t>Infrastructure &amp; Place</t>
  </si>
  <si>
    <t>Water</t>
  </si>
  <si>
    <t>Kraft Heinz Company</t>
  </si>
  <si>
    <t>Alfa Laval</t>
  </si>
  <si>
    <t>Landis+Gyr</t>
  </si>
  <si>
    <t>Landis Gyr</t>
  </si>
  <si>
    <t>BESIX</t>
  </si>
  <si>
    <t>APP</t>
  </si>
  <si>
    <t>Abergeldie Complex Infrastructure</t>
  </si>
  <si>
    <t>City of Canada Bay</t>
  </si>
  <si>
    <t>Stantec</t>
  </si>
  <si>
    <t>Type</t>
  </si>
  <si>
    <t>Options</t>
  </si>
  <si>
    <t>Trade Sphere Group Pty LTd</t>
  </si>
  <si>
    <t>Do you have the following licence or certification: Australian driver's licence?</t>
  </si>
  <si>
    <t>[Ljava.lang.Object;@3020541d</t>
  </si>
  <si>
    <t>Complete Recruitment Solutions</t>
  </si>
  <si>
    <t>Do you have your a current Drivers licence and your own transport?</t>
  </si>
  <si>
    <t>Arista Networks</t>
  </si>
  <si>
    <t>Are you related to an Arista employee, an employee of a Government Entity* OR any Arista Customer? Includes any elected or appointed official or employee of a government agency, any employee of a commercial entity that is government-controlled or owned, and any employee of a state-owned entity (e.g. public schools and universities, telephone companies, hospitals and healthcare organizations, military, and police)</t>
  </si>
  <si>
    <t>[Ljava.lang.Object;@56498754</t>
  </si>
  <si>
    <t>BigCommerce</t>
  </si>
  <si>
    <t>How did you hear about this job?</t>
  </si>
  <si>
    <t>[Ljava.lang.Object;@e414757</t>
  </si>
  <si>
    <t>Occulus International</t>
  </si>
  <si>
    <t>How many years of team leader experience do you have?</t>
  </si>
  <si>
    <t>Johnathan Thurston Academy</t>
  </si>
  <si>
    <t>Date</t>
  </si>
  <si>
    <t>[Ljava.lang.Object;@6875bcc1</t>
  </si>
  <si>
    <t>LogiCamms</t>
  </si>
  <si>
    <t>Street Address (Residential)</t>
  </si>
  <si>
    <t>[Ljava.lang.Object;@4ca2fdfb</t>
  </si>
  <si>
    <t>Fastly</t>
  </si>
  <si>
    <t>Are you familiar with at least one or more coding/programming or scripting languages?</t>
  </si>
  <si>
    <t>[Ljava.lang.Object;@6a2832bd</t>
  </si>
  <si>
    <t>Core Electronics</t>
  </si>
  <si>
    <t>Are you in Newcastle NSW?</t>
  </si>
  <si>
    <t>[Ljava.lang.Object;@4897bd32</t>
  </si>
  <si>
    <t>ProForm Foods</t>
  </si>
  <si>
    <t>How many years of Product Design experience do you have?</t>
  </si>
  <si>
    <t>Controls Engineer</t>
  </si>
  <si>
    <t>[Ljava.lang.Object;@4d0daf1</t>
  </si>
  <si>
    <t>[Ljava.lang.Object;@3ce4d561</t>
  </si>
  <si>
    <t>[Ljava.lang.Object;@73f07bca</t>
  </si>
  <si>
    <t>Wargaming CIS</t>
  </si>
  <si>
    <t>Do you have full rights to live and work in Australia?</t>
  </si>
  <si>
    <t>[Ljava.lang.Object;@1dea4d32</t>
  </si>
  <si>
    <t>Wargaming</t>
  </si>
  <si>
    <t>[Ljava.lang.Object;@7f050d8a</t>
  </si>
  <si>
    <t>HelkenHuson Pty Ltd</t>
  </si>
  <si>
    <t>Are you in Brisbane QLD?</t>
  </si>
  <si>
    <t>[Ljava.lang.Object;@4dae2be7</t>
  </si>
  <si>
    <t>Rokt</t>
  </si>
  <si>
    <t>A key step in Rokt's recruitment process for this role is an aptitude test to help ensure you have the right skills. Are you happy to complete this test?</t>
  </si>
  <si>
    <t>[Ljava.lang.Object;@3c0ef42f</t>
  </si>
  <si>
    <t>How many years of Engineering experience do you have?</t>
  </si>
  <si>
    <t>Geovert</t>
  </si>
  <si>
    <t>Are you in Sydney NSW?</t>
  </si>
  <si>
    <t>[Ljava.lang.Object;@13f1aa29</t>
  </si>
  <si>
    <t>SD Group</t>
  </si>
  <si>
    <t>Do you have the following licence or certification: Drivers?</t>
  </si>
  <si>
    <t>[Ljava.lang.Object;@4c6b4722</t>
  </si>
  <si>
    <t>[Ljava.lang.Object;@4e0864b</t>
  </si>
  <si>
    <t>Studco Building Systems</t>
  </si>
  <si>
    <t>Address</t>
  </si>
  <si>
    <t>Hatch LTK</t>
  </si>
  <si>
    <t>LIFX</t>
  </si>
  <si>
    <t>What attracts you to the role at LIFX?</t>
  </si>
  <si>
    <t>RECRUITAUSTRALIA</t>
  </si>
  <si>
    <t>How many years of Electrical Design experience do you have?</t>
  </si>
  <si>
    <t>TTM Rail</t>
  </si>
  <si>
    <t>How many years of rolling stock electronic engineer experience do you have?</t>
  </si>
  <si>
    <t>Cossill &amp; Webley</t>
  </si>
  <si>
    <t>How many years of construction experience do you have?</t>
  </si>
  <si>
    <t>SGS</t>
  </si>
  <si>
    <t>Do you have a current employment contract / agreement with SGS?</t>
  </si>
  <si>
    <t>[Ljava.lang.Object;@4628f1a1</t>
  </si>
  <si>
    <t>[Ljava.lang.Object;@15cf55a6</t>
  </si>
  <si>
    <t>BlueScope</t>
  </si>
  <si>
    <t>Have you ever been employed by BlueScope?</t>
  </si>
  <si>
    <t>[Ljava.lang.Object;@3585a3d9</t>
  </si>
  <si>
    <t>ProForm Gourmet Pty Limited</t>
  </si>
  <si>
    <t>[Ljava.lang.Object;@7d4a7df6</t>
  </si>
  <si>
    <t>[Ljava.lang.Object;@27d8bb</t>
  </si>
  <si>
    <t>[Ljava.lang.Object;@18209e96</t>
  </si>
  <si>
    <t>[Ljava.lang.Object;@67c924b3</t>
  </si>
  <si>
    <t>Which Wargaming offices would you be interested in?</t>
  </si>
  <si>
    <t>[Ljava.lang.Object;@7730a5fa</t>
  </si>
  <si>
    <t>[Ljava.lang.Object;@461b62a0</t>
  </si>
  <si>
    <t>[Ljava.lang.Object;@15604a16</t>
  </si>
  <si>
    <t>[Ljava.lang.Object;@70751e94</t>
  </si>
  <si>
    <t>[Ljava.lang.Object;@7ad84a24</t>
  </si>
  <si>
    <t>A key step in Rokt's recruitment process for this role is an aptitude assessment to help ensure you have the right skills. Are you happy to complete this assessment?</t>
  </si>
  <si>
    <t>[Ljava.lang.Object;@6b7c45bb</t>
  </si>
  <si>
    <t>[Ljava.lang.Object;@615ffb7c</t>
  </si>
  <si>
    <t>[Ljava.lang.Object;@5d6ea746</t>
  </si>
  <si>
    <t>[Ljava.lang.Object;@248c2a03</t>
  </si>
  <si>
    <t>RecordPoint</t>
  </si>
  <si>
    <t>Apptio</t>
  </si>
  <si>
    <t>HashiCorp</t>
  </si>
  <si>
    <t>Pegatron Service Australia PTY LTD</t>
  </si>
  <si>
    <t>How many years of Quality Engineer experience do you have?</t>
  </si>
  <si>
    <t>blueAPACHE</t>
  </si>
  <si>
    <t>Do you have a current Australian driver's licence?</t>
  </si>
  <si>
    <t>How many years of CNC Machinist experience do you have?</t>
  </si>
  <si>
    <t>[Ljava.lang.Object;@acc8153</t>
  </si>
  <si>
    <t>RC CIVIL CONTRACTORS PTY LTD</t>
  </si>
  <si>
    <t>How many years of Civil works experience do you have?</t>
  </si>
  <si>
    <t>Telnyx</t>
  </si>
  <si>
    <t>Will you need visa sponsorship?</t>
  </si>
  <si>
    <t>[Ljava.lang.Object;@26fad3e6</t>
  </si>
  <si>
    <t>Deltatre</t>
  </si>
  <si>
    <t>When are you available to start?</t>
  </si>
  <si>
    <t>[Ljava.lang.Object;@54e4f7ae</t>
  </si>
  <si>
    <t>[Ljava.lang.Object;@6fdd667a</t>
  </si>
  <si>
    <t>Screenshot</t>
  </si>
  <si>
    <t>Business Analyst</t>
  </si>
  <si>
    <t>Unaswered Questions</t>
  </si>
  <si>
    <t>https://au.indeed.com/viewjob?from=iaBackPress&amp;jk=97b87860f90a1eaf&amp;vjs=3</t>
  </si>
  <si>
    <t>https://au.indeed.com/viewjob?from=iaBackPress&amp;jk=b3a323a3b47fca8d&amp;vjs=3</t>
  </si>
  <si>
    <t>https://au.indeed.com/viewjob?from=iaBackPress&amp;jk=c4e076f51cd11864&amp;vjs=3</t>
  </si>
  <si>
    <t>https://au.indeed.com/viewjob?from=iaBackPress&amp;jk=627c606995cd76ec&amp;vjs=3</t>
  </si>
  <si>
    <t>https://au.indeed.com/viewjob?from=iaBackPress&amp;jk=aa4829ec40db55a0&amp;vjs=3</t>
  </si>
  <si>
    <t>https://au.indeed.com/viewjob?from=iaBackPress&amp;jk=59748a463b6f36ae&amp;vjs=3</t>
  </si>
  <si>
    <t>https://au.indeed.com/viewjob?from=iaBackPress&amp;jk=78d9624fe7590315&amp;vjs=3</t>
  </si>
  <si>
    <t>https://au.indeed.com/viewjob?from=iaBackPress&amp;jk=a01cd9a8819fdb6d&amp;vjs=3</t>
  </si>
  <si>
    <t>https://au.indeed.com/viewjob?from=iaBackPress&amp;jk=f409160b8d1ee990&amp;vjs=3</t>
  </si>
  <si>
    <t>https://au.indeed.com/viewjob?from=iaBackPress&amp;jk=68c5d8270bd11ecf&amp;vjs=3</t>
  </si>
  <si>
    <t>https://au.indeed.com/viewjob?from=iaBackPress&amp;jk=49eae43bb03955d4&amp;vjs=3</t>
  </si>
  <si>
    <t>https://au.indeed.com/viewjob?from=iaBackPress&amp;jk=6646a11a906e5847&amp;vjs=3</t>
  </si>
  <si>
    <t>https://au.indeed.com/viewjob?from=iaBackPress&amp;jk=29f65e39b9473cab&amp;vjs=3</t>
  </si>
  <si>
    <t>https://au.indeed.com/viewjob?from=iaBackPress&amp;jk=02edf59ddb1a3d78&amp;vjs=3</t>
  </si>
  <si>
    <t>https://au.indeed.com/viewjob?from=iaBackPress&amp;jk=c9a5d49c9357af07&amp;vjs=3</t>
  </si>
  <si>
    <t>https://au.indeed.com/viewjob?from=iaBackPress&amp;jk=3da80f9020d632f3&amp;vjs=3</t>
  </si>
  <si>
    <t>https://au.indeed.com/viewjob?from=iaBackPress&amp;jk=f5b8921533ff29af&amp;vjs=3</t>
  </si>
  <si>
    <t>https://au.indeed.com/viewjob?from=iaBackPress&amp;jk=7aec29d2c741923a&amp;vjs=3</t>
  </si>
  <si>
    <t>https://au.indeed.com/viewjob?from=iaBackPress&amp;jk=a5c3625418ff39a4&amp;vjs=3</t>
  </si>
  <si>
    <t>https://au.indeed.com/viewjob?from=iaBackPress&amp;jk=4c2d8cf0d15aca77&amp;vjs=3</t>
  </si>
  <si>
    <t>https://au.indeed.com/viewjob?from=iaBackPress&amp;jk=453e1064f40b155a&amp;vjs=3</t>
  </si>
  <si>
    <t>Blackstone Technology Pty Ltd T/A Swimart Rosebay</t>
  </si>
  <si>
    <t>AXIONiQ</t>
  </si>
  <si>
    <t>Meinhardt-Bonacci</t>
  </si>
  <si>
    <t>Olympus Technology Services Pty Ltd</t>
  </si>
  <si>
    <t>Coviu</t>
  </si>
  <si>
    <t>New Directions Australia</t>
  </si>
  <si>
    <t>Corin</t>
  </si>
  <si>
    <t>Ricardo Rail Australia</t>
  </si>
  <si>
    <t>#EANF#</t>
  </si>
  <si>
    <t>Olympia Homes Pty Ltd</t>
  </si>
  <si>
    <t>CMD Solutions</t>
  </si>
  <si>
    <t>Complete Onsite Group</t>
  </si>
  <si>
    <t>Info</t>
  </si>
  <si>
    <t>Morse Micro</t>
  </si>
  <si>
    <t>Empower Management</t>
  </si>
  <si>
    <t>ECCO Safety Group</t>
  </si>
  <si>
    <t>Spirax Sarco Early Careers</t>
  </si>
  <si>
    <t>A&amp;K Tucker Excavations</t>
  </si>
  <si>
    <t>Sun Health Foods Pty Ltd</t>
  </si>
  <si>
    <t>Echo Group Corporation Pty Ltd</t>
  </si>
  <si>
    <t>Project Site Engineer</t>
  </si>
  <si>
    <t>Better Staff</t>
  </si>
  <si>
    <t>muhammad.hamza@thdinfinity.com</t>
  </si>
  <si>
    <t>ComputerScience123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</si>
</sst>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\-d\ h:mm:ss"/>
    <numFmt numFmtId="165" formatCode="yyyy\-mm\-dd\ h:mm:ss"/>
  </numFmts>
  <fonts count="17">
    <font>
      <sz val="10"/>
      <color rgb="FF000000"/>
      <name val="Arial"/>
    </font>
    <font>
      <sz val="14"/>
      <color rgb="FFFFFFFF"/>
      <name val="Roboto"/>
    </font>
    <font>
      <u/>
      <sz val="11"/>
      <color rgb="FF1155CC"/>
      <name val="Roboto"/>
    </font>
    <font>
      <u/>
      <sz val="11"/>
      <color rgb="FF1155CC"/>
      <name val="Roboto"/>
    </font>
    <font>
      <sz val="11"/>
      <name val="Roboto"/>
    </font>
    <font>
      <sz val="10"/>
      <name val="Arial"/>
    </font>
    <font>
      <sz val="11"/>
      <color rgb="FF000000"/>
      <name val="Roboto"/>
    </font>
    <font>
      <sz val="11"/>
      <color rgb="FF000000"/>
      <name val="Calibri"/>
    </font>
    <font>
      <sz val="10"/>
      <color rgb="FFFFFFFF"/>
      <name val="Arial"/>
    </font>
    <font>
      <sz val="10"/>
      <color rgb="FF434343"/>
      <name val="Arial"/>
    </font>
    <font>
      <sz val="11"/>
      <color rgb="FF434343"/>
      <name val="Calibri"/>
    </font>
    <font>
      <sz val="11"/>
      <color rgb="FF434343"/>
      <name val="Roboto"/>
    </font>
    <font>
      <sz val="11"/>
      <color theme="1"/>
      <name val="Roboto"/>
    </font>
    <font>
      <u/>
      <sz val="11"/>
      <color rgb="FF0000FF"/>
      <name val="Roboto"/>
    </font>
    <font>
      <u/>
      <sz val="11"/>
      <color rgb="FF0000FF"/>
      <name val="Roboto"/>
    </font>
    <font>
      <u/>
      <sz val="11"/>
      <color rgb="FF0000FF"/>
      <name val="Roboto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</fills>
  <borders count="3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3">
    <xf numFmtId="0" fontId="0" fillId="0" borderId="0" xfId="0" applyFont="1" applyAlignment="1"/>
    <xf numFmtId="0" fontId="1" fillId="2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 vertical="center" textRotation="90"/>
    </xf>
    <xf numFmtId="0" fontId="2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/>
    <xf numFmtId="0" fontId="5" fillId="3" borderId="0" xfId="0" applyFont="1" applyFill="1"/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49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/>
    <xf numFmtId="0" fontId="5" fillId="3" borderId="0" xfId="0" applyFont="1" applyFill="1" applyAlignment="1"/>
    <xf numFmtId="0" fontId="5" fillId="3" borderId="0" xfId="0" applyFont="1" applyFill="1"/>
    <xf numFmtId="0" fontId="4" fillId="4" borderId="0" xfId="0" applyFont="1" applyFill="1" applyAlignment="1"/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6" fillId="4" borderId="0" xfId="0" applyFont="1" applyFill="1" applyAlignment="1"/>
    <xf numFmtId="0" fontId="4" fillId="4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/>
    <xf numFmtId="0" fontId="6" fillId="3" borderId="0" xfId="0" applyFont="1" applyFill="1" applyAlignment="1"/>
    <xf numFmtId="0" fontId="4" fillId="3" borderId="0" xfId="0" applyFont="1" applyFill="1" applyAlignment="1">
      <alignment horizontal="right"/>
    </xf>
    <xf numFmtId="0" fontId="6" fillId="3" borderId="0" xfId="0" applyFont="1" applyFill="1" applyAlignment="1"/>
    <xf numFmtId="0" fontId="7" fillId="0" borderId="0" xfId="0" applyFont="1" applyAlignment="1"/>
    <xf numFmtId="0" fontId="7" fillId="3" borderId="0" xfId="0" applyFont="1" applyFill="1" applyAlignment="1"/>
    <xf numFmtId="0" fontId="8" fillId="2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2" xfId="0" applyFont="1" applyBorder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9" fillId="3" borderId="0" xfId="0" applyFont="1" applyFill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2" fillId="0" borderId="0" xfId="0" applyFont="1" applyAlignment="1"/>
    <xf numFmtId="0" fontId="13" fillId="0" borderId="0" xfId="0" applyFont="1" applyAlignment="1"/>
    <xf numFmtId="164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5" fillId="0" borderId="0" xfId="0" applyFont="1"/>
    <xf numFmtId="0" fontId="12" fillId="0" borderId="0" xfId="0" applyFont="1"/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>
      <alignment horizontal="left"/>
    </xf>
    <xf numFmtId="0" fontId="16" fillId="3" borderId="0" xfId="1" applyFill="1" applyAlignme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uhammad.hamza@thdinfin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blackbook.ai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ordpress.com/" TargetMode="External"/><Relationship Id="rId2" Type="http://schemas.openxmlformats.org/officeDocument/2006/relationships/hyperlink" Target="http://constructive.net/" TargetMode="External"/><Relationship Id="rId1" Type="http://schemas.openxmlformats.org/officeDocument/2006/relationships/hyperlink" Target="http://expedia.com/" TargetMode="External"/><Relationship Id="rId5" Type="http://schemas.openxmlformats.org/officeDocument/2006/relationships/hyperlink" Target="http://expedia.com/" TargetMode="External"/><Relationship Id="rId4" Type="http://schemas.openxmlformats.org/officeDocument/2006/relationships/hyperlink" Target="http://expedia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au.indeed.com/viewjob?from=iaBackPress&amp;jk=59748a463b6f36ae&amp;vjs=3" TargetMode="External"/><Relationship Id="rId13" Type="http://schemas.openxmlformats.org/officeDocument/2006/relationships/hyperlink" Target="https://au.indeed.com/viewjob?from=iaBackPress&amp;jk=49eae43bb03955d4&amp;vjs=3" TargetMode="External"/><Relationship Id="rId18" Type="http://schemas.openxmlformats.org/officeDocument/2006/relationships/hyperlink" Target="https://au.indeed.com/viewjob?from=iaBackPress&amp;jk=3da80f9020d632f3&amp;vjs=3" TargetMode="External"/><Relationship Id="rId3" Type="http://schemas.openxmlformats.org/officeDocument/2006/relationships/hyperlink" Target="https://au.indeed.com/viewjob?from=iaBackPress&amp;jk=97b87860f90a1eaf&amp;vjs=3" TargetMode="External"/><Relationship Id="rId21" Type="http://schemas.openxmlformats.org/officeDocument/2006/relationships/hyperlink" Target="https://au.indeed.com/viewjob?from=iaBackPress&amp;jk=a5c3625418ff39a4&amp;vjs=3" TargetMode="External"/><Relationship Id="rId7" Type="http://schemas.openxmlformats.org/officeDocument/2006/relationships/hyperlink" Target="https://au.indeed.com/viewjob?from=iaBackPress&amp;jk=aa4829ec40db55a0&amp;vjs=3" TargetMode="External"/><Relationship Id="rId12" Type="http://schemas.openxmlformats.org/officeDocument/2006/relationships/hyperlink" Target="https://au.indeed.com/viewjob?from=iaBackPress&amp;jk=68c5d8270bd11ecf&amp;vjs=3" TargetMode="External"/><Relationship Id="rId17" Type="http://schemas.openxmlformats.org/officeDocument/2006/relationships/hyperlink" Target="https://au.indeed.com/viewjob?from=iaBackPress&amp;jk=c9a5d49c9357af07&amp;vjs=3" TargetMode="External"/><Relationship Id="rId25" Type="http://schemas.openxmlformats.org/officeDocument/2006/relationships/hyperlink" Target="https://au.indeed.com/viewjob?from=iaBackPress&amp;jk=97b87860f90a1eaf&amp;vjs=3" TargetMode="External"/><Relationship Id="rId2" Type="http://schemas.openxmlformats.org/officeDocument/2006/relationships/hyperlink" Target="https://au.indeed.com/viewjob?from=iaBackPress&amp;jk=b3a323a3b47fca8d&amp;vjs=3" TargetMode="External"/><Relationship Id="rId16" Type="http://schemas.openxmlformats.org/officeDocument/2006/relationships/hyperlink" Target="https://au.indeed.com/viewjob?from=iaBackPress&amp;jk=02edf59ddb1a3d78&amp;vjs=3" TargetMode="External"/><Relationship Id="rId20" Type="http://schemas.openxmlformats.org/officeDocument/2006/relationships/hyperlink" Target="https://au.indeed.com/viewjob?from=iaBackPress&amp;jk=7aec29d2c741923a&amp;vjs=3" TargetMode="External"/><Relationship Id="rId1" Type="http://schemas.openxmlformats.org/officeDocument/2006/relationships/hyperlink" Target="https://au.indeed.com/viewjob?from=iaBackPress&amp;jk=97b87860f90a1eaf&amp;vjs=3" TargetMode="External"/><Relationship Id="rId6" Type="http://schemas.openxmlformats.org/officeDocument/2006/relationships/hyperlink" Target="https://au.indeed.com/viewjob?from=iaBackPress&amp;jk=627c606995cd76ec&amp;vjs=3" TargetMode="External"/><Relationship Id="rId11" Type="http://schemas.openxmlformats.org/officeDocument/2006/relationships/hyperlink" Target="https://au.indeed.com/viewjob?from=iaBackPress&amp;jk=f409160b8d1ee990&amp;vjs=3" TargetMode="External"/><Relationship Id="rId24" Type="http://schemas.openxmlformats.org/officeDocument/2006/relationships/hyperlink" Target="https://au.indeed.com/viewjob?from=iaBackPress&amp;jk=97b87860f90a1eaf&amp;vjs=3" TargetMode="External"/><Relationship Id="rId5" Type="http://schemas.openxmlformats.org/officeDocument/2006/relationships/hyperlink" Target="https://au.indeed.com/viewjob?from=iaBackPress&amp;jk=c4e076f51cd11864&amp;vjs=3" TargetMode="External"/><Relationship Id="rId15" Type="http://schemas.openxmlformats.org/officeDocument/2006/relationships/hyperlink" Target="https://au.indeed.com/viewjob?from=iaBackPress&amp;jk=29f65e39b9473cab&amp;vjs=3" TargetMode="External"/><Relationship Id="rId23" Type="http://schemas.openxmlformats.org/officeDocument/2006/relationships/hyperlink" Target="https://au.indeed.com/viewjob?from=iaBackPress&amp;jk=453e1064f40b155a&amp;vjs=3" TargetMode="External"/><Relationship Id="rId10" Type="http://schemas.openxmlformats.org/officeDocument/2006/relationships/hyperlink" Target="https://au.indeed.com/viewjob?from=iaBackPress&amp;jk=a01cd9a8819fdb6d&amp;vjs=3" TargetMode="External"/><Relationship Id="rId19" Type="http://schemas.openxmlformats.org/officeDocument/2006/relationships/hyperlink" Target="https://au.indeed.com/viewjob?from=iaBackPress&amp;jk=f5b8921533ff29af&amp;vjs=3" TargetMode="External"/><Relationship Id="rId4" Type="http://schemas.openxmlformats.org/officeDocument/2006/relationships/hyperlink" Target="https://au.indeed.com/viewjob?from=iaBackPress&amp;jk=b3a323a3b47fca8d&amp;vjs=3" TargetMode="External"/><Relationship Id="rId9" Type="http://schemas.openxmlformats.org/officeDocument/2006/relationships/hyperlink" Target="https://au.indeed.com/viewjob?from=iaBackPress&amp;jk=78d9624fe7590315&amp;vjs=3" TargetMode="External"/><Relationship Id="rId14" Type="http://schemas.openxmlformats.org/officeDocument/2006/relationships/hyperlink" Target="https://au.indeed.com/viewjob?from=iaBackPress&amp;jk=6646a11a906e5847&amp;vjs=3" TargetMode="External"/><Relationship Id="rId22" Type="http://schemas.openxmlformats.org/officeDocument/2006/relationships/hyperlink" Target="https://au.indeed.com/viewjob?from=iaBackPress&amp;jk=4c2d8cf0d15aca77&amp;vjs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</sheetPr>
  <dimension ref="A1:J58"/>
  <sheetViews>
    <sheetView tabSelected="1" workbookViewId="0">
      <pane ySplit="1" topLeftCell="A2" activePane="bottomLeft" state="frozen"/>
      <selection pane="bottomLeft" activeCell="E16" sqref="E16"/>
    </sheetView>
  </sheetViews>
  <sheetFormatPr defaultColWidth="14.42578125" defaultRowHeight="15.75" customHeight="1"/>
  <cols>
    <col min="1" max="1" width="9.42578125" customWidth="1"/>
    <col min="2" max="2" width="7" customWidth="1"/>
    <col min="3" max="3" width="18.28515625" customWidth="1"/>
    <col min="4" max="4" width="26" customWidth="1"/>
    <col min="5" max="5" width="25" customWidth="1"/>
    <col min="6" max="6" width="11.7109375" customWidth="1"/>
    <col min="7" max="10" width="4.28515625" customWidth="1"/>
  </cols>
  <sheetData>
    <row r="1" spans="1:1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4.25">
      <c r="A2" s="4" t="s">
        <v>10</v>
      </c>
      <c r="B2" s="4" t="b">
        <v>0</v>
      </c>
      <c r="C2" s="5" t="s">
        <v>11</v>
      </c>
      <c r="D2" s="62" t="s">
        <v>910</v>
      </c>
      <c r="E2" s="6" t="s">
        <v>911</v>
      </c>
      <c r="F2" s="7">
        <v>464632168</v>
      </c>
      <c r="G2" s="7" t="s">
        <v>12</v>
      </c>
      <c r="H2" s="8">
        <v>1</v>
      </c>
      <c r="I2" s="9"/>
      <c r="J2" s="9"/>
    </row>
    <row r="3" spans="1:10">
      <c r="A3" s="4" t="s">
        <v>10</v>
      </c>
      <c r="B3" s="4" t="b">
        <v>1</v>
      </c>
      <c r="C3" s="5" t="s">
        <v>11</v>
      </c>
      <c r="D3" s="10" t="s">
        <v>13</v>
      </c>
      <c r="E3" s="10" t="s">
        <v>14</v>
      </c>
      <c r="F3" s="11">
        <v>464632168</v>
      </c>
      <c r="G3" s="7" t="s">
        <v>12</v>
      </c>
      <c r="H3" s="8">
        <v>2</v>
      </c>
      <c r="I3" s="9"/>
      <c r="J3" s="9"/>
    </row>
    <row r="4" spans="1:10">
      <c r="A4" s="4" t="s">
        <v>10</v>
      </c>
      <c r="B4" s="4" t="b">
        <v>1</v>
      </c>
      <c r="C4" s="5" t="s">
        <v>11</v>
      </c>
      <c r="D4" s="10" t="s">
        <v>13</v>
      </c>
      <c r="E4" s="10" t="s">
        <v>14</v>
      </c>
      <c r="F4" s="11">
        <v>464632168</v>
      </c>
      <c r="G4" s="7" t="s">
        <v>12</v>
      </c>
      <c r="H4" s="8">
        <v>3</v>
      </c>
      <c r="I4" s="9"/>
      <c r="J4" s="9"/>
    </row>
    <row r="5" spans="1:10">
      <c r="A5" s="4" t="s">
        <v>10</v>
      </c>
      <c r="B5" s="4" t="b">
        <v>1</v>
      </c>
      <c r="C5" s="5" t="s">
        <v>11</v>
      </c>
      <c r="D5" s="12" t="s">
        <v>13</v>
      </c>
      <c r="E5" s="12" t="s">
        <v>14</v>
      </c>
      <c r="F5" s="13">
        <v>464632168</v>
      </c>
      <c r="G5" s="7" t="s">
        <v>12</v>
      </c>
      <c r="H5" s="8">
        <v>4</v>
      </c>
      <c r="I5" s="9"/>
      <c r="J5" s="9"/>
    </row>
    <row r="6" spans="1:10">
      <c r="A6" s="4" t="s">
        <v>10</v>
      </c>
      <c r="B6" s="4" t="b">
        <v>1</v>
      </c>
      <c r="C6" s="5" t="s">
        <v>11</v>
      </c>
      <c r="D6" s="10" t="s">
        <v>13</v>
      </c>
      <c r="E6" s="10" t="s">
        <v>14</v>
      </c>
      <c r="F6" s="7">
        <v>464632168</v>
      </c>
      <c r="G6" s="7" t="s">
        <v>12</v>
      </c>
      <c r="H6" s="8">
        <v>5</v>
      </c>
      <c r="I6" s="9"/>
      <c r="J6" s="9"/>
    </row>
    <row r="7" spans="1:10">
      <c r="A7" s="4" t="s">
        <v>10</v>
      </c>
      <c r="B7" s="4" t="b">
        <v>1</v>
      </c>
      <c r="C7" s="5" t="s">
        <v>11</v>
      </c>
      <c r="D7" s="10" t="s">
        <v>13</v>
      </c>
      <c r="E7" s="10" t="s">
        <v>14</v>
      </c>
      <c r="F7" s="11">
        <v>464632168</v>
      </c>
      <c r="G7" s="14" t="s">
        <v>15</v>
      </c>
      <c r="H7" s="9"/>
      <c r="I7" s="9"/>
      <c r="J7" s="9"/>
    </row>
    <row r="8" spans="1:10">
      <c r="A8" s="4" t="s">
        <v>10</v>
      </c>
      <c r="B8" s="4" t="b">
        <v>1</v>
      </c>
      <c r="C8" s="5" t="s">
        <v>11</v>
      </c>
      <c r="D8" s="10" t="s">
        <v>13</v>
      </c>
      <c r="E8" s="10" t="s">
        <v>14</v>
      </c>
      <c r="F8" s="11">
        <v>464632168</v>
      </c>
      <c r="G8" s="14" t="s">
        <v>15</v>
      </c>
      <c r="H8" s="9"/>
      <c r="I8" s="9"/>
      <c r="J8" s="9"/>
    </row>
    <row r="9" spans="1:10">
      <c r="A9" s="4" t="s">
        <v>10</v>
      </c>
      <c r="B9" s="4" t="b">
        <v>1</v>
      </c>
      <c r="C9" s="5" t="s">
        <v>11</v>
      </c>
      <c r="D9" s="10" t="s">
        <v>13</v>
      </c>
      <c r="E9" s="10" t="s">
        <v>14</v>
      </c>
      <c r="F9" s="13">
        <v>464632168</v>
      </c>
      <c r="G9" s="14" t="s">
        <v>15</v>
      </c>
      <c r="H9" s="9"/>
      <c r="I9" s="9"/>
      <c r="J9" s="9"/>
    </row>
    <row r="10" spans="1:10">
      <c r="A10" s="4" t="s">
        <v>10</v>
      </c>
      <c r="B10" s="4" t="b">
        <v>1</v>
      </c>
      <c r="C10" s="5" t="s">
        <v>11</v>
      </c>
      <c r="D10" s="10" t="s">
        <v>13</v>
      </c>
      <c r="E10" s="10" t="s">
        <v>14</v>
      </c>
      <c r="F10" s="11">
        <v>464632168</v>
      </c>
      <c r="G10" s="14" t="s">
        <v>15</v>
      </c>
      <c r="H10" s="9"/>
      <c r="I10" s="9"/>
      <c r="J10" s="9"/>
    </row>
    <row r="11" spans="1:10">
      <c r="A11" s="4" t="s">
        <v>10</v>
      </c>
      <c r="B11" s="4" t="b">
        <v>1</v>
      </c>
      <c r="C11" s="5" t="s">
        <v>11</v>
      </c>
      <c r="D11" s="10" t="s">
        <v>13</v>
      </c>
      <c r="E11" s="10" t="s">
        <v>14</v>
      </c>
      <c r="F11" s="11">
        <v>464632168</v>
      </c>
      <c r="G11" s="14" t="s">
        <v>15</v>
      </c>
      <c r="H11" s="9"/>
      <c r="I11" s="9"/>
      <c r="J11" s="9"/>
    </row>
    <row r="12" spans="1:10">
      <c r="A12" s="4" t="s">
        <v>10</v>
      </c>
      <c r="B12" s="4" t="b">
        <v>1</v>
      </c>
      <c r="C12" s="5" t="s">
        <v>11</v>
      </c>
      <c r="D12" s="10" t="s">
        <v>13</v>
      </c>
      <c r="E12" s="10" t="s">
        <v>14</v>
      </c>
      <c r="F12" s="11">
        <v>464632168</v>
      </c>
      <c r="G12" s="14" t="s">
        <v>15</v>
      </c>
      <c r="H12" s="9"/>
      <c r="I12" s="9"/>
      <c r="J12" s="9"/>
    </row>
    <row r="13" spans="1:10">
      <c r="A13" s="15"/>
      <c r="B13" s="15"/>
      <c r="C13" s="15"/>
      <c r="D13" s="16"/>
      <c r="E13" s="15"/>
      <c r="F13" s="16"/>
      <c r="G13" s="17"/>
      <c r="H13" s="9"/>
      <c r="I13" s="9"/>
      <c r="J13" s="9"/>
    </row>
    <row r="14" spans="1:10">
      <c r="A14" s="18"/>
      <c r="B14" s="18"/>
      <c r="C14" s="18"/>
      <c r="D14" s="18"/>
      <c r="E14" s="18"/>
      <c r="F14" s="19"/>
      <c r="G14" s="20"/>
      <c r="H14" s="19"/>
      <c r="I14" s="19"/>
      <c r="J14" s="19"/>
    </row>
    <row r="15" spans="1:10">
      <c r="A15" s="18"/>
      <c r="B15" s="18"/>
      <c r="C15" s="18"/>
      <c r="D15" s="18"/>
      <c r="E15" s="18"/>
      <c r="F15" s="19"/>
      <c r="G15" s="20"/>
      <c r="H15" s="19"/>
      <c r="I15" s="19"/>
      <c r="J15" s="19"/>
    </row>
    <row r="16" spans="1:10">
      <c r="A16" s="21"/>
      <c r="B16" s="21"/>
      <c r="C16" s="21"/>
      <c r="D16" s="22"/>
      <c r="E16" s="22"/>
      <c r="F16" s="19"/>
      <c r="G16" s="20"/>
      <c r="H16" s="19"/>
      <c r="I16" s="19"/>
      <c r="J16" s="19"/>
    </row>
    <row r="17" spans="1:10">
      <c r="A17" s="23"/>
      <c r="B17" s="23"/>
      <c r="C17" s="23"/>
      <c r="D17" s="10"/>
      <c r="E17" s="10"/>
      <c r="F17" s="10"/>
      <c r="G17" s="19"/>
      <c r="H17" s="19"/>
      <c r="I17" s="19"/>
      <c r="J17" s="19"/>
    </row>
    <row r="18" spans="1:10">
      <c r="A18" s="23"/>
      <c r="B18" s="23"/>
      <c r="C18" s="23"/>
      <c r="D18" s="10"/>
      <c r="E18" s="10"/>
      <c r="F18" s="10"/>
      <c r="G18" s="19"/>
      <c r="H18" s="19"/>
      <c r="I18" s="19"/>
      <c r="J18" s="19"/>
    </row>
    <row r="19" spans="1:10">
      <c r="A19" s="23"/>
      <c r="B19" s="23"/>
      <c r="C19" s="23"/>
      <c r="D19" s="10"/>
      <c r="E19" s="10"/>
      <c r="F19" s="10"/>
      <c r="G19" s="19"/>
      <c r="H19" s="19"/>
      <c r="I19" s="19"/>
      <c r="J19" s="19"/>
    </row>
    <row r="20" spans="1:10">
      <c r="A20" s="24"/>
      <c r="B20" s="24"/>
      <c r="C20" s="24"/>
      <c r="D20" s="10"/>
      <c r="E20" s="10"/>
      <c r="F20" s="10"/>
      <c r="G20" s="19"/>
      <c r="H20" s="19"/>
      <c r="I20" s="19"/>
      <c r="J20" s="19"/>
    </row>
    <row r="21" spans="1:10">
      <c r="A21" s="24"/>
      <c r="B21" s="24"/>
      <c r="C21" s="24"/>
      <c r="D21" s="10"/>
      <c r="E21" s="10"/>
      <c r="F21" s="10"/>
      <c r="G21" s="19"/>
      <c r="H21" s="19"/>
      <c r="I21" s="19"/>
      <c r="J21" s="19"/>
    </row>
    <row r="22" spans="1:10">
      <c r="A22" s="23"/>
      <c r="B22" s="23"/>
      <c r="C22" s="23"/>
      <c r="D22" s="10"/>
      <c r="E22" s="10"/>
      <c r="F22" s="10"/>
      <c r="G22" s="19"/>
      <c r="H22" s="19"/>
      <c r="I22" s="19"/>
      <c r="J22" s="19"/>
    </row>
    <row r="23" spans="1:10">
      <c r="A23" s="23"/>
      <c r="B23" s="23"/>
      <c r="C23" s="23"/>
      <c r="D23" s="10"/>
      <c r="E23" s="10"/>
      <c r="F23" s="10"/>
      <c r="G23" s="19"/>
      <c r="H23" s="19"/>
      <c r="I23" s="19"/>
      <c r="J23" s="19"/>
    </row>
    <row r="24" spans="1:10">
      <c r="A24" s="25"/>
      <c r="B24" s="25"/>
      <c r="C24" s="25"/>
      <c r="D24" s="10"/>
      <c r="E24" s="10"/>
      <c r="F24" s="10"/>
      <c r="G24" s="19"/>
      <c r="H24" s="19"/>
      <c r="I24" s="19"/>
      <c r="J24" s="19"/>
    </row>
    <row r="25" spans="1:10">
      <c r="A25" s="23"/>
      <c r="B25" s="23"/>
      <c r="C25" s="23"/>
      <c r="D25" s="10"/>
      <c r="E25" s="10"/>
      <c r="F25" s="10"/>
      <c r="G25" s="19"/>
      <c r="H25" s="19"/>
      <c r="I25" s="19"/>
      <c r="J25" s="19"/>
    </row>
    <row r="26" spans="1:10">
      <c r="A26" s="23"/>
      <c r="B26" s="23"/>
      <c r="C26" s="23"/>
      <c r="D26" s="10"/>
      <c r="E26" s="10"/>
      <c r="F26" s="10"/>
      <c r="G26" s="19"/>
      <c r="H26" s="19"/>
      <c r="I26" s="19"/>
      <c r="J26" s="19"/>
    </row>
    <row r="27" spans="1:10">
      <c r="A27" s="25"/>
      <c r="B27" s="25"/>
      <c r="C27" s="25"/>
      <c r="D27" s="10"/>
      <c r="E27" s="26"/>
      <c r="F27" s="10"/>
      <c r="G27" s="19"/>
      <c r="H27" s="19"/>
      <c r="I27" s="19"/>
      <c r="J27" s="19"/>
    </row>
    <row r="28" spans="1:10">
      <c r="A28" s="24"/>
      <c r="B28" s="24"/>
      <c r="C28" s="24"/>
      <c r="D28" s="10"/>
      <c r="E28" s="10"/>
      <c r="F28" s="10"/>
      <c r="G28" s="19"/>
      <c r="H28" s="19"/>
      <c r="I28" s="19"/>
      <c r="J28" s="19"/>
    </row>
    <row r="29" spans="1:10">
      <c r="A29" s="24"/>
      <c r="B29" s="24"/>
      <c r="C29" s="24"/>
      <c r="D29" s="10"/>
      <c r="E29" s="10"/>
      <c r="F29" s="10"/>
      <c r="G29" s="19"/>
      <c r="H29" s="19"/>
      <c r="I29" s="19"/>
      <c r="J29" s="19"/>
    </row>
    <row r="30" spans="1:10">
      <c r="A30" s="24"/>
      <c r="B30" s="24"/>
      <c r="C30" s="24"/>
      <c r="D30" s="10"/>
      <c r="E30" s="10"/>
      <c r="F30" s="10"/>
      <c r="G30" s="19"/>
      <c r="H30" s="19"/>
      <c r="I30" s="19"/>
      <c r="J30" s="19"/>
    </row>
    <row r="31" spans="1:10">
      <c r="A31" s="23"/>
      <c r="B31" s="23"/>
      <c r="C31" s="23"/>
      <c r="D31" s="10"/>
      <c r="E31" s="10"/>
      <c r="F31" s="10"/>
      <c r="G31" s="19"/>
      <c r="H31" s="19"/>
      <c r="I31" s="19"/>
      <c r="J31" s="19"/>
    </row>
    <row r="32" spans="1:10">
      <c r="A32" s="24"/>
      <c r="B32" s="24"/>
      <c r="C32" s="24"/>
      <c r="D32" s="10"/>
      <c r="E32" s="10"/>
      <c r="F32" s="10"/>
      <c r="G32" s="19"/>
      <c r="H32" s="19"/>
      <c r="I32" s="19"/>
      <c r="J32" s="19"/>
    </row>
    <row r="33" spans="1:10">
      <c r="A33" s="24"/>
      <c r="B33" s="24"/>
      <c r="C33" s="24"/>
      <c r="D33" s="10"/>
      <c r="E33" s="10"/>
      <c r="F33" s="10"/>
      <c r="G33" s="19"/>
      <c r="H33" s="19"/>
      <c r="I33" s="19"/>
      <c r="J33" s="19"/>
    </row>
    <row r="34" spans="1:10">
      <c r="A34" s="23"/>
      <c r="B34" s="23"/>
      <c r="C34" s="23"/>
      <c r="D34" s="10"/>
      <c r="E34" s="10"/>
      <c r="F34" s="10"/>
      <c r="G34" s="19"/>
      <c r="H34" s="19"/>
      <c r="I34" s="19"/>
      <c r="J34" s="19"/>
    </row>
    <row r="35" spans="1:10">
      <c r="A35" s="23"/>
      <c r="B35" s="23"/>
      <c r="C35" s="23"/>
      <c r="D35" s="10"/>
      <c r="E35" s="10"/>
      <c r="F35" s="10"/>
      <c r="G35" s="20"/>
      <c r="H35" s="19"/>
      <c r="I35" s="19"/>
      <c r="J35" s="19"/>
    </row>
    <row r="36" spans="1:10">
      <c r="A36" s="23"/>
      <c r="B36" s="23"/>
      <c r="C36" s="23"/>
      <c r="D36" s="10"/>
      <c r="E36" s="10"/>
      <c r="F36" s="10"/>
      <c r="G36" s="19"/>
      <c r="H36" s="19"/>
      <c r="I36" s="19"/>
      <c r="J36" s="19"/>
    </row>
    <row r="37" spans="1:10">
      <c r="A37" s="23"/>
      <c r="B37" s="23"/>
      <c r="C37" s="23"/>
      <c r="D37" s="10"/>
      <c r="E37" s="10"/>
      <c r="F37" s="10"/>
      <c r="G37" s="19"/>
      <c r="H37" s="19"/>
      <c r="I37" s="19"/>
      <c r="J37" s="19"/>
    </row>
    <row r="38" spans="1:10">
      <c r="A38" s="23"/>
      <c r="B38" s="23"/>
      <c r="C38" s="23"/>
      <c r="D38" s="27"/>
      <c r="E38" s="27"/>
      <c r="F38" s="10"/>
      <c r="G38" s="19"/>
      <c r="H38" s="19"/>
      <c r="I38" s="19"/>
      <c r="J38" s="19"/>
    </row>
    <row r="39" spans="1:10" ht="15.75" customHeight="1">
      <c r="A39" s="25"/>
      <c r="B39" s="25"/>
      <c r="C39" s="25"/>
      <c r="D39" s="28"/>
      <c r="E39" s="28"/>
      <c r="F39" s="10"/>
      <c r="G39" s="19"/>
      <c r="H39" s="19"/>
      <c r="I39" s="19"/>
      <c r="J39" s="19"/>
    </row>
    <row r="40" spans="1:10" ht="14.25">
      <c r="A40" s="25"/>
      <c r="B40" s="25"/>
      <c r="C40" s="25"/>
      <c r="D40" s="10"/>
      <c r="E40" s="10"/>
      <c r="F40" s="10"/>
      <c r="G40" s="19"/>
      <c r="H40" s="19"/>
      <c r="I40" s="19"/>
      <c r="J40" s="19"/>
    </row>
    <row r="41" spans="1:10" ht="14.25">
      <c r="A41" s="23"/>
      <c r="B41" s="23"/>
      <c r="C41" s="23"/>
      <c r="D41" s="10"/>
      <c r="E41" s="10"/>
      <c r="F41" s="10"/>
      <c r="G41" s="19"/>
      <c r="H41" s="19"/>
      <c r="I41" s="19"/>
      <c r="J41" s="19"/>
    </row>
    <row r="42" spans="1:10" ht="14.25">
      <c r="A42" s="23"/>
      <c r="B42" s="23"/>
      <c r="C42" s="23"/>
      <c r="D42" s="10"/>
      <c r="E42" s="10"/>
      <c r="F42" s="10"/>
      <c r="G42" s="19"/>
      <c r="H42" s="19"/>
      <c r="I42" s="19"/>
      <c r="J42" s="19"/>
    </row>
    <row r="43" spans="1:10" ht="14.25">
      <c r="A43" s="24"/>
      <c r="B43" s="24"/>
      <c r="C43" s="24"/>
      <c r="D43" s="10"/>
      <c r="E43" s="10"/>
      <c r="F43" s="10"/>
      <c r="G43" s="19"/>
      <c r="H43" s="19"/>
      <c r="I43" s="19"/>
      <c r="J43" s="19"/>
    </row>
    <row r="44" spans="1:10" ht="14.25">
      <c r="A44" s="24"/>
      <c r="B44" s="24"/>
      <c r="C44" s="24"/>
      <c r="D44" s="10"/>
      <c r="E44" s="10"/>
      <c r="F44" s="10"/>
      <c r="G44" s="19"/>
      <c r="H44" s="19"/>
      <c r="I44" s="19"/>
      <c r="J44" s="19"/>
    </row>
    <row r="45" spans="1:10" ht="14.25">
      <c r="A45" s="23"/>
      <c r="B45" s="23"/>
      <c r="C45" s="23"/>
      <c r="D45" s="10"/>
      <c r="E45" s="10"/>
      <c r="F45" s="10"/>
      <c r="G45" s="19"/>
      <c r="H45" s="19"/>
      <c r="I45" s="19"/>
      <c r="J45" s="19"/>
    </row>
    <row r="46" spans="1:10" ht="14.25">
      <c r="A46" s="24"/>
      <c r="B46" s="24"/>
      <c r="C46" s="24"/>
      <c r="D46" s="10"/>
      <c r="E46" s="10"/>
      <c r="F46" s="10"/>
      <c r="G46" s="19"/>
      <c r="H46" s="19"/>
      <c r="I46" s="19"/>
      <c r="J46" s="19"/>
    </row>
    <row r="47" spans="1:10" ht="14.25">
      <c r="A47" s="23"/>
      <c r="B47" s="23"/>
      <c r="C47" s="23"/>
      <c r="D47" s="10"/>
      <c r="E47" s="10"/>
      <c r="F47" s="10"/>
      <c r="G47" s="19"/>
      <c r="H47" s="19"/>
      <c r="I47" s="19"/>
      <c r="J47" s="19"/>
    </row>
    <row r="48" spans="1:10" ht="14.25">
      <c r="A48" s="24"/>
      <c r="B48" s="24"/>
      <c r="C48" s="24"/>
      <c r="D48" s="10"/>
      <c r="E48" s="10"/>
      <c r="F48" s="10"/>
      <c r="G48" s="19"/>
      <c r="H48" s="19"/>
      <c r="I48" s="19"/>
      <c r="J48" s="19"/>
    </row>
    <row r="49" spans="1:10" ht="14.25">
      <c r="A49" s="25"/>
      <c r="B49" s="25"/>
      <c r="C49" s="25"/>
      <c r="D49" s="10"/>
      <c r="E49" s="10"/>
      <c r="F49" s="10"/>
      <c r="G49" s="19"/>
      <c r="H49" s="19"/>
      <c r="I49" s="19"/>
      <c r="J49" s="19"/>
    </row>
    <row r="50" spans="1:10" ht="15">
      <c r="A50" s="23"/>
      <c r="B50" s="23"/>
      <c r="C50" s="23"/>
      <c r="D50" s="29"/>
      <c r="E50" s="29"/>
      <c r="F50" s="10"/>
      <c r="G50" s="19"/>
      <c r="H50" s="19"/>
      <c r="I50" s="19"/>
      <c r="J50" s="19"/>
    </row>
    <row r="51" spans="1:10" ht="14.25">
      <c r="A51" s="24"/>
      <c r="B51" s="24"/>
      <c r="C51" s="24"/>
      <c r="D51" s="10"/>
      <c r="E51" s="10"/>
      <c r="F51" s="10"/>
      <c r="G51" s="19"/>
      <c r="H51" s="19"/>
      <c r="I51" s="19"/>
      <c r="J51" s="19"/>
    </row>
    <row r="52" spans="1:10" ht="14.25">
      <c r="A52" s="23"/>
      <c r="B52" s="23"/>
      <c r="C52" s="23"/>
      <c r="D52" s="10"/>
      <c r="E52" s="10"/>
      <c r="F52" s="10"/>
      <c r="G52" s="19"/>
      <c r="H52" s="19"/>
      <c r="I52" s="19"/>
      <c r="J52" s="19"/>
    </row>
    <row r="53" spans="1:10" ht="14.25">
      <c r="A53" s="23"/>
      <c r="B53" s="23"/>
      <c r="C53" s="23"/>
      <c r="D53" s="10"/>
      <c r="E53" s="10"/>
      <c r="F53" s="10"/>
      <c r="G53" s="19"/>
      <c r="H53" s="19"/>
      <c r="I53" s="19"/>
      <c r="J53" s="19"/>
    </row>
    <row r="54" spans="1:10" ht="14.25">
      <c r="A54" s="25"/>
      <c r="B54" s="25"/>
      <c r="C54" s="25"/>
      <c r="D54" s="10"/>
      <c r="E54" s="10"/>
      <c r="F54" s="10"/>
      <c r="G54" s="19"/>
      <c r="H54" s="19"/>
      <c r="I54" s="19"/>
      <c r="J54" s="19"/>
    </row>
    <row r="55" spans="1:10" ht="14.25">
      <c r="A55" s="23"/>
      <c r="B55" s="23"/>
      <c r="C55" s="23"/>
      <c r="D55" s="10"/>
      <c r="E55" s="10"/>
      <c r="F55" s="10"/>
      <c r="G55" s="19"/>
      <c r="H55" s="19"/>
      <c r="I55" s="19"/>
      <c r="J55" s="19"/>
    </row>
    <row r="56" spans="1:10" ht="14.25">
      <c r="A56" s="23"/>
      <c r="B56" s="23"/>
      <c r="C56" s="23"/>
      <c r="D56" s="10"/>
      <c r="E56" s="10"/>
      <c r="F56" s="10"/>
      <c r="G56" s="19"/>
      <c r="H56" s="19"/>
      <c r="I56" s="19"/>
      <c r="J56" s="19"/>
    </row>
    <row r="57" spans="1:10" ht="14.25">
      <c r="A57" s="23"/>
      <c r="B57" s="23"/>
      <c r="C57" s="23"/>
      <c r="D57" s="10"/>
      <c r="E57" s="10"/>
      <c r="F57" s="10"/>
      <c r="G57" s="19"/>
      <c r="H57" s="19"/>
      <c r="I57" s="19"/>
      <c r="J57" s="19"/>
    </row>
    <row r="58" spans="1:10" ht="14.25">
      <c r="A58" s="23"/>
      <c r="B58" s="23"/>
      <c r="C58" s="23"/>
      <c r="D58" s="10"/>
      <c r="E58" s="10"/>
      <c r="F58" s="10"/>
      <c r="G58" s="19"/>
      <c r="H58" s="19"/>
      <c r="I58" s="19"/>
      <c r="J58" s="19"/>
    </row>
  </sheetData>
  <hyperlinks>
    <hyperlink ref="D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</sheetPr>
  <dimension ref="A1:E11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74.28515625" customWidth="1"/>
    <col min="3" max="3" width="22.42578125" customWidth="1"/>
  </cols>
  <sheetData>
    <row r="1" spans="1:5">
      <c r="A1" s="30" t="s">
        <v>16</v>
      </c>
      <c r="B1" s="30" t="s">
        <v>17</v>
      </c>
      <c r="C1" s="30" t="s">
        <v>18</v>
      </c>
      <c r="D1" s="30" t="s">
        <v>19</v>
      </c>
      <c r="E1" s="31" t="s">
        <v>20</v>
      </c>
    </row>
    <row r="2" spans="1:5">
      <c r="A2" s="32" t="s">
        <v>21</v>
      </c>
      <c r="B2" s="32" t="s">
        <v>22</v>
      </c>
      <c r="C2" s="32" t="s">
        <v>22</v>
      </c>
      <c r="D2" s="32" t="s">
        <v>22</v>
      </c>
      <c r="E2" s="33" t="b">
        <v>1</v>
      </c>
    </row>
    <row r="3" spans="1:5">
      <c r="A3" s="33" t="s">
        <v>23</v>
      </c>
      <c r="B3" s="33" t="s">
        <v>22</v>
      </c>
      <c r="C3" s="33" t="s">
        <v>22</v>
      </c>
      <c r="D3" s="33" t="s">
        <v>22</v>
      </c>
      <c r="E3" s="33" t="b">
        <v>1</v>
      </c>
    </row>
    <row r="4" spans="1:5">
      <c r="A4" s="33" t="s">
        <v>24</v>
      </c>
      <c r="B4" s="33" t="s">
        <v>22</v>
      </c>
      <c r="C4" s="33" t="s">
        <v>22</v>
      </c>
      <c r="D4" s="33" t="s">
        <v>22</v>
      </c>
      <c r="E4" s="33" t="b">
        <v>1</v>
      </c>
    </row>
    <row r="5" spans="1:5">
      <c r="A5" s="33" t="s">
        <v>25</v>
      </c>
      <c r="B5" s="33" t="s">
        <v>22</v>
      </c>
      <c r="C5" s="33" t="s">
        <v>22</v>
      </c>
      <c r="D5" s="33" t="s">
        <v>22</v>
      </c>
      <c r="E5" s="33" t="b">
        <v>1</v>
      </c>
    </row>
    <row r="6" spans="1:5">
      <c r="A6" s="33" t="s">
        <v>26</v>
      </c>
      <c r="B6" s="33" t="s">
        <v>27</v>
      </c>
      <c r="C6" s="33" t="s">
        <v>27</v>
      </c>
      <c r="D6" s="33" t="s">
        <v>27</v>
      </c>
      <c r="E6" s="33" t="b">
        <v>1</v>
      </c>
    </row>
    <row r="7" spans="1:5">
      <c r="A7" s="33" t="s">
        <v>28</v>
      </c>
      <c r="B7" s="33" t="s">
        <v>27</v>
      </c>
      <c r="C7" s="33" t="s">
        <v>27</v>
      </c>
      <c r="D7" s="33" t="s">
        <v>27</v>
      </c>
      <c r="E7" s="33" t="b">
        <v>1</v>
      </c>
    </row>
    <row r="8" spans="1:5">
      <c r="A8" s="33" t="s">
        <v>29</v>
      </c>
      <c r="B8" s="33" t="s">
        <v>22</v>
      </c>
      <c r="C8" s="33" t="s">
        <v>22</v>
      </c>
      <c r="D8" s="33" t="s">
        <v>22</v>
      </c>
      <c r="E8" s="33" t="b">
        <v>1</v>
      </c>
    </row>
    <row r="9" spans="1:5">
      <c r="A9" s="33" t="s">
        <v>30</v>
      </c>
      <c r="B9" s="33" t="s">
        <v>27</v>
      </c>
      <c r="C9" s="33" t="s">
        <v>27</v>
      </c>
      <c r="D9" s="33" t="s">
        <v>27</v>
      </c>
      <c r="E9" s="33" t="b">
        <v>1</v>
      </c>
    </row>
    <row r="10" spans="1:5">
      <c r="A10" s="33" t="s">
        <v>31</v>
      </c>
      <c r="B10" s="33" t="s">
        <v>32</v>
      </c>
      <c r="C10" s="33" t="s">
        <v>32</v>
      </c>
      <c r="D10" s="33" t="s">
        <v>32</v>
      </c>
      <c r="E10" s="33" t="b">
        <v>1</v>
      </c>
    </row>
    <row r="11" spans="1:5">
      <c r="A11" s="33" t="s">
        <v>33</v>
      </c>
      <c r="B11" s="33" t="s">
        <v>22</v>
      </c>
      <c r="C11" s="33" t="s">
        <v>22</v>
      </c>
      <c r="D11" s="33" t="s">
        <v>22</v>
      </c>
      <c r="E11" s="33" t="b">
        <v>1</v>
      </c>
    </row>
    <row r="12" spans="1:5" ht="15.75" customHeight="1">
      <c r="A12" s="34" t="s">
        <v>34</v>
      </c>
      <c r="B12" s="35" t="s">
        <v>10</v>
      </c>
      <c r="C12" s="35" t="s">
        <v>10</v>
      </c>
      <c r="D12" s="35" t="s">
        <v>10</v>
      </c>
      <c r="E12" s="33" t="b">
        <v>1</v>
      </c>
    </row>
    <row r="13" spans="1:5">
      <c r="A13" s="36" t="s">
        <v>35</v>
      </c>
      <c r="B13" s="35" t="s">
        <v>10</v>
      </c>
      <c r="C13" s="35" t="s">
        <v>10</v>
      </c>
      <c r="D13" s="35" t="s">
        <v>10</v>
      </c>
      <c r="E13" s="33" t="b">
        <v>1</v>
      </c>
    </row>
    <row r="14" spans="1:5">
      <c r="A14" s="36" t="s">
        <v>36</v>
      </c>
      <c r="B14" s="35" t="s">
        <v>22</v>
      </c>
      <c r="C14" s="35" t="s">
        <v>22</v>
      </c>
      <c r="D14" s="35" t="s">
        <v>22</v>
      </c>
      <c r="E14" s="33" t="b">
        <v>1</v>
      </c>
    </row>
    <row r="15" spans="1:5">
      <c r="A15" s="33" t="s">
        <v>0</v>
      </c>
      <c r="B15" s="33" t="s">
        <v>10</v>
      </c>
      <c r="C15" s="33" t="s">
        <v>10</v>
      </c>
      <c r="D15" s="33" t="s">
        <v>10</v>
      </c>
      <c r="E15" s="33" t="b">
        <v>1</v>
      </c>
    </row>
    <row r="16" spans="1:5">
      <c r="A16" s="33" t="s">
        <v>37</v>
      </c>
      <c r="B16" s="33" t="s">
        <v>38</v>
      </c>
      <c r="C16" s="33" t="s">
        <v>38</v>
      </c>
      <c r="D16" s="33" t="s">
        <v>38</v>
      </c>
      <c r="E16" s="33" t="b">
        <v>1</v>
      </c>
    </row>
    <row r="17" spans="1:5">
      <c r="A17" s="33" t="s">
        <v>39</v>
      </c>
      <c r="B17" s="33" t="s">
        <v>40</v>
      </c>
      <c r="C17" s="33" t="s">
        <v>40</v>
      </c>
      <c r="D17" s="33" t="s">
        <v>40</v>
      </c>
      <c r="E17" s="33" t="b">
        <v>1</v>
      </c>
    </row>
    <row r="18" spans="1:5" ht="15.75" customHeight="1">
      <c r="A18" s="34" t="s">
        <v>41</v>
      </c>
      <c r="B18" s="37" t="s">
        <v>38</v>
      </c>
      <c r="C18" s="37" t="s">
        <v>38</v>
      </c>
      <c r="D18" s="37" t="s">
        <v>38</v>
      </c>
      <c r="E18" s="33" t="b">
        <v>1</v>
      </c>
    </row>
    <row r="19" spans="1:5">
      <c r="A19" s="33" t="s">
        <v>42</v>
      </c>
      <c r="B19" s="33" t="s">
        <v>43</v>
      </c>
      <c r="C19" s="33" t="s">
        <v>43</v>
      </c>
      <c r="D19" s="33" t="s">
        <v>43</v>
      </c>
      <c r="E19" s="33" t="b">
        <v>1</v>
      </c>
    </row>
    <row r="20" spans="1:5">
      <c r="A20" s="33" t="s">
        <v>44</v>
      </c>
      <c r="B20" s="33" t="s">
        <v>27</v>
      </c>
      <c r="C20" s="33" t="s">
        <v>27</v>
      </c>
      <c r="D20" s="33" t="s">
        <v>27</v>
      </c>
      <c r="E20" s="33" t="b">
        <v>1</v>
      </c>
    </row>
    <row r="21" spans="1:5">
      <c r="A21" s="33" t="s">
        <v>45</v>
      </c>
      <c r="B21" s="33" t="s">
        <v>22</v>
      </c>
      <c r="C21" s="33" t="s">
        <v>22</v>
      </c>
      <c r="D21" s="33" t="s">
        <v>22</v>
      </c>
      <c r="E21" s="33" t="b">
        <v>1</v>
      </c>
    </row>
    <row r="22" spans="1:5">
      <c r="A22" s="33" t="s">
        <v>46</v>
      </c>
      <c r="B22" s="33" t="s">
        <v>22</v>
      </c>
      <c r="C22" s="33" t="s">
        <v>22</v>
      </c>
      <c r="D22" s="33" t="s">
        <v>22</v>
      </c>
      <c r="E22" s="33" t="b">
        <v>1</v>
      </c>
    </row>
    <row r="23" spans="1:5">
      <c r="A23" s="33" t="s">
        <v>47</v>
      </c>
      <c r="B23" s="33" t="s">
        <v>22</v>
      </c>
      <c r="C23" s="33" t="s">
        <v>22</v>
      </c>
      <c r="D23" s="33" t="s">
        <v>22</v>
      </c>
      <c r="E23" s="33" t="b">
        <v>1</v>
      </c>
    </row>
    <row r="24" spans="1:5">
      <c r="A24" s="36" t="s">
        <v>48</v>
      </c>
      <c r="B24" s="38" t="s">
        <v>22</v>
      </c>
      <c r="C24" s="38" t="s">
        <v>22</v>
      </c>
      <c r="D24" s="38" t="s">
        <v>22</v>
      </c>
      <c r="E24" s="33" t="b">
        <v>1</v>
      </c>
    </row>
    <row r="25" spans="1:5">
      <c r="A25" s="33" t="s">
        <v>49</v>
      </c>
      <c r="B25" s="33" t="s">
        <v>22</v>
      </c>
      <c r="C25" s="33" t="s">
        <v>22</v>
      </c>
      <c r="D25" s="33" t="s">
        <v>22</v>
      </c>
      <c r="E25" s="33" t="b">
        <v>1</v>
      </c>
    </row>
    <row r="26" spans="1:5">
      <c r="A26" s="39" t="s">
        <v>50</v>
      </c>
      <c r="B26" s="39" t="s">
        <v>51</v>
      </c>
      <c r="C26" s="39" t="s">
        <v>51</v>
      </c>
      <c r="D26" s="39" t="s">
        <v>51</v>
      </c>
      <c r="E26" s="33" t="b">
        <v>1</v>
      </c>
    </row>
    <row r="27" spans="1:5">
      <c r="A27" s="33" t="s">
        <v>52</v>
      </c>
      <c r="B27" s="33" t="s">
        <v>22</v>
      </c>
      <c r="C27" s="33" t="s">
        <v>22</v>
      </c>
      <c r="D27" s="33" t="s">
        <v>22</v>
      </c>
      <c r="E27" s="33" t="b">
        <v>1</v>
      </c>
    </row>
    <row r="28" spans="1:5">
      <c r="A28" s="33" t="s">
        <v>53</v>
      </c>
      <c r="B28" s="33" t="s">
        <v>22</v>
      </c>
      <c r="C28" s="33" t="s">
        <v>22</v>
      </c>
      <c r="D28" s="33" t="s">
        <v>22</v>
      </c>
      <c r="E28" s="33" t="b">
        <v>1</v>
      </c>
    </row>
    <row r="29" spans="1:5">
      <c r="A29" s="33" t="s">
        <v>54</v>
      </c>
      <c r="B29" s="33" t="s">
        <v>22</v>
      </c>
      <c r="C29" s="33" t="s">
        <v>22</v>
      </c>
      <c r="D29" s="33" t="s">
        <v>22</v>
      </c>
      <c r="E29" s="33" t="b">
        <v>1</v>
      </c>
    </row>
    <row r="30" spans="1:5">
      <c r="A30" s="36" t="s">
        <v>55</v>
      </c>
      <c r="B30" s="35" t="s">
        <v>56</v>
      </c>
      <c r="C30" s="35" t="s">
        <v>56</v>
      </c>
      <c r="D30" s="35" t="s">
        <v>56</v>
      </c>
      <c r="E30" s="33" t="b">
        <v>1</v>
      </c>
    </row>
    <row r="31" spans="1:5">
      <c r="A31" s="36" t="s">
        <v>57</v>
      </c>
      <c r="B31" s="35" t="s">
        <v>58</v>
      </c>
      <c r="C31" s="35" t="s">
        <v>58</v>
      </c>
      <c r="D31" s="35" t="s">
        <v>58</v>
      </c>
      <c r="E31" s="33" t="b">
        <v>1</v>
      </c>
    </row>
    <row r="32" spans="1:5">
      <c r="A32" s="36" t="s">
        <v>59</v>
      </c>
      <c r="B32" s="35" t="s">
        <v>58</v>
      </c>
      <c r="C32" s="35" t="s">
        <v>58</v>
      </c>
      <c r="D32" s="35" t="s">
        <v>58</v>
      </c>
      <c r="E32" s="33" t="b">
        <v>1</v>
      </c>
    </row>
    <row r="33" spans="1:5">
      <c r="A33" s="33" t="s">
        <v>60</v>
      </c>
      <c r="B33" s="33" t="s">
        <v>27</v>
      </c>
      <c r="C33" s="33" t="s">
        <v>27</v>
      </c>
      <c r="D33" s="33" t="s">
        <v>27</v>
      </c>
      <c r="E33" s="33" t="b">
        <v>1</v>
      </c>
    </row>
    <row r="34" spans="1:5">
      <c r="A34" s="33" t="s">
        <v>61</v>
      </c>
      <c r="B34" s="33" t="s">
        <v>22</v>
      </c>
      <c r="C34" s="33" t="s">
        <v>22</v>
      </c>
      <c r="D34" s="33" t="s">
        <v>22</v>
      </c>
      <c r="E34" s="33" t="b">
        <v>1</v>
      </c>
    </row>
    <row r="35" spans="1:5">
      <c r="A35" s="33" t="s">
        <v>62</v>
      </c>
      <c r="B35" s="33" t="s">
        <v>27</v>
      </c>
      <c r="C35" s="33" t="s">
        <v>27</v>
      </c>
      <c r="D35" s="33" t="s">
        <v>27</v>
      </c>
      <c r="E35" s="33" t="b">
        <v>1</v>
      </c>
    </row>
    <row r="36" spans="1:5">
      <c r="A36" s="33" t="s">
        <v>63</v>
      </c>
      <c r="B36" s="33" t="s">
        <v>64</v>
      </c>
      <c r="C36" s="33" t="s">
        <v>64</v>
      </c>
      <c r="D36" s="33" t="s">
        <v>64</v>
      </c>
      <c r="E36" s="33" t="b">
        <v>1</v>
      </c>
    </row>
    <row r="37" spans="1:5">
      <c r="A37" s="33" t="s">
        <v>65</v>
      </c>
      <c r="B37" s="33" t="s">
        <v>64</v>
      </c>
      <c r="C37" s="33" t="s">
        <v>64</v>
      </c>
      <c r="D37" s="33" t="s">
        <v>64</v>
      </c>
      <c r="E37" s="33" t="b">
        <v>1</v>
      </c>
    </row>
    <row r="38" spans="1:5">
      <c r="A38" s="36" t="s">
        <v>66</v>
      </c>
      <c r="B38" s="35" t="s">
        <v>10</v>
      </c>
      <c r="C38" s="35" t="s">
        <v>10</v>
      </c>
      <c r="D38" s="35" t="s">
        <v>10</v>
      </c>
      <c r="E38" s="33" t="b">
        <v>1</v>
      </c>
    </row>
    <row r="39" spans="1:5">
      <c r="A39" s="33" t="s">
        <v>67</v>
      </c>
      <c r="B39" s="33" t="s">
        <v>68</v>
      </c>
      <c r="C39" s="33" t="s">
        <v>68</v>
      </c>
      <c r="D39" s="33" t="s">
        <v>68</v>
      </c>
      <c r="E39" s="33" t="b">
        <v>1</v>
      </c>
    </row>
    <row r="40" spans="1:5" ht="15">
      <c r="A40" s="34" t="s">
        <v>69</v>
      </c>
      <c r="B40" s="37" t="s">
        <v>38</v>
      </c>
      <c r="C40" s="37" t="s">
        <v>38</v>
      </c>
      <c r="D40" s="37" t="s">
        <v>38</v>
      </c>
      <c r="E40" s="33" t="b">
        <v>1</v>
      </c>
    </row>
    <row r="41" spans="1:5" ht="12.75">
      <c r="A41" s="33" t="s">
        <v>70</v>
      </c>
      <c r="B41" s="40">
        <v>5</v>
      </c>
      <c r="C41" s="40">
        <v>5</v>
      </c>
      <c r="D41" s="40">
        <v>5</v>
      </c>
      <c r="E41" s="33" t="b">
        <v>1</v>
      </c>
    </row>
    <row r="42" spans="1:5" ht="12.75">
      <c r="A42" s="33" t="s">
        <v>71</v>
      </c>
      <c r="B42" s="40">
        <v>5</v>
      </c>
      <c r="C42" s="40">
        <v>5</v>
      </c>
      <c r="D42" s="40">
        <v>5</v>
      </c>
      <c r="E42" s="33" t="b">
        <v>1</v>
      </c>
    </row>
    <row r="43" spans="1:5" ht="12.75">
      <c r="A43" s="33" t="s">
        <v>72</v>
      </c>
      <c r="B43" s="40">
        <v>5</v>
      </c>
      <c r="C43" s="40">
        <v>5</v>
      </c>
      <c r="D43" s="40">
        <v>5</v>
      </c>
      <c r="E43" s="33" t="b">
        <v>1</v>
      </c>
    </row>
    <row r="44" spans="1:5" ht="14.25">
      <c r="A44" s="36" t="s">
        <v>73</v>
      </c>
      <c r="B44" s="35" t="s">
        <v>74</v>
      </c>
      <c r="C44" s="35" t="s">
        <v>74</v>
      </c>
      <c r="D44" s="35" t="s">
        <v>74</v>
      </c>
      <c r="E44" s="33" t="b">
        <v>1</v>
      </c>
    </row>
    <row r="45" spans="1:5" ht="14.25">
      <c r="A45" s="36" t="s">
        <v>75</v>
      </c>
      <c r="B45" s="35" t="s">
        <v>74</v>
      </c>
      <c r="C45" s="35" t="s">
        <v>74</v>
      </c>
      <c r="D45" s="35" t="s">
        <v>74</v>
      </c>
      <c r="E45" s="33" t="b">
        <v>1</v>
      </c>
    </row>
    <row r="46" spans="1:5" ht="12.75">
      <c r="A46" s="33" t="s">
        <v>76</v>
      </c>
      <c r="B46" s="40">
        <v>5</v>
      </c>
      <c r="C46" s="40">
        <v>5</v>
      </c>
      <c r="D46" s="40">
        <v>5</v>
      </c>
      <c r="E46" s="33" t="b">
        <v>1</v>
      </c>
    </row>
    <row r="47" spans="1:5" ht="12.75">
      <c r="A47" s="33" t="s">
        <v>77</v>
      </c>
      <c r="B47" s="40">
        <v>5</v>
      </c>
      <c r="C47" s="40">
        <v>5</v>
      </c>
      <c r="D47" s="40">
        <v>5</v>
      </c>
      <c r="E47" s="33" t="b">
        <v>1</v>
      </c>
    </row>
    <row r="48" spans="1:5" ht="12.75">
      <c r="A48" s="41" t="s">
        <v>78</v>
      </c>
      <c r="B48" s="40">
        <v>5</v>
      </c>
      <c r="C48" s="40">
        <v>5</v>
      </c>
      <c r="D48" s="40">
        <v>5</v>
      </c>
      <c r="E48" s="33" t="b">
        <v>1</v>
      </c>
    </row>
    <row r="49" spans="1:5" ht="12.75">
      <c r="A49" s="33" t="s">
        <v>79</v>
      </c>
      <c r="B49" s="40">
        <v>5</v>
      </c>
      <c r="C49" s="40">
        <v>5</v>
      </c>
      <c r="D49" s="40">
        <v>5</v>
      </c>
      <c r="E49" s="33" t="b">
        <v>1</v>
      </c>
    </row>
    <row r="50" spans="1:5" ht="14.25">
      <c r="A50" s="36" t="s">
        <v>80</v>
      </c>
      <c r="B50" s="35" t="s">
        <v>74</v>
      </c>
      <c r="C50" s="35" t="s">
        <v>74</v>
      </c>
      <c r="D50" s="35" t="s">
        <v>74</v>
      </c>
      <c r="E50" s="33" t="b">
        <v>1</v>
      </c>
    </row>
    <row r="51" spans="1:5" ht="12.75">
      <c r="A51" s="33" t="s">
        <v>81</v>
      </c>
      <c r="B51" s="40">
        <v>5</v>
      </c>
      <c r="C51" s="40">
        <v>5</v>
      </c>
      <c r="D51" s="40">
        <v>5</v>
      </c>
      <c r="E51" s="33" t="b">
        <v>1</v>
      </c>
    </row>
    <row r="52" spans="1:5" ht="12.75">
      <c r="A52" s="33" t="s">
        <v>82</v>
      </c>
      <c r="B52" s="40">
        <v>5</v>
      </c>
      <c r="C52" s="40">
        <v>5</v>
      </c>
      <c r="D52" s="40">
        <v>5</v>
      </c>
      <c r="E52" s="33" t="b">
        <v>1</v>
      </c>
    </row>
    <row r="53" spans="1:5" ht="12.75">
      <c r="A53" s="33" t="s">
        <v>83</v>
      </c>
      <c r="B53" s="40">
        <v>5</v>
      </c>
      <c r="C53" s="40">
        <v>5</v>
      </c>
      <c r="D53" s="40">
        <v>5</v>
      </c>
      <c r="E53" s="33" t="b">
        <v>1</v>
      </c>
    </row>
    <row r="54" spans="1:5" ht="14.25">
      <c r="A54" s="36" t="s">
        <v>84</v>
      </c>
      <c r="B54" s="35" t="s">
        <v>74</v>
      </c>
      <c r="C54" s="35" t="s">
        <v>74</v>
      </c>
      <c r="D54" s="35" t="s">
        <v>74</v>
      </c>
      <c r="E54" s="33" t="b">
        <v>1</v>
      </c>
    </row>
    <row r="55" spans="1:5" ht="12.75">
      <c r="A55" s="33" t="s">
        <v>85</v>
      </c>
      <c r="B55" s="40">
        <v>5</v>
      </c>
      <c r="C55" s="40">
        <v>5</v>
      </c>
      <c r="D55" s="40">
        <v>5</v>
      </c>
      <c r="E55" s="33" t="b">
        <v>1</v>
      </c>
    </row>
    <row r="56" spans="1:5" ht="12.75">
      <c r="A56" s="33" t="s">
        <v>86</v>
      </c>
      <c r="B56" s="40">
        <v>10</v>
      </c>
      <c r="C56" s="40">
        <v>10</v>
      </c>
      <c r="D56" s="40">
        <v>10</v>
      </c>
      <c r="E56" s="33" t="b">
        <v>1</v>
      </c>
    </row>
    <row r="57" spans="1:5" ht="15">
      <c r="A57" s="39" t="s">
        <v>87</v>
      </c>
      <c r="B57" s="37" t="s">
        <v>88</v>
      </c>
      <c r="C57" s="37" t="s">
        <v>88</v>
      </c>
      <c r="D57" s="37" t="s">
        <v>88</v>
      </c>
      <c r="E57" s="33" t="b">
        <v>1</v>
      </c>
    </row>
    <row r="58" spans="1:5" ht="12.75">
      <c r="A58" s="33" t="s">
        <v>89</v>
      </c>
      <c r="B58" s="33" t="s">
        <v>22</v>
      </c>
      <c r="C58" s="33" t="s">
        <v>22</v>
      </c>
      <c r="D58" s="33" t="s">
        <v>22</v>
      </c>
      <c r="E58" s="33" t="b">
        <v>1</v>
      </c>
    </row>
    <row r="59" spans="1:5" ht="14.25">
      <c r="A59" s="36" t="s">
        <v>90</v>
      </c>
      <c r="B59" s="35" t="s">
        <v>22</v>
      </c>
      <c r="C59" s="35" t="s">
        <v>22</v>
      </c>
      <c r="D59" s="35" t="s">
        <v>22</v>
      </c>
      <c r="E59" s="33" t="b">
        <v>1</v>
      </c>
    </row>
    <row r="60" spans="1:5" ht="12.75">
      <c r="A60" s="33" t="s">
        <v>91</v>
      </c>
      <c r="B60" s="33" t="s">
        <v>40</v>
      </c>
      <c r="C60" s="33" t="s">
        <v>40</v>
      </c>
      <c r="D60" s="33" t="s">
        <v>40</v>
      </c>
      <c r="E60" s="33" t="b">
        <v>1</v>
      </c>
    </row>
    <row r="61" spans="1:5" ht="15">
      <c r="A61" s="34" t="s">
        <v>92</v>
      </c>
      <c r="B61" s="37" t="s">
        <v>38</v>
      </c>
      <c r="C61" s="37" t="s">
        <v>38</v>
      </c>
      <c r="D61" s="37" t="s">
        <v>38</v>
      </c>
      <c r="E61" s="33" t="b">
        <v>1</v>
      </c>
    </row>
    <row r="62" spans="1:5" ht="15">
      <c r="A62" s="34" t="s">
        <v>93</v>
      </c>
      <c r="B62" s="37" t="s">
        <v>38</v>
      </c>
      <c r="C62" s="37" t="s">
        <v>38</v>
      </c>
      <c r="D62" s="37" t="s">
        <v>38</v>
      </c>
      <c r="E62" s="33" t="b">
        <v>1</v>
      </c>
    </row>
    <row r="63" spans="1:5" ht="15">
      <c r="A63" s="34" t="s">
        <v>94</v>
      </c>
      <c r="B63" s="37" t="s">
        <v>38</v>
      </c>
      <c r="C63" s="37" t="s">
        <v>38</v>
      </c>
      <c r="D63" s="37" t="s">
        <v>38</v>
      </c>
      <c r="E63" s="33" t="b">
        <v>1</v>
      </c>
    </row>
    <row r="64" spans="1:5" ht="15">
      <c r="A64" s="34" t="s">
        <v>95</v>
      </c>
      <c r="B64" s="37" t="s">
        <v>38</v>
      </c>
      <c r="C64" s="37" t="s">
        <v>38</v>
      </c>
      <c r="D64" s="37" t="s">
        <v>38</v>
      </c>
      <c r="E64" s="33" t="b">
        <v>1</v>
      </c>
    </row>
    <row r="65" spans="1:5" ht="15">
      <c r="A65" s="34" t="s">
        <v>96</v>
      </c>
      <c r="B65" s="37" t="s">
        <v>38</v>
      </c>
      <c r="C65" s="37" t="s">
        <v>38</v>
      </c>
      <c r="D65" s="37" t="s">
        <v>38</v>
      </c>
      <c r="E65" s="33" t="b">
        <v>1</v>
      </c>
    </row>
    <row r="66" spans="1:5" ht="12.75">
      <c r="A66" s="33" t="s">
        <v>97</v>
      </c>
      <c r="B66" s="33" t="s">
        <v>38</v>
      </c>
      <c r="C66" s="33" t="s">
        <v>38</v>
      </c>
      <c r="D66" s="33" t="s">
        <v>38</v>
      </c>
      <c r="E66" s="33" t="b">
        <v>1</v>
      </c>
    </row>
    <row r="67" spans="1:5" ht="12.75">
      <c r="A67" s="33" t="s">
        <v>98</v>
      </c>
      <c r="B67" s="33" t="s">
        <v>38</v>
      </c>
      <c r="C67" s="33" t="s">
        <v>38</v>
      </c>
      <c r="D67" s="33" t="s">
        <v>38</v>
      </c>
      <c r="E67" s="33" t="b">
        <v>1</v>
      </c>
    </row>
    <row r="68" spans="1:5" ht="12.75">
      <c r="A68" s="33" t="s">
        <v>99</v>
      </c>
      <c r="B68" s="33" t="s">
        <v>100</v>
      </c>
      <c r="C68" s="33" t="s">
        <v>100</v>
      </c>
      <c r="D68" s="33" t="s">
        <v>100</v>
      </c>
      <c r="E68" s="33" t="b">
        <v>1</v>
      </c>
    </row>
    <row r="69" spans="1:5" ht="14.25">
      <c r="A69" s="36" t="s">
        <v>101</v>
      </c>
      <c r="B69" s="38" t="s">
        <v>38</v>
      </c>
      <c r="C69" s="38" t="s">
        <v>38</v>
      </c>
      <c r="D69" s="38" t="s">
        <v>38</v>
      </c>
      <c r="E69" s="33" t="b">
        <v>1</v>
      </c>
    </row>
    <row r="70" spans="1:5" ht="14.25">
      <c r="A70" s="36" t="s">
        <v>102</v>
      </c>
      <c r="B70" s="35" t="s">
        <v>22</v>
      </c>
      <c r="C70" s="35" t="s">
        <v>22</v>
      </c>
      <c r="D70" s="35" t="s">
        <v>22</v>
      </c>
      <c r="E70" s="33" t="b">
        <v>1</v>
      </c>
    </row>
    <row r="71" spans="1:5" ht="15">
      <c r="A71" s="34" t="s">
        <v>103</v>
      </c>
      <c r="B71" s="37" t="s">
        <v>38</v>
      </c>
      <c r="C71" s="37" t="s">
        <v>38</v>
      </c>
      <c r="D71" s="37" t="s">
        <v>38</v>
      </c>
      <c r="E71" s="33" t="b">
        <v>1</v>
      </c>
    </row>
    <row r="72" spans="1:5" ht="14.25">
      <c r="A72" s="36" t="s">
        <v>104</v>
      </c>
      <c r="B72" s="38" t="s">
        <v>38</v>
      </c>
      <c r="C72" s="38" t="s">
        <v>38</v>
      </c>
      <c r="D72" s="38" t="s">
        <v>38</v>
      </c>
      <c r="E72" s="33" t="b">
        <v>1</v>
      </c>
    </row>
    <row r="73" spans="1:5" ht="15">
      <c r="A73" s="34" t="s">
        <v>105</v>
      </c>
      <c r="B73" s="37" t="s">
        <v>38</v>
      </c>
      <c r="C73" s="37" t="s">
        <v>38</v>
      </c>
      <c r="D73" s="37" t="s">
        <v>38</v>
      </c>
      <c r="E73" s="33" t="b">
        <v>1</v>
      </c>
    </row>
    <row r="74" spans="1:5" ht="14.25">
      <c r="A74" s="36" t="s">
        <v>106</v>
      </c>
      <c r="B74" s="38" t="s">
        <v>38</v>
      </c>
      <c r="C74" s="38" t="s">
        <v>38</v>
      </c>
      <c r="D74" s="38" t="s">
        <v>38</v>
      </c>
      <c r="E74" s="33" t="b">
        <v>1</v>
      </c>
    </row>
    <row r="75" spans="1:5" ht="15">
      <c r="A75" s="34" t="s">
        <v>107</v>
      </c>
      <c r="B75" s="37" t="s">
        <v>38</v>
      </c>
      <c r="C75" s="37" t="s">
        <v>38</v>
      </c>
      <c r="D75" s="37" t="s">
        <v>38</v>
      </c>
      <c r="E75" s="33" t="b">
        <v>1</v>
      </c>
    </row>
    <row r="76" spans="1:5" ht="12.75">
      <c r="A76" s="33" t="s">
        <v>108</v>
      </c>
      <c r="B76" s="33" t="s">
        <v>27</v>
      </c>
      <c r="C76" s="33" t="s">
        <v>27</v>
      </c>
      <c r="D76" s="33" t="s">
        <v>27</v>
      </c>
      <c r="E76" s="33" t="b">
        <v>1</v>
      </c>
    </row>
    <row r="77" spans="1:5" ht="14.25">
      <c r="A77" s="36" t="s">
        <v>109</v>
      </c>
      <c r="B77" s="38" t="s">
        <v>38</v>
      </c>
      <c r="C77" s="38" t="s">
        <v>38</v>
      </c>
      <c r="D77" s="38" t="s">
        <v>38</v>
      </c>
      <c r="E77" s="33" t="b">
        <v>1</v>
      </c>
    </row>
    <row r="78" spans="1:5" ht="12.75">
      <c r="A78" s="33" t="s">
        <v>110</v>
      </c>
      <c r="B78" s="33" t="s">
        <v>38</v>
      </c>
      <c r="C78" s="33" t="s">
        <v>38</v>
      </c>
      <c r="D78" s="33" t="s">
        <v>38</v>
      </c>
      <c r="E78" s="33" t="b">
        <v>1</v>
      </c>
    </row>
    <row r="79" spans="1:5" ht="15">
      <c r="A79" s="34" t="s">
        <v>111</v>
      </c>
      <c r="B79" s="37" t="s">
        <v>38</v>
      </c>
      <c r="C79" s="37" t="s">
        <v>38</v>
      </c>
      <c r="D79" s="37" t="s">
        <v>38</v>
      </c>
      <c r="E79" s="33" t="b">
        <v>1</v>
      </c>
    </row>
    <row r="80" spans="1:5" ht="12.75">
      <c r="A80" s="33" t="s">
        <v>112</v>
      </c>
      <c r="B80" s="33" t="s">
        <v>113</v>
      </c>
      <c r="C80" s="33" t="s">
        <v>113</v>
      </c>
      <c r="D80" s="33" t="s">
        <v>113</v>
      </c>
      <c r="E80" s="33" t="b">
        <v>1</v>
      </c>
    </row>
    <row r="81" spans="1:5" ht="15">
      <c r="A81" s="34" t="s">
        <v>114</v>
      </c>
      <c r="B81" s="37" t="s">
        <v>38</v>
      </c>
      <c r="C81" s="37" t="s">
        <v>38</v>
      </c>
      <c r="D81" s="37" t="s">
        <v>38</v>
      </c>
      <c r="E81" s="33" t="b">
        <v>1</v>
      </c>
    </row>
    <row r="82" spans="1:5" ht="14.25">
      <c r="A82" s="36" t="s">
        <v>115</v>
      </c>
      <c r="B82" s="35" t="s">
        <v>116</v>
      </c>
      <c r="C82" s="35" t="s">
        <v>116</v>
      </c>
      <c r="D82" s="35" t="s">
        <v>116</v>
      </c>
      <c r="E82" s="33" t="b">
        <v>1</v>
      </c>
    </row>
    <row r="83" spans="1:5" ht="14.25">
      <c r="A83" s="36" t="s">
        <v>117</v>
      </c>
      <c r="B83" s="35" t="s">
        <v>118</v>
      </c>
      <c r="C83" s="35" t="s">
        <v>118</v>
      </c>
      <c r="D83" s="35" t="s">
        <v>118</v>
      </c>
      <c r="E83" s="33" t="b">
        <v>1</v>
      </c>
    </row>
    <row r="84" spans="1:5" ht="15">
      <c r="A84" s="34" t="s">
        <v>119</v>
      </c>
      <c r="B84" s="37" t="s">
        <v>38</v>
      </c>
      <c r="C84" s="37" t="s">
        <v>38</v>
      </c>
      <c r="D84" s="37" t="s">
        <v>38</v>
      </c>
      <c r="E84" s="33" t="b">
        <v>1</v>
      </c>
    </row>
    <row r="85" spans="1:5" ht="14.25">
      <c r="A85" s="36" t="s">
        <v>120</v>
      </c>
      <c r="B85" s="38" t="s">
        <v>121</v>
      </c>
      <c r="C85" s="38" t="s">
        <v>121</v>
      </c>
      <c r="D85" s="38" t="s">
        <v>121</v>
      </c>
      <c r="E85" s="33" t="b">
        <v>1</v>
      </c>
    </row>
    <row r="86" spans="1:5" ht="15">
      <c r="A86" s="34" t="s">
        <v>122</v>
      </c>
      <c r="B86" s="37" t="s">
        <v>38</v>
      </c>
      <c r="C86" s="37" t="s">
        <v>38</v>
      </c>
      <c r="D86" s="37" t="s">
        <v>38</v>
      </c>
      <c r="E86" s="33" t="b">
        <v>1</v>
      </c>
    </row>
    <row r="87" spans="1:5" ht="15">
      <c r="A87" s="34" t="s">
        <v>18</v>
      </c>
      <c r="B87" s="37" t="s">
        <v>38</v>
      </c>
      <c r="C87" s="37" t="s">
        <v>38</v>
      </c>
      <c r="D87" s="37" t="s">
        <v>38</v>
      </c>
      <c r="E87" s="33" t="b">
        <v>1</v>
      </c>
    </row>
    <row r="88" spans="1:5" ht="15">
      <c r="A88" s="34" t="s">
        <v>123</v>
      </c>
      <c r="B88" s="37" t="s">
        <v>38</v>
      </c>
      <c r="C88" s="37" t="s">
        <v>38</v>
      </c>
      <c r="D88" s="37" t="s">
        <v>38</v>
      </c>
      <c r="E88" s="33" t="b">
        <v>1</v>
      </c>
    </row>
    <row r="89" spans="1:5" ht="15">
      <c r="A89" s="34" t="s">
        <v>124</v>
      </c>
      <c r="B89" s="37" t="s">
        <v>38</v>
      </c>
      <c r="C89" s="37" t="s">
        <v>38</v>
      </c>
      <c r="D89" s="37" t="s">
        <v>38</v>
      </c>
      <c r="E89" s="33" t="b">
        <v>1</v>
      </c>
    </row>
    <row r="90" spans="1:5" ht="15">
      <c r="A90" s="34" t="s">
        <v>125</v>
      </c>
      <c r="B90" s="37" t="s">
        <v>38</v>
      </c>
      <c r="C90" s="37" t="s">
        <v>38</v>
      </c>
      <c r="D90" s="37" t="s">
        <v>38</v>
      </c>
      <c r="E90" s="33" t="b">
        <v>1</v>
      </c>
    </row>
    <row r="91" spans="1:5" ht="15">
      <c r="A91" s="34" t="s">
        <v>126</v>
      </c>
      <c r="B91" s="37" t="s">
        <v>38</v>
      </c>
      <c r="C91" s="37" t="s">
        <v>38</v>
      </c>
      <c r="D91" s="37" t="s">
        <v>38</v>
      </c>
      <c r="E91" s="33" t="b">
        <v>1</v>
      </c>
    </row>
    <row r="92" spans="1:5" ht="12.75">
      <c r="A92" s="33" t="s">
        <v>127</v>
      </c>
      <c r="B92" s="33" t="s">
        <v>22</v>
      </c>
      <c r="C92" s="33" t="s">
        <v>22</v>
      </c>
      <c r="D92" s="33" t="s">
        <v>22</v>
      </c>
      <c r="E92" s="33" t="b">
        <v>1</v>
      </c>
    </row>
    <row r="93" spans="1:5" ht="15">
      <c r="A93" s="34" t="s">
        <v>128</v>
      </c>
      <c r="B93" s="37" t="s">
        <v>38</v>
      </c>
      <c r="C93" s="37" t="s">
        <v>38</v>
      </c>
      <c r="D93" s="37" t="s">
        <v>38</v>
      </c>
      <c r="E93" s="33" t="b">
        <v>1</v>
      </c>
    </row>
    <row r="94" spans="1:5" ht="15">
      <c r="A94" s="34" t="s">
        <v>129</v>
      </c>
      <c r="B94" s="37" t="s">
        <v>38</v>
      </c>
      <c r="C94" s="37" t="s">
        <v>38</v>
      </c>
      <c r="D94" s="37" t="s">
        <v>38</v>
      </c>
      <c r="E94" s="33" t="b">
        <v>1</v>
      </c>
    </row>
    <row r="95" spans="1:5" ht="14.25">
      <c r="A95" s="36" t="s">
        <v>130</v>
      </c>
      <c r="B95" s="35" t="s">
        <v>131</v>
      </c>
      <c r="C95" s="35" t="s">
        <v>131</v>
      </c>
      <c r="D95" s="35" t="s">
        <v>131</v>
      </c>
      <c r="E95" s="33" t="b">
        <v>1</v>
      </c>
    </row>
    <row r="96" spans="1:5" ht="15">
      <c r="A96" s="34" t="s">
        <v>132</v>
      </c>
      <c r="B96" s="37" t="s">
        <v>38</v>
      </c>
      <c r="C96" s="37" t="s">
        <v>38</v>
      </c>
      <c r="D96" s="37" t="s">
        <v>38</v>
      </c>
      <c r="E96" s="33" t="b">
        <v>1</v>
      </c>
    </row>
    <row r="97" spans="1:5" ht="15">
      <c r="A97" s="34" t="s">
        <v>133</v>
      </c>
      <c r="B97" s="37" t="s">
        <v>64</v>
      </c>
      <c r="C97" s="37" t="s">
        <v>64</v>
      </c>
      <c r="D97" s="37" t="s">
        <v>64</v>
      </c>
      <c r="E97" s="33" t="b">
        <v>1</v>
      </c>
    </row>
    <row r="98" spans="1:5" ht="15">
      <c r="A98" s="34" t="s">
        <v>134</v>
      </c>
      <c r="B98" s="37" t="s">
        <v>64</v>
      </c>
      <c r="C98" s="37" t="s">
        <v>64</v>
      </c>
      <c r="D98" s="37" t="s">
        <v>64</v>
      </c>
      <c r="E98" s="33" t="b">
        <v>1</v>
      </c>
    </row>
    <row r="99" spans="1:5" ht="12.75">
      <c r="A99" s="33" t="s">
        <v>135</v>
      </c>
      <c r="B99" s="33" t="s">
        <v>64</v>
      </c>
      <c r="C99" s="33" t="s">
        <v>64</v>
      </c>
      <c r="D99" s="33" t="s">
        <v>64</v>
      </c>
      <c r="E99" s="33" t="b">
        <v>1</v>
      </c>
    </row>
    <row r="100" spans="1:5" ht="14.25">
      <c r="A100" s="36" t="s">
        <v>136</v>
      </c>
      <c r="B100" s="38" t="s">
        <v>40</v>
      </c>
      <c r="C100" s="38" t="s">
        <v>40</v>
      </c>
      <c r="D100" s="38" t="s">
        <v>40</v>
      </c>
      <c r="E100" s="33" t="b">
        <v>1</v>
      </c>
    </row>
    <row r="101" spans="1:5" ht="14.25">
      <c r="A101" s="36" t="s">
        <v>137</v>
      </c>
      <c r="B101" s="35" t="s">
        <v>138</v>
      </c>
      <c r="C101" s="35" t="s">
        <v>138</v>
      </c>
      <c r="D101" s="35" t="s">
        <v>138</v>
      </c>
      <c r="E101" s="33" t="b">
        <v>1</v>
      </c>
    </row>
    <row r="102" spans="1:5" ht="12.75">
      <c r="A102" s="33" t="s">
        <v>139</v>
      </c>
      <c r="B102" s="33" t="s">
        <v>40</v>
      </c>
      <c r="C102" s="33" t="s">
        <v>40</v>
      </c>
      <c r="D102" s="33" t="s">
        <v>40</v>
      </c>
      <c r="E102" s="33" t="b">
        <v>1</v>
      </c>
    </row>
    <row r="103" spans="1:5" ht="15">
      <c r="A103" s="34" t="s">
        <v>140</v>
      </c>
      <c r="B103" s="37" t="s">
        <v>43</v>
      </c>
      <c r="C103" s="37" t="s">
        <v>43</v>
      </c>
      <c r="D103" s="37" t="s">
        <v>43</v>
      </c>
      <c r="E103" s="33" t="b">
        <v>1</v>
      </c>
    </row>
    <row r="104" spans="1:5" ht="14.25">
      <c r="A104" s="36" t="s">
        <v>141</v>
      </c>
      <c r="B104" s="38" t="s">
        <v>142</v>
      </c>
      <c r="C104" s="38" t="s">
        <v>142</v>
      </c>
      <c r="D104" s="38" t="s">
        <v>142</v>
      </c>
      <c r="E104" s="33" t="b">
        <v>1</v>
      </c>
    </row>
    <row r="105" spans="1:5" ht="12.75">
      <c r="A105" s="33" t="s">
        <v>143</v>
      </c>
      <c r="B105" s="33" t="s">
        <v>113</v>
      </c>
      <c r="C105" s="33" t="s">
        <v>113</v>
      </c>
      <c r="D105" s="33" t="s">
        <v>113</v>
      </c>
      <c r="E105" s="33" t="b">
        <v>1</v>
      </c>
    </row>
    <row r="106" spans="1:5" ht="12.75">
      <c r="A106" s="33" t="s">
        <v>144</v>
      </c>
      <c r="B106" s="33" t="s">
        <v>145</v>
      </c>
      <c r="C106" s="33" t="s">
        <v>145</v>
      </c>
      <c r="D106" s="33" t="s">
        <v>145</v>
      </c>
      <c r="E106" s="33" t="b">
        <v>1</v>
      </c>
    </row>
    <row r="107" spans="1:5" ht="12.75">
      <c r="A107" s="33" t="s">
        <v>146</v>
      </c>
      <c r="B107" s="33" t="s">
        <v>38</v>
      </c>
      <c r="C107" s="33" t="s">
        <v>38</v>
      </c>
      <c r="D107" s="33" t="s">
        <v>38</v>
      </c>
      <c r="E107" s="33" t="b">
        <v>1</v>
      </c>
    </row>
    <row r="108" spans="1:5" ht="14.25">
      <c r="A108" s="36" t="s">
        <v>147</v>
      </c>
      <c r="B108" s="35" t="s">
        <v>148</v>
      </c>
      <c r="C108" s="35" t="s">
        <v>148</v>
      </c>
      <c r="D108" s="35" t="s">
        <v>148</v>
      </c>
      <c r="E108" s="33" t="b">
        <v>1</v>
      </c>
    </row>
    <row r="109" spans="1:5" ht="12.75">
      <c r="A109" s="33" t="s">
        <v>149</v>
      </c>
      <c r="B109" s="33" t="s">
        <v>150</v>
      </c>
      <c r="C109" s="33" t="s">
        <v>150</v>
      </c>
      <c r="D109" s="33" t="s">
        <v>150</v>
      </c>
      <c r="E109" s="33" t="b">
        <v>1</v>
      </c>
    </row>
    <row r="110" spans="1:5" ht="15">
      <c r="A110" s="34" t="s">
        <v>151</v>
      </c>
      <c r="B110" s="37" t="s">
        <v>38</v>
      </c>
      <c r="C110" s="37" t="s">
        <v>38</v>
      </c>
      <c r="D110" s="37" t="s">
        <v>38</v>
      </c>
      <c r="E110" s="33" t="b">
        <v>1</v>
      </c>
    </row>
    <row r="111" spans="1:5" ht="15">
      <c r="A111" s="34" t="s">
        <v>152</v>
      </c>
      <c r="B111" s="37" t="s">
        <v>27</v>
      </c>
      <c r="C111" s="37" t="s">
        <v>27</v>
      </c>
      <c r="D111" s="37" t="s">
        <v>27</v>
      </c>
      <c r="E111" s="33" t="b">
        <v>1</v>
      </c>
    </row>
    <row r="112" spans="1:5" ht="15">
      <c r="A112" s="34" t="s">
        <v>153</v>
      </c>
      <c r="B112" s="37" t="s">
        <v>38</v>
      </c>
      <c r="C112" s="37" t="s">
        <v>38</v>
      </c>
      <c r="D112" s="37" t="s">
        <v>38</v>
      </c>
      <c r="E112" s="33" t="b">
        <v>1</v>
      </c>
    </row>
    <row r="113" spans="1:5" ht="15">
      <c r="A113" s="34" t="s">
        <v>154</v>
      </c>
      <c r="B113" s="37" t="s">
        <v>38</v>
      </c>
      <c r="C113" s="37" t="s">
        <v>38</v>
      </c>
      <c r="D113" s="37" t="s">
        <v>38</v>
      </c>
      <c r="E113" s="33" t="b">
        <v>1</v>
      </c>
    </row>
    <row r="114" spans="1:5" ht="15">
      <c r="A114" s="34" t="s">
        <v>155</v>
      </c>
      <c r="B114" s="37" t="s">
        <v>38</v>
      </c>
      <c r="C114" s="37" t="s">
        <v>38</v>
      </c>
      <c r="D114" s="37" t="s">
        <v>38</v>
      </c>
      <c r="E114" s="33" t="b">
        <v>1</v>
      </c>
    </row>
  </sheetData>
  <autoFilter ref="A1:E114"/>
  <conditionalFormatting sqref="A1:A114">
    <cfRule type="expression" dxfId="0" priority="1">
      <formula>COUNTIF(A:A,A1)&gt;1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F29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" width="20.5703125" customWidth="1"/>
    <col min="3" max="3" width="60.5703125" customWidth="1"/>
    <col min="4" max="4" width="36.28515625" customWidth="1"/>
    <col min="5" max="5" width="22.28515625" customWidth="1"/>
    <col min="6" max="6" width="26.140625" customWidth="1"/>
  </cols>
  <sheetData>
    <row r="1" spans="1:6" ht="15.75" customHeight="1">
      <c r="A1" s="42" t="s">
        <v>156</v>
      </c>
      <c r="B1" s="43" t="s">
        <v>157</v>
      </c>
      <c r="C1" s="42" t="s">
        <v>158</v>
      </c>
      <c r="D1" s="42" t="s">
        <v>159</v>
      </c>
      <c r="E1" s="44" t="s">
        <v>160</v>
      </c>
      <c r="F1" s="43" t="s">
        <v>161</v>
      </c>
    </row>
    <row r="2" spans="1:6">
      <c r="A2" s="45"/>
      <c r="B2" s="45" t="s">
        <v>162</v>
      </c>
      <c r="C2" s="46" t="str">
        <f>HYPERLINK("https://au.indeed.com/viewjob?from=iaBackPress&amp;jk=dc230bcbcdb4be34&amp;vjs=3","Design Engineer")</f>
        <v>Design Engineer</v>
      </c>
      <c r="D2" s="45" t="s">
        <v>163</v>
      </c>
      <c r="E2" s="47">
        <v>44173.950925925928</v>
      </c>
      <c r="F2" s="45" t="s">
        <v>164</v>
      </c>
    </row>
    <row r="3" spans="1:6">
      <c r="A3" s="45"/>
      <c r="B3" s="45" t="s">
        <v>165</v>
      </c>
      <c r="C3" s="46" t="str">
        <f>HYPERLINK("https://au.indeed.com/viewjob?from=iaBackPress&amp;jk=b3a323a3b47fca8d&amp;vjs=3","Mechanical Engineer Submariner")</f>
        <v>Mechanical Engineer Submariner</v>
      </c>
      <c r="D3" s="45" t="s">
        <v>166</v>
      </c>
      <c r="E3" s="47">
        <v>44174.50068287037</v>
      </c>
      <c r="F3" s="45" t="s">
        <v>164</v>
      </c>
    </row>
    <row r="4" spans="1:6">
      <c r="A4" s="45"/>
      <c r="B4" s="45" t="s">
        <v>165</v>
      </c>
      <c r="C4" s="46" t="str">
        <f>HYPERLINK("https://au.indeed.com/viewjob?from=iaBackPress&amp;jk=c4e076f51cd11864&amp;vjs=3","Mechanical Engineer - Defence University Sponsorship")</f>
        <v>Mechanical Engineer - Defence University Sponsorship</v>
      </c>
      <c r="D4" s="45" t="s">
        <v>166</v>
      </c>
      <c r="E4" s="47">
        <v>44174.501122685186</v>
      </c>
      <c r="F4" s="45" t="s">
        <v>164</v>
      </c>
    </row>
    <row r="5" spans="1:6">
      <c r="A5" s="45"/>
      <c r="B5" s="45" t="s">
        <v>167</v>
      </c>
      <c r="C5" s="46" t="str">
        <f>HYPERLINK("https://au.indeed.com/viewjob?from=iaBackPress&amp;jk=2cb9b38cf2cd0070&amp;vjs=3","Senior Infrastructure Engineer - Leading Cloud Services Provider")</f>
        <v>Senior Infrastructure Engineer - Leading Cloud Services Provider</v>
      </c>
      <c r="D5" s="45" t="s">
        <v>168</v>
      </c>
      <c r="E5" s="47">
        <v>44174.504305555558</v>
      </c>
      <c r="F5" s="45" t="s">
        <v>164</v>
      </c>
    </row>
    <row r="6" spans="1:6">
      <c r="A6" s="45"/>
      <c r="B6" s="45" t="s">
        <v>169</v>
      </c>
      <c r="C6" s="46" t="str">
        <f>HYPERLINK("https://au.indeed.com/viewjob?from=iaBackPress&amp;jk=3f489428889eba9e&amp;vjs=3","Senior Data Engineer – Big data and Cloud")</f>
        <v>Senior Data Engineer – Big data and Cloud</v>
      </c>
      <c r="D6" s="45" t="s">
        <v>170</v>
      </c>
      <c r="E6" s="47">
        <v>44174.821770833332</v>
      </c>
      <c r="F6" s="45" t="s">
        <v>171</v>
      </c>
    </row>
    <row r="7" spans="1:6">
      <c r="A7" s="45"/>
      <c r="B7" s="45" t="s">
        <v>169</v>
      </c>
      <c r="C7" s="46" t="str">
        <f>HYPERLINK("https://au.indeed.com/viewjob?from=iaBackPress&amp;jk=3c4b972a0ce2ad9f&amp;vjs=3","Cloud and Desktop Support Consultant")</f>
        <v>Cloud and Desktop Support Consultant</v>
      </c>
      <c r="D7" s="45" t="s">
        <v>172</v>
      </c>
      <c r="E7" s="47">
        <v>44174.822141203702</v>
      </c>
      <c r="F7" s="45" t="s">
        <v>171</v>
      </c>
    </row>
    <row r="8" spans="1:6">
      <c r="A8" s="45"/>
      <c r="B8" s="45" t="s">
        <v>169</v>
      </c>
      <c r="C8" s="46" t="str">
        <f>HYPERLINK("https://au.indeed.com/viewjob?from=iaBackPress&amp;jk=ce10f148b1ccde1e&amp;vjs=3","Cloud Support Engineer")</f>
        <v>Cloud Support Engineer</v>
      </c>
      <c r="D8" s="45" t="s">
        <v>173</v>
      </c>
      <c r="E8" s="47">
        <v>44174.822430555556</v>
      </c>
      <c r="F8" s="45" t="s">
        <v>171</v>
      </c>
    </row>
    <row r="9" spans="1:6">
      <c r="A9" s="45"/>
      <c r="B9" s="45" t="s">
        <v>165</v>
      </c>
      <c r="C9" s="46" t="str">
        <f>HYPERLINK("https://au.indeed.com/viewjob?from=iaBackPress&amp;jk=a9b0da652c3b5d44&amp;vjs=3","Senior Lead Mechanical Engineer")</f>
        <v>Senior Lead Mechanical Engineer</v>
      </c>
      <c r="D9" s="45" t="s">
        <v>174</v>
      </c>
      <c r="E9" s="48">
        <v>44175.372870370367</v>
      </c>
      <c r="F9" s="45" t="s">
        <v>164</v>
      </c>
    </row>
    <row r="10" spans="1:6">
      <c r="A10" s="45"/>
      <c r="B10" s="45" t="s">
        <v>162</v>
      </c>
      <c r="C10" s="46" t="str">
        <f>HYPERLINK("https://au.indeed.com/viewjob?from=iaBackPress&amp;jk=69072debe41f2737&amp;vjs=3","Electrical Design Engineer")</f>
        <v>Electrical Design Engineer</v>
      </c>
      <c r="D10" s="45" t="s">
        <v>175</v>
      </c>
      <c r="E10" s="48">
        <v>44175.377835648149</v>
      </c>
      <c r="F10" s="45" t="s">
        <v>164</v>
      </c>
    </row>
    <row r="11" spans="1:6">
      <c r="A11" s="45"/>
      <c r="B11" s="45" t="s">
        <v>176</v>
      </c>
      <c r="C11" s="46" t="str">
        <f>HYPERLINK("https://au.indeed.com/viewjob?from=iaBackPress&amp;jk=8db4920235a060bb&amp;vjs=3","Engineer (Site &amp; Project)")</f>
        <v>Engineer (Site &amp; Project)</v>
      </c>
      <c r="D11" s="45" t="s">
        <v>177</v>
      </c>
      <c r="E11" s="48">
        <v>44175.382222222222</v>
      </c>
      <c r="F11" s="45" t="s">
        <v>164</v>
      </c>
    </row>
    <row r="12" spans="1:6">
      <c r="A12" s="45"/>
      <c r="B12" s="45" t="s">
        <v>176</v>
      </c>
      <c r="C12" s="46" t="str">
        <f>HYPERLINK("https://au.indeed.com/viewjob?from=iaBackPress&amp;jk=6c5716cfe2e65ad1&amp;vjs=3","Senior Project Engineer - civil")</f>
        <v>Senior Project Engineer - civil</v>
      </c>
      <c r="D12" s="45" t="s">
        <v>178</v>
      </c>
      <c r="E12" s="48">
        <v>44175.38548611111</v>
      </c>
      <c r="F12" s="45" t="s">
        <v>164</v>
      </c>
    </row>
    <row r="13" spans="1:6">
      <c r="A13" s="45"/>
      <c r="B13" s="45" t="s">
        <v>165</v>
      </c>
      <c r="C13" s="46" t="str">
        <f>HYPERLINK("https://au.indeed.com/viewjob?from=iaBackPress&amp;jk=375f43dbe7ab737a&amp;vjs=3","Undergraduate Mechanical Engineer")</f>
        <v>Undergraduate Mechanical Engineer</v>
      </c>
      <c r="D13" s="45" t="s">
        <v>179</v>
      </c>
      <c r="E13" s="48">
        <v>44186.013599537036</v>
      </c>
      <c r="F13" s="45" t="s">
        <v>164</v>
      </c>
    </row>
    <row r="14" spans="1:6">
      <c r="A14" s="45"/>
      <c r="B14" s="45" t="s">
        <v>165</v>
      </c>
      <c r="C14" s="46" t="str">
        <f>HYPERLINK("https://au.indeed.com/viewjob?from=iaBackPress&amp;jk=6619e0114adad1d1&amp;vjs=3","Mechanical Engineer")</f>
        <v>Mechanical Engineer</v>
      </c>
      <c r="D14" s="45" t="s">
        <v>180</v>
      </c>
      <c r="E14" s="48">
        <v>44186.015902777777</v>
      </c>
      <c r="F14" s="45" t="s">
        <v>164</v>
      </c>
    </row>
    <row r="15" spans="1:6">
      <c r="A15" s="45"/>
      <c r="B15" s="45" t="s">
        <v>165</v>
      </c>
      <c r="C15" s="46" t="str">
        <f>HYPERLINK("https://au.indeed.com/viewjob?from=iaBackPress&amp;jk=7dc77672ea1634c8&amp;vjs=3","Senior Lead Mechanical Engineer")</f>
        <v>Senior Lead Mechanical Engineer</v>
      </c>
      <c r="D15" s="45" t="s">
        <v>174</v>
      </c>
      <c r="E15" s="48">
        <v>44186.558958333335</v>
      </c>
      <c r="F15" s="45" t="s">
        <v>164</v>
      </c>
    </row>
    <row r="16" spans="1:6">
      <c r="A16" s="45"/>
      <c r="B16" s="45" t="s">
        <v>165</v>
      </c>
      <c r="C16" s="46" t="str">
        <f>HYPERLINK("https://au.indeed.com/viewjob?from=iaBackPress&amp;jk=e70f1930594875fe&amp;vjs=3","Hands On Mechanical Engineer")</f>
        <v>Hands On Mechanical Engineer</v>
      </c>
      <c r="D16" s="45" t="s">
        <v>181</v>
      </c>
      <c r="E16" s="48">
        <v>44186.559421296297</v>
      </c>
      <c r="F16" s="45" t="s">
        <v>164</v>
      </c>
    </row>
    <row r="17" spans="1:6">
      <c r="A17" s="45"/>
      <c r="B17" s="45" t="s">
        <v>165</v>
      </c>
      <c r="C17" s="46" t="str">
        <f>HYPERLINK("https://au.indeed.com/viewjob?from=iaBackPress&amp;jk=f6646d46461d1851&amp;vjs=3","Principle Mechanical Engineer")</f>
        <v>Principle Mechanical Engineer</v>
      </c>
      <c r="D17" s="45" t="s">
        <v>182</v>
      </c>
      <c r="E17" s="48">
        <v>44186.559872685182</v>
      </c>
      <c r="F17" s="45" t="s">
        <v>164</v>
      </c>
    </row>
    <row r="18" spans="1:6">
      <c r="A18" s="45"/>
      <c r="B18" s="45" t="s">
        <v>165</v>
      </c>
      <c r="C18" s="46" t="str">
        <f>HYPERLINK("https://au.indeed.com/viewjob?from=iaBackPress&amp;jk=01ddcf9cb658a7aa&amp;vjs=3","Mechanical Engineer")</f>
        <v>Mechanical Engineer</v>
      </c>
      <c r="D18" s="45" t="s">
        <v>183</v>
      </c>
      <c r="E18" s="48">
        <v>44186.560590277775</v>
      </c>
      <c r="F18" s="45" t="s">
        <v>164</v>
      </c>
    </row>
    <row r="19" spans="1:6">
      <c r="A19" s="45"/>
      <c r="B19" s="45" t="s">
        <v>162</v>
      </c>
      <c r="C19" s="46" t="str">
        <f>HYPERLINK("https://au.indeed.com/viewjob?from=iaBackPress&amp;jk=33335defd95b0b90&amp;vjs=3","Design Engineer")</f>
        <v>Design Engineer</v>
      </c>
      <c r="D19" s="45" t="s">
        <v>184</v>
      </c>
      <c r="E19" s="48">
        <v>44186.562395833331</v>
      </c>
      <c r="F19" s="45" t="s">
        <v>164</v>
      </c>
    </row>
    <row r="20" spans="1:6">
      <c r="A20" s="45"/>
      <c r="B20" s="45" t="s">
        <v>162</v>
      </c>
      <c r="C20" s="46" t="str">
        <f>HYPERLINK("https://au.indeed.com/viewjob?from=iaBackPress&amp;jk=62cb103c21f8ce1b&amp;vjs=3","Project Design Engineer")</f>
        <v>Project Design Engineer</v>
      </c>
      <c r="D20" s="45" t="s">
        <v>185</v>
      </c>
      <c r="E20" s="48">
        <v>44186.564108796294</v>
      </c>
      <c r="F20" s="45" t="s">
        <v>164</v>
      </c>
    </row>
    <row r="21" spans="1:6">
      <c r="A21" s="45"/>
      <c r="B21" s="45" t="s">
        <v>186</v>
      </c>
      <c r="C21" s="46" t="str">
        <f>HYPERLINK("https://au.indeed.com/viewjob?from=iaBackPress&amp;jk=921a680333363494&amp;vjs=3","Senior Software Development Engineer in Test")</f>
        <v>Senior Software Development Engineer in Test</v>
      </c>
      <c r="D21" s="45" t="s">
        <v>187</v>
      </c>
      <c r="E21" s="48">
        <v>44186.565254629626</v>
      </c>
      <c r="F21" s="45" t="s">
        <v>164</v>
      </c>
    </row>
    <row r="22" spans="1:6">
      <c r="A22" s="45"/>
      <c r="B22" s="45" t="s">
        <v>186</v>
      </c>
      <c r="C22" s="46" t="str">
        <f>HYPERLINK("https://au.indeed.com/viewjob?from=iaBackPress&amp;jk=7344467d94dea87f&amp;vjs=3","Development Engineer - Fast Track")</f>
        <v>Development Engineer - Fast Track</v>
      </c>
      <c r="D22" s="45" t="s">
        <v>188</v>
      </c>
      <c r="E22" s="48">
        <v>44186.565833333334</v>
      </c>
      <c r="F22" s="45" t="s">
        <v>164</v>
      </c>
    </row>
    <row r="23" spans="1:6">
      <c r="A23" s="45"/>
      <c r="B23" s="45" t="s">
        <v>167</v>
      </c>
      <c r="C23" s="46" t="str">
        <f>HYPERLINK("https://au.indeed.com/viewjob?from=iaBackPress&amp;jk=948ad2baa8e72e26&amp;vjs=3","Senior Infrastructure Engineer")</f>
        <v>Senior Infrastructure Engineer</v>
      </c>
      <c r="D23" s="45" t="s">
        <v>189</v>
      </c>
      <c r="E23" s="48">
        <v>44186.567280092589</v>
      </c>
      <c r="F23" s="45" t="s">
        <v>164</v>
      </c>
    </row>
    <row r="24" spans="1:6">
      <c r="A24" s="45"/>
      <c r="B24" s="45" t="s">
        <v>190</v>
      </c>
      <c r="C24" s="46" t="str">
        <f>HYPERLINK("https://au.indeed.com/viewjob?from=iaBackPress&amp;jk=d5452815a92d2592&amp;vjs=3","Licensed Aircraft Maintenance Engineer-Bell 412, B2")</f>
        <v>Licensed Aircraft Maintenance Engineer-Bell 412, B2</v>
      </c>
      <c r="D24" s="45" t="s">
        <v>191</v>
      </c>
      <c r="E24" s="48">
        <v>44186.568599537037</v>
      </c>
      <c r="F24" s="45" t="s">
        <v>164</v>
      </c>
    </row>
    <row r="25" spans="1:6">
      <c r="A25" s="45"/>
      <c r="B25" s="45" t="s">
        <v>190</v>
      </c>
      <c r="C25" s="46" t="str">
        <f>HYPERLINK("https://au.indeed.com/viewjob?from=iaBackPress&amp;jk=daefe1b9fd80fa77&amp;vjs=3","Licensed Aircraft Maintenance Engineer-Citation V (C560)")</f>
        <v>Licensed Aircraft Maintenance Engineer-Citation V (C560)</v>
      </c>
      <c r="D25" s="45" t="s">
        <v>191</v>
      </c>
      <c r="E25" s="48">
        <v>44186.569062499999</v>
      </c>
      <c r="F25" s="45" t="s">
        <v>164</v>
      </c>
    </row>
    <row r="26" spans="1:6">
      <c r="A26" s="45"/>
      <c r="B26" s="45" t="s">
        <v>192</v>
      </c>
      <c r="C26" s="46" t="str">
        <f>HYPERLINK("https://au.indeed.com/viewjob?from=iaBackPress&amp;jk=56f0943b8b4d104a&amp;vjs=3","Production Engineer")</f>
        <v>Production Engineer</v>
      </c>
      <c r="D26" s="45" t="s">
        <v>193</v>
      </c>
      <c r="E26" s="48">
        <v>44186.570196759261</v>
      </c>
      <c r="F26" s="45" t="s">
        <v>164</v>
      </c>
    </row>
    <row r="27" spans="1:6">
      <c r="A27" s="45"/>
      <c r="B27" s="45" t="s">
        <v>176</v>
      </c>
      <c r="C27" s="46" t="str">
        <f>HYPERLINK("https://au.indeed.com/viewjob?from=iaBackPress&amp;jk=ce60377aa6d19287&amp;vjs=3","Project Engineer")</f>
        <v>Project Engineer</v>
      </c>
      <c r="D27" s="45" t="s">
        <v>182</v>
      </c>
      <c r="E27" s="48">
        <v>44186.570902777778</v>
      </c>
      <c r="F27" s="45" t="s">
        <v>164</v>
      </c>
    </row>
    <row r="28" spans="1:6">
      <c r="A28" s="45"/>
      <c r="B28" s="45" t="s">
        <v>176</v>
      </c>
      <c r="C28" s="46" t="str">
        <f>HYPERLINK("https://au.indeed.com/viewjob?from=iaBackPress&amp;jk=73e076ef1295e687&amp;vjs=3","Electrical Project Engineer")</f>
        <v>Electrical Project Engineer</v>
      </c>
      <c r="D28" s="45" t="s">
        <v>194</v>
      </c>
      <c r="E28" s="48">
        <v>44186.57130787037</v>
      </c>
      <c r="F28" s="45" t="s">
        <v>164</v>
      </c>
    </row>
    <row r="29" spans="1:6">
      <c r="A29" s="45"/>
      <c r="B29" s="45" t="s">
        <v>176</v>
      </c>
      <c r="C29" s="46" t="str">
        <f>HYPERLINK("https://au.indeed.com/viewjob?from=iaBackPress&amp;jk=00519ef2e9d85464&amp;vjs=3","Project Engineer - Track")</f>
        <v>Project Engineer - Track</v>
      </c>
      <c r="D29" s="45" t="s">
        <v>177</v>
      </c>
      <c r="E29" s="48">
        <v>44186.571875000001</v>
      </c>
      <c r="F29" s="45" t="s">
        <v>164</v>
      </c>
    </row>
    <row r="30" spans="1:6">
      <c r="A30" s="45"/>
      <c r="B30" s="45" t="s">
        <v>176</v>
      </c>
      <c r="C30" s="46" t="str">
        <f>HYPERLINK("https://au.indeed.com/viewjob?from=iaBackPress&amp;jk=b2eb28c2ecf4406a&amp;vjs=3","Electrical Project Engineer")</f>
        <v>Electrical Project Engineer</v>
      </c>
      <c r="D30" s="45" t="s">
        <v>182</v>
      </c>
      <c r="E30" s="48">
        <v>44186.572326388887</v>
      </c>
      <c r="F30" s="45" t="s">
        <v>164</v>
      </c>
    </row>
    <row r="31" spans="1:6">
      <c r="A31" s="45"/>
      <c r="B31" s="45" t="s">
        <v>176</v>
      </c>
      <c r="C31" s="46" t="str">
        <f>HYPERLINK("https://au.indeed.com/viewjob?from=iaBackPress&amp;jk=3ae358bc2594d5c8&amp;vjs=3","Senior Project Engineer - (Northern NSW)")</f>
        <v>Senior Project Engineer - (Northern NSW)</v>
      </c>
      <c r="D31" s="45" t="s">
        <v>195</v>
      </c>
      <c r="E31" s="48">
        <v>44186.573240740741</v>
      </c>
      <c r="F31" s="45" t="s">
        <v>164</v>
      </c>
    </row>
    <row r="32" spans="1:6">
      <c r="A32" s="45"/>
      <c r="B32" s="45" t="s">
        <v>176</v>
      </c>
      <c r="C32" s="46" t="str">
        <f>HYPERLINK("https://au.indeed.com/viewjob?from=iaBackPress&amp;jk=49eae43bb03955d4&amp;vjs=3","Senior Project Engineer")</f>
        <v>Senior Project Engineer</v>
      </c>
      <c r="D32" s="45" t="s">
        <v>196</v>
      </c>
      <c r="E32" s="48">
        <v>44186.573703703703</v>
      </c>
      <c r="F32" s="45" t="s">
        <v>164</v>
      </c>
    </row>
    <row r="33" spans="1:6">
      <c r="A33" s="45"/>
      <c r="B33" s="45" t="s">
        <v>176</v>
      </c>
      <c r="C33" s="46" t="str">
        <f>HYPERLINK("https://au.indeed.com/viewjob?from=iaBackPress&amp;jk=3377a43713fe3bda&amp;vjs=3","Project Engineer")</f>
        <v>Project Engineer</v>
      </c>
      <c r="D33" s="45" t="s">
        <v>197</v>
      </c>
      <c r="E33" s="48">
        <v>44186.575740740744</v>
      </c>
      <c r="F33" s="45" t="s">
        <v>164</v>
      </c>
    </row>
    <row r="34" spans="1:6">
      <c r="A34" s="45"/>
      <c r="B34" s="45" t="s">
        <v>176</v>
      </c>
      <c r="C34" s="46" t="str">
        <f>HYPERLINK("https://au.indeed.com/viewjob?from=iaBackPress&amp;jk=48789c3bb67f49ac&amp;vjs=3","Services Project Engineer / Coordinator")</f>
        <v>Services Project Engineer / Coordinator</v>
      </c>
      <c r="D34" s="45" t="s">
        <v>177</v>
      </c>
      <c r="E34" s="48">
        <v>44186.576145833336</v>
      </c>
      <c r="F34" s="45" t="s">
        <v>164</v>
      </c>
    </row>
    <row r="35" spans="1:6">
      <c r="A35" s="45"/>
      <c r="B35" s="45" t="s">
        <v>176</v>
      </c>
      <c r="C35" s="46" t="str">
        <f>HYPERLINK("https://au.indeed.com/viewjob?from=iaBackPress&amp;jk=1949f32be146ef3d&amp;vjs=3","Project Engineer")</f>
        <v>Project Engineer</v>
      </c>
      <c r="D35" s="45" t="s">
        <v>198</v>
      </c>
      <c r="E35" s="48">
        <v>44186.576574074075</v>
      </c>
      <c r="F35" s="45" t="s">
        <v>164</v>
      </c>
    </row>
    <row r="36" spans="1:6">
      <c r="A36" s="45"/>
      <c r="B36" s="45" t="s">
        <v>176</v>
      </c>
      <c r="C36" s="46" t="str">
        <f>HYPERLINK("https://au.indeed.com/viewjob?from=iaBackPress&amp;jk=76ac1343d324189e&amp;vjs=3","Project Engineer")</f>
        <v>Project Engineer</v>
      </c>
      <c r="D36" s="45" t="s">
        <v>199</v>
      </c>
      <c r="E36" s="48">
        <v>44186.577037037037</v>
      </c>
      <c r="F36" s="45" t="s">
        <v>164</v>
      </c>
    </row>
    <row r="37" spans="1:6">
      <c r="A37" s="45"/>
      <c r="B37" s="45" t="s">
        <v>176</v>
      </c>
      <c r="C37" s="46" t="str">
        <f>HYPERLINK("https://au.indeed.com/viewjob?from=iaBackPress&amp;jk=9cd870d524d064df&amp;vjs=3","Project Engineer - Stations")</f>
        <v>Project Engineer - Stations</v>
      </c>
      <c r="D37" s="45" t="s">
        <v>177</v>
      </c>
      <c r="E37" s="48">
        <v>44186.577986111108</v>
      </c>
      <c r="F37" s="45" t="s">
        <v>164</v>
      </c>
    </row>
    <row r="38" spans="1:6">
      <c r="A38" s="45"/>
      <c r="B38" s="45" t="s">
        <v>176</v>
      </c>
      <c r="C38" s="46" t="str">
        <f>HYPERLINK("https://au.indeed.com/viewjob?from=iaBackPress&amp;jk=fca7a23a2d8d274f&amp;vjs=3","Mechanical Project Engineer")</f>
        <v>Mechanical Project Engineer</v>
      </c>
      <c r="D38" s="45" t="s">
        <v>194</v>
      </c>
      <c r="E38" s="48">
        <v>44186.5783912037</v>
      </c>
      <c r="F38" s="45" t="s">
        <v>164</v>
      </c>
    </row>
    <row r="39" spans="1:6">
      <c r="A39" s="45"/>
      <c r="B39" s="45" t="s">
        <v>176</v>
      </c>
      <c r="C39" s="46" t="str">
        <f>HYPERLINK("https://au.indeed.com/viewjob?from=iaBackPress&amp;jk=7d070519e2b3a61b&amp;vjs=3","Project Manager &amp; Project Engineer | Civil")</f>
        <v>Project Manager &amp; Project Engineer | Civil</v>
      </c>
      <c r="D39" s="45" t="s">
        <v>200</v>
      </c>
      <c r="E39" s="48">
        <v>44186.578796296293</v>
      </c>
      <c r="F39" s="45" t="s">
        <v>164</v>
      </c>
    </row>
    <row r="40" spans="1:6" ht="14.25">
      <c r="A40" s="45"/>
      <c r="B40" s="45" t="s">
        <v>176</v>
      </c>
      <c r="C40" s="46" t="str">
        <f>HYPERLINK("https://au.indeed.com/viewjob?from=iaBackPress&amp;jk=37483abb3f1464d6&amp;vjs=3","Project Engineer")</f>
        <v>Project Engineer</v>
      </c>
      <c r="D40" s="45" t="s">
        <v>197</v>
      </c>
      <c r="E40" s="48">
        <v>44186.579375000001</v>
      </c>
      <c r="F40" s="45" t="s">
        <v>164</v>
      </c>
    </row>
    <row r="41" spans="1:6" ht="14.25">
      <c r="A41" s="45"/>
      <c r="B41" s="45" t="s">
        <v>176</v>
      </c>
      <c r="C41" s="46" t="str">
        <f>HYPERLINK("https://au.indeed.com/viewjob?from=iaBackPress&amp;jk=8f88ce1149fb00fe&amp;vjs=3","Project Engineer")</f>
        <v>Project Engineer</v>
      </c>
      <c r="D41" s="45" t="s">
        <v>195</v>
      </c>
      <c r="E41" s="48">
        <v>44186.580023148148</v>
      </c>
      <c r="F41" s="45" t="s">
        <v>164</v>
      </c>
    </row>
    <row r="42" spans="1:6" ht="14.25">
      <c r="A42" s="45"/>
      <c r="B42" s="45" t="s">
        <v>176</v>
      </c>
      <c r="C42" s="46" t="str">
        <f>HYPERLINK("https://au.indeed.com/viewjob?from=iaBackPress&amp;jk=c305f5ff28f1135e&amp;vjs=3","Site &amp; Project Engineers | Infrastructure and Renewable | NSW DIDO 14/7 roster")</f>
        <v>Site &amp; Project Engineers | Infrastructure and Renewable | NSW DIDO 14/7 roster</v>
      </c>
      <c r="D42" s="45" t="s">
        <v>200</v>
      </c>
      <c r="E42" s="48">
        <v>44186.58116898148</v>
      </c>
      <c r="F42" s="45" t="s">
        <v>164</v>
      </c>
    </row>
    <row r="43" spans="1:6" ht="14.25">
      <c r="A43" s="45"/>
      <c r="B43" s="45" t="s">
        <v>176</v>
      </c>
      <c r="C43" s="46" t="str">
        <f>HYPERLINK("https://au.indeed.com/viewjob?from=iaBackPress&amp;jk=d69bce7a8d7e8fea&amp;vjs=3","Senior Project Engineer - (Seven Hills)")</f>
        <v>Senior Project Engineer - (Seven Hills)</v>
      </c>
      <c r="D43" s="45" t="s">
        <v>195</v>
      </c>
      <c r="E43" s="48">
        <v>44186.581701388888</v>
      </c>
      <c r="F43" s="45" t="s">
        <v>164</v>
      </c>
    </row>
    <row r="44" spans="1:6" ht="14.25">
      <c r="A44" s="45"/>
      <c r="B44" s="45" t="s">
        <v>176</v>
      </c>
      <c r="C44" s="46" t="str">
        <f>HYPERLINK("https://au.indeed.com/viewjob?from=iaBackPress&amp;jk=3eea48da5b3614c8&amp;vjs=3","Project engineer")</f>
        <v>Project engineer</v>
      </c>
      <c r="D44" s="45" t="s">
        <v>201</v>
      </c>
      <c r="E44" s="48">
        <v>44186.582106481481</v>
      </c>
      <c r="F44" s="45" t="s">
        <v>164</v>
      </c>
    </row>
    <row r="45" spans="1:6" ht="14.25">
      <c r="A45" s="45"/>
      <c r="B45" s="45" t="s">
        <v>176</v>
      </c>
      <c r="C45" s="46" t="str">
        <f>HYPERLINK("https://au.indeed.com/viewjob?from=iaBackPress&amp;jk=1df1cac293aedb33&amp;vjs=3","Senior Project Engineer")</f>
        <v>Senior Project Engineer</v>
      </c>
      <c r="D45" s="45" t="s">
        <v>182</v>
      </c>
      <c r="E45" s="48">
        <v>44186.582511574074</v>
      </c>
      <c r="F45" s="45" t="s">
        <v>164</v>
      </c>
    </row>
    <row r="46" spans="1:6" ht="14.25">
      <c r="A46" s="45"/>
      <c r="B46" s="45" t="s">
        <v>176</v>
      </c>
      <c r="C46" s="46" t="str">
        <f>HYPERLINK("https://au.indeed.com/viewjob?from=iaBackPress&amp;jk=b642300cbb6f15b9&amp;vjs=3","Project Engineer - civil")</f>
        <v>Project Engineer - civil</v>
      </c>
      <c r="D46" s="45" t="s">
        <v>178</v>
      </c>
      <c r="E46" s="48">
        <v>44186.583067129628</v>
      </c>
      <c r="F46" s="45" t="s">
        <v>164</v>
      </c>
    </row>
    <row r="47" spans="1:6" ht="14.25">
      <c r="A47" s="45"/>
      <c r="B47" s="45" t="s">
        <v>202</v>
      </c>
      <c r="C47" s="46" t="str">
        <f>HYPERLINK("https://au.indeed.com/viewjob?from=iaBackPress&amp;jk=02edf59ddb1a3d78&amp;vjs=3","Senior Site Reliability Engineer - Storage")</f>
        <v>Senior Site Reliability Engineer - Storage</v>
      </c>
      <c r="D47" s="45" t="s">
        <v>203</v>
      </c>
      <c r="E47" s="48">
        <v>44186.58384259259</v>
      </c>
      <c r="F47" s="45" t="s">
        <v>164</v>
      </c>
    </row>
    <row r="48" spans="1:6" ht="14.25">
      <c r="A48" s="45"/>
      <c r="B48" s="45" t="s">
        <v>202</v>
      </c>
      <c r="C48" s="46" t="str">
        <f>HYPERLINK("https://au.indeed.com/viewjob?from=iaBackPress&amp;jk=31c3ba680bbcbe28&amp;vjs=3","Site Reliability Engineer")</f>
        <v>Site Reliability Engineer</v>
      </c>
      <c r="D48" s="45" t="s">
        <v>204</v>
      </c>
      <c r="E48" s="48">
        <v>44186.584803240738</v>
      </c>
      <c r="F48" s="45" t="s">
        <v>164</v>
      </c>
    </row>
    <row r="49" spans="1:6" ht="14.25">
      <c r="A49" s="45"/>
      <c r="B49" s="45" t="s">
        <v>202</v>
      </c>
      <c r="C49" s="46" t="str">
        <f>HYPERLINK("https://au.indeed.com/viewjob?from=iaBackPress&amp;jk=c9a5d49c9357af07&amp;vjs=3","Site Reliability Engineer - Endpoint Management")</f>
        <v>Site Reliability Engineer - Endpoint Management</v>
      </c>
      <c r="D49" s="45" t="s">
        <v>205</v>
      </c>
      <c r="E49" s="48">
        <v>44186.585231481484</v>
      </c>
      <c r="F49" s="45" t="s">
        <v>164</v>
      </c>
    </row>
    <row r="50" spans="1:6" ht="14.25">
      <c r="A50" s="45"/>
      <c r="B50" s="45" t="s">
        <v>202</v>
      </c>
      <c r="C50" s="46" t="str">
        <f>HYPERLINK("https://au.indeed.com/viewjob?from=iaBackPress&amp;jk=3da80f9020d632f3&amp;vjs=3","Senior Site Reliability Engineer - Endpoint Management Consultant")</f>
        <v>Senior Site Reliability Engineer - Endpoint Management Consultant</v>
      </c>
      <c r="D50" s="45" t="s">
        <v>205</v>
      </c>
      <c r="E50" s="48">
        <v>44186.586412037039</v>
      </c>
      <c r="F50" s="45" t="s">
        <v>164</v>
      </c>
    </row>
    <row r="51" spans="1:6" ht="14.25">
      <c r="A51" s="45"/>
      <c r="B51" s="45" t="s">
        <v>202</v>
      </c>
      <c r="C51" s="46" t="str">
        <f>HYPERLINK("https://au.indeed.com/viewjob?from=iaBackPress&amp;jk=f5b8921533ff29af&amp;vjs=3","Lead Site Reliability Engineer (SRE)")</f>
        <v>Lead Site Reliability Engineer (SRE)</v>
      </c>
      <c r="D51" s="45" t="s">
        <v>206</v>
      </c>
      <c r="E51" s="48">
        <v>44186.58697916667</v>
      </c>
      <c r="F51" s="45" t="s">
        <v>164</v>
      </c>
    </row>
    <row r="52" spans="1:6" ht="14.25">
      <c r="A52" s="45"/>
      <c r="B52" s="45" t="s">
        <v>202</v>
      </c>
      <c r="C52" s="46" t="str">
        <f>HYPERLINK("https://au.indeed.com/viewjob?from=iaBackPress&amp;jk=44605c6dcc39cac7&amp;vjs=3","Site Reliability Engineer | Python | 100% Remote")</f>
        <v>Site Reliability Engineer | Python | 100% Remote</v>
      </c>
      <c r="D52" s="45" t="s">
        <v>207</v>
      </c>
      <c r="E52" s="48">
        <v>44186.587766203702</v>
      </c>
      <c r="F52" s="45" t="s">
        <v>164</v>
      </c>
    </row>
    <row r="53" spans="1:6" ht="14.25">
      <c r="A53" s="45"/>
      <c r="B53" s="45" t="s">
        <v>202</v>
      </c>
      <c r="C53" s="46" t="str">
        <f>HYPERLINK("https://au.indeed.com/viewjob?from=iaBackPress&amp;jk=1e7c8ccdb950da6a&amp;vjs=3","SITE RELIABILITY ENGINEER / SENIOR SOFTWARE DEVELOPER ( PYTHON FOCUSED)")</f>
        <v>SITE RELIABILITY ENGINEER / SENIOR SOFTWARE DEVELOPER ( PYTHON FOCUSED)</v>
      </c>
      <c r="D53" s="45" t="s">
        <v>208</v>
      </c>
      <c r="E53" s="48">
        <v>44186.588240740741</v>
      </c>
      <c r="F53" s="45" t="s">
        <v>164</v>
      </c>
    </row>
    <row r="54" spans="1:6" ht="14.25">
      <c r="A54" s="45"/>
      <c r="B54" s="45" t="s">
        <v>209</v>
      </c>
      <c r="C54" s="46" t="str">
        <f>HYPERLINK("https://au.indeed.com/viewjob?from=iaBackPress&amp;jk=a9b8a748b30d1a73&amp;vjs=3","Services Engineer / Manager")</f>
        <v>Services Engineer / Manager</v>
      </c>
      <c r="D54" s="45" t="s">
        <v>210</v>
      </c>
      <c r="E54" s="48">
        <v>44186.588738425926</v>
      </c>
      <c r="F54" s="45" t="s">
        <v>164</v>
      </c>
    </row>
    <row r="55" spans="1:6" ht="14.25">
      <c r="A55" s="45"/>
      <c r="B55" s="45" t="s">
        <v>209</v>
      </c>
      <c r="C55" s="46" t="str">
        <f>HYPERLINK("https://au.indeed.com/viewjob?from=iaBackPress&amp;jk=a5c3625418ff39a4&amp;vjs=3","Senior Technical Services Engineer")</f>
        <v>Senior Technical Services Engineer</v>
      </c>
      <c r="D55" s="45" t="s">
        <v>211</v>
      </c>
      <c r="E55" s="48">
        <v>44186.589548611111</v>
      </c>
      <c r="F55" s="45" t="s">
        <v>164</v>
      </c>
    </row>
    <row r="56" spans="1:6" ht="14.25">
      <c r="A56" s="45"/>
      <c r="B56" s="45" t="s">
        <v>209</v>
      </c>
      <c r="C56" s="46" t="str">
        <f>HYPERLINK("https://au.indeed.com/viewjob?from=iaBackPress&amp;jk=961a18ea1c1639b5&amp;vjs=3","Fire Services Engineer")</f>
        <v>Fire Services Engineer</v>
      </c>
      <c r="D56" s="45" t="s">
        <v>212</v>
      </c>
      <c r="E56" s="48">
        <v>44186.590231481481</v>
      </c>
      <c r="F56" s="45" t="s">
        <v>164</v>
      </c>
    </row>
    <row r="57" spans="1:6" ht="14.25">
      <c r="A57" s="45"/>
      <c r="B57" s="45" t="s">
        <v>213</v>
      </c>
      <c r="C57" s="46" t="str">
        <f>HYPERLINK("https://au.indeed.com/viewjob?from=iaBackPress&amp;jk=9c1f2f1a96a2d84c&amp;vjs=3","Site Engineer")</f>
        <v>Site Engineer</v>
      </c>
      <c r="D57" s="45" t="s">
        <v>201</v>
      </c>
      <c r="E57" s="48">
        <v>44186.591145833336</v>
      </c>
      <c r="F57" s="45" t="s">
        <v>164</v>
      </c>
    </row>
    <row r="58" spans="1:6" ht="14.25">
      <c r="A58" s="45"/>
      <c r="B58" s="45" t="s">
        <v>213</v>
      </c>
      <c r="C58" s="46" t="str">
        <f>HYPERLINK("https://au.indeed.com/viewjob?from=iaBackPress&amp;jk=4c2d8cf0d15aca77&amp;vjs=3","Site Engineer")</f>
        <v>Site Engineer</v>
      </c>
      <c r="D58" s="45" t="s">
        <v>214</v>
      </c>
      <c r="E58" s="48">
        <v>44186.591886574075</v>
      </c>
      <c r="F58" s="45" t="s">
        <v>164</v>
      </c>
    </row>
    <row r="59" spans="1:6" ht="14.25">
      <c r="A59" s="45"/>
      <c r="B59" s="45" t="s">
        <v>213</v>
      </c>
      <c r="C59" s="46" t="str">
        <f>HYPERLINK("https://au.indeed.com/viewjob?from=iaBackPress&amp;jk=cf34d8548bedaf67&amp;vjs=3","Site Engineer")</f>
        <v>Site Engineer</v>
      </c>
      <c r="D59" s="45" t="s">
        <v>215</v>
      </c>
      <c r="E59" s="48">
        <v>44186.592326388891</v>
      </c>
      <c r="F59" s="45" t="s">
        <v>164</v>
      </c>
    </row>
    <row r="60" spans="1:6" ht="14.25">
      <c r="A60" s="45"/>
      <c r="B60" s="45" t="s">
        <v>213</v>
      </c>
      <c r="C60" s="46" t="str">
        <f>HYPERLINK("https://au.indeed.com/viewjob?from=iaBackPress&amp;jk=3716623003404439&amp;vjs=3","Site and Project Engineers | Civil | Western Sydney")</f>
        <v>Site and Project Engineers | Civil | Western Sydney</v>
      </c>
      <c r="D60" s="45" t="s">
        <v>200</v>
      </c>
      <c r="E60" s="48">
        <v>44186.592743055553</v>
      </c>
      <c r="F60" s="45" t="s">
        <v>164</v>
      </c>
    </row>
    <row r="61" spans="1:6" ht="14.25">
      <c r="A61" s="45"/>
      <c r="B61" s="45" t="s">
        <v>165</v>
      </c>
      <c r="C61" s="46" t="str">
        <f>HYPERLINK("https://au.indeed.com/viewjob?from=iaBackPress&amp;jk=e97553ec23fb1706&amp;vjs=3","Mechanical Engineer - Lead role")</f>
        <v>Mechanical Engineer - Lead role</v>
      </c>
      <c r="D61" s="45" t="s">
        <v>216</v>
      </c>
      <c r="E61" s="48">
        <v>44188.740706018521</v>
      </c>
      <c r="F61" s="45" t="s">
        <v>164</v>
      </c>
    </row>
    <row r="62" spans="1:6" ht="14.25">
      <c r="A62" s="45"/>
      <c r="B62" s="45" t="s">
        <v>217</v>
      </c>
      <c r="C62" s="46" t="str">
        <f>HYPERLINK("https://au.indeed.com/viewjob?from=iaBackPress&amp;jk=6b4bf03830e361fd&amp;vjs=3","Asset Engineer")</f>
        <v>Asset Engineer</v>
      </c>
      <c r="D62" s="45" t="s">
        <v>188</v>
      </c>
      <c r="E62" s="48">
        <v>44189.540347222224</v>
      </c>
      <c r="F62" s="45" t="s">
        <v>164</v>
      </c>
    </row>
    <row r="63" spans="1:6" ht="14.25">
      <c r="A63" s="45"/>
      <c r="B63" s="45" t="s">
        <v>162</v>
      </c>
      <c r="C63" s="46" t="str">
        <f>HYPERLINK("https://au.indeed.com/viewjob?from=iaBackPress&amp;jk=8b0082cbb4e6c25a&amp;vjs=3","Senior SAED Design Engineer")</f>
        <v>Senior SAED Design Engineer</v>
      </c>
      <c r="D63" s="45" t="s">
        <v>218</v>
      </c>
      <c r="E63" s="48">
        <v>44189.705694444441</v>
      </c>
      <c r="F63" s="45" t="s">
        <v>164</v>
      </c>
    </row>
    <row r="64" spans="1:6" ht="14.25">
      <c r="A64" s="45"/>
      <c r="B64" s="45" t="s">
        <v>162</v>
      </c>
      <c r="C64" s="46" t="str">
        <f>HYPERLINK("https://au.indeed.com/viewjob?from=iaBackPress&amp;jk=0511c6c669659e5e&amp;vjs=3","Civil Design Engineer")</f>
        <v>Civil Design Engineer</v>
      </c>
      <c r="D64" s="45" t="s">
        <v>219</v>
      </c>
      <c r="E64" s="48">
        <v>44189.706331018519</v>
      </c>
      <c r="F64" s="45" t="s">
        <v>164</v>
      </c>
    </row>
    <row r="65" spans="1:6" ht="14.25">
      <c r="A65" s="45"/>
      <c r="B65" s="45" t="s">
        <v>220</v>
      </c>
      <c r="C65" s="46" t="str">
        <f>HYPERLINK("https://au.indeed.com/viewjob?from=iaBackPress&amp;jk=082b6958466ca9aa&amp;vjs=3","Industrial Engineer")</f>
        <v>Industrial Engineer</v>
      </c>
      <c r="D65" s="45" t="s">
        <v>221</v>
      </c>
      <c r="E65" s="48">
        <v>44189.711284722223</v>
      </c>
      <c r="F65" s="45" t="s">
        <v>164</v>
      </c>
    </row>
    <row r="66" spans="1:6" ht="14.25">
      <c r="A66" s="45"/>
      <c r="B66" s="45" t="s">
        <v>167</v>
      </c>
      <c r="C66" s="46" t="str">
        <f>HYPERLINK("https://au.indeed.com/viewjob?from=iaBackPress&amp;jk=535f334bf6c0c641&amp;vjs=3","CT Senior Infrastructure Engineer")</f>
        <v>CT Senior Infrastructure Engineer</v>
      </c>
      <c r="D66" s="45" t="s">
        <v>222</v>
      </c>
      <c r="E66" s="48">
        <v>44189.71266203704</v>
      </c>
      <c r="F66" s="45" t="s">
        <v>164</v>
      </c>
    </row>
    <row r="67" spans="1:6" ht="14.25">
      <c r="A67" s="45"/>
      <c r="B67" s="45" t="s">
        <v>223</v>
      </c>
      <c r="C67" s="46" t="str">
        <f>HYPERLINK("https://au.indeed.com/viewjob?from=iaBackPress&amp;jk=d56ee77bb1dc0221&amp;vjs=3","Process Engineer")</f>
        <v>Process Engineer</v>
      </c>
      <c r="D67" s="45" t="s">
        <v>224</v>
      </c>
      <c r="E67" s="48">
        <v>44189.715162037035</v>
      </c>
      <c r="F67" s="45" t="s">
        <v>164</v>
      </c>
    </row>
    <row r="68" spans="1:6" ht="14.25">
      <c r="A68" s="45"/>
      <c r="B68" s="45" t="s">
        <v>223</v>
      </c>
      <c r="C68" s="46" t="str">
        <f>HYPERLINK("https://au.indeed.com/viewjob?from=iaBackPress&amp;jk=7dac59fb25933732&amp;vjs=3","Process Engineer")</f>
        <v>Process Engineer</v>
      </c>
      <c r="D68" s="45" t="s">
        <v>225</v>
      </c>
      <c r="E68" s="48">
        <v>44189.715601851851</v>
      </c>
      <c r="F68" s="45" t="s">
        <v>164</v>
      </c>
    </row>
    <row r="69" spans="1:6" ht="14.25">
      <c r="A69" s="45"/>
      <c r="B69" s="45" t="s">
        <v>192</v>
      </c>
      <c r="C69" s="46" t="str">
        <f>HYPERLINK("https://au.indeed.com/viewjob?from=iaBackPress&amp;jk=d57d405724da108f&amp;vjs=3","Industrial Production Engineer")</f>
        <v>Industrial Production Engineer</v>
      </c>
      <c r="D69" s="45" t="s">
        <v>226</v>
      </c>
      <c r="E69" s="48">
        <v>44189.716331018521</v>
      </c>
      <c r="F69" s="45" t="s">
        <v>164</v>
      </c>
    </row>
    <row r="70" spans="1:6" ht="14.25">
      <c r="A70" s="45"/>
      <c r="B70" s="45" t="s">
        <v>176</v>
      </c>
      <c r="C70" s="46" t="str">
        <f>HYPERLINK("https://au.indeed.com/viewjob?from=iaBackPress&amp;jk=36634744cbf1abfe&amp;vjs=3","Project Engineer - Water Infrastructure")</f>
        <v>Project Engineer - Water Infrastructure</v>
      </c>
      <c r="D70" s="45" t="s">
        <v>227</v>
      </c>
      <c r="E70" s="48">
        <v>44189.717141203706</v>
      </c>
      <c r="F70" s="45" t="s">
        <v>164</v>
      </c>
    </row>
    <row r="71" spans="1:6" ht="14.25">
      <c r="A71" s="45"/>
      <c r="B71" s="45" t="s">
        <v>202</v>
      </c>
      <c r="C71" s="46" t="str">
        <f>HYPERLINK("https://au.indeed.com/viewjob?from=iaBackPress&amp;jk=61a8c24d2c7b1e79&amp;vjs=3","Site Reliability Engineer")</f>
        <v>Site Reliability Engineer</v>
      </c>
      <c r="D71" s="45" t="s">
        <v>228</v>
      </c>
      <c r="E71" s="48">
        <v>44189.726458333331</v>
      </c>
      <c r="F71" s="45" t="s">
        <v>164</v>
      </c>
    </row>
    <row r="72" spans="1:6" ht="14.25">
      <c r="A72" s="45"/>
      <c r="B72" s="45" t="s">
        <v>213</v>
      </c>
      <c r="C72" s="46" t="str">
        <f>HYPERLINK("https://au.indeed.com/viewjob?from=iaBackPress&amp;jk=0c394fdc12c06e90&amp;vjs=3","Contracts Administrator / Site Engineer")</f>
        <v>Contracts Administrator / Site Engineer</v>
      </c>
      <c r="D72" s="45" t="s">
        <v>229</v>
      </c>
      <c r="E72" s="48">
        <v>44189.730682870373</v>
      </c>
      <c r="F72" s="45" t="s">
        <v>164</v>
      </c>
    </row>
    <row r="73" spans="1:6" ht="14.25">
      <c r="A73" s="45"/>
      <c r="B73" s="45" t="s">
        <v>165</v>
      </c>
      <c r="C73" s="46" t="str">
        <f>HYPERLINK("https://au.indeed.com/viewjob?from=iaBackPress&amp;jk=8955ae96424cef68&amp;vjs=3","Mechanical Engineer | Mission Critical")</f>
        <v>Mechanical Engineer | Mission Critical</v>
      </c>
      <c r="D73" s="45" t="s">
        <v>230</v>
      </c>
      <c r="E73" s="47">
        <v>44202.361030092594</v>
      </c>
      <c r="F73" s="45" t="s">
        <v>164</v>
      </c>
    </row>
    <row r="74" spans="1:6" ht="14.25">
      <c r="A74" s="45"/>
      <c r="B74" s="45" t="s">
        <v>165</v>
      </c>
      <c r="C74" s="46" t="str">
        <f>HYPERLINK("https://au.indeed.com/viewjob?from=iaBackPress&amp;jk=08f72bf5afe14ac1&amp;vjs=3","Mechanical Engineer | Building Services")</f>
        <v>Mechanical Engineer | Building Services</v>
      </c>
      <c r="D74" s="45" t="s">
        <v>182</v>
      </c>
      <c r="E74" s="47">
        <v>44202.361875000002</v>
      </c>
      <c r="F74" s="45" t="s">
        <v>164</v>
      </c>
    </row>
    <row r="75" spans="1:6" ht="14.25">
      <c r="A75" s="45"/>
      <c r="B75" s="45" t="s">
        <v>165</v>
      </c>
      <c r="C75" s="46" t="str">
        <f>HYPERLINK("https://au.indeed.com/viewjob?from=iaBackPress&amp;jk=e357d022b60c27f7&amp;vjs=3","Senior Lead Mechanical Engineer")</f>
        <v>Senior Lead Mechanical Engineer</v>
      </c>
      <c r="D75" s="45" t="s">
        <v>174</v>
      </c>
      <c r="E75" s="47">
        <v>44202.362361111111</v>
      </c>
      <c r="F75" s="45" t="s">
        <v>164</v>
      </c>
    </row>
    <row r="76" spans="1:6" ht="14.25">
      <c r="A76" s="45"/>
      <c r="B76" s="45" t="s">
        <v>162</v>
      </c>
      <c r="C76" s="46" t="str">
        <f>HYPERLINK("https://au.indeed.com/viewjob?from=iaBackPress&amp;jk=af61a5dc3e4afc29&amp;vjs=3","Civil Design Engineer")</f>
        <v>Civil Design Engineer</v>
      </c>
      <c r="D76" s="45" t="s">
        <v>188</v>
      </c>
      <c r="E76" s="47">
        <v>44202.363668981481</v>
      </c>
      <c r="F76" s="45" t="s">
        <v>164</v>
      </c>
    </row>
    <row r="77" spans="1:6" ht="14.25">
      <c r="A77" s="45"/>
      <c r="B77" s="45" t="s">
        <v>162</v>
      </c>
      <c r="C77" s="46" t="str">
        <f>HYPERLINK("https://au.indeed.com/viewjob?from=iaBackPress&amp;jk=90b85e9797cbef29&amp;vjs=3","Mechanical Design Engineer")</f>
        <v>Mechanical Design Engineer</v>
      </c>
      <c r="D77" s="45" t="s">
        <v>231</v>
      </c>
      <c r="E77" s="47">
        <v>44202.364444444444</v>
      </c>
      <c r="F77" s="45" t="s">
        <v>164</v>
      </c>
    </row>
    <row r="78" spans="1:6" ht="14.25">
      <c r="A78" s="45"/>
      <c r="B78" s="45" t="s">
        <v>176</v>
      </c>
      <c r="C78" s="46" t="str">
        <f>HYPERLINK("https://au.indeed.com/viewjob?from=iaBackPress&amp;jk=3e5686c694d834ec&amp;vjs=3","Project Engineer (Defence)")</f>
        <v>Project Engineer (Defence)</v>
      </c>
      <c r="D78" s="45" t="s">
        <v>232</v>
      </c>
      <c r="E78" s="47">
        <v>44202.367858796293</v>
      </c>
      <c r="F78" s="45" t="s">
        <v>164</v>
      </c>
    </row>
    <row r="79" spans="1:6" ht="14.25">
      <c r="A79" s="45"/>
      <c r="B79" s="45" t="s">
        <v>176</v>
      </c>
      <c r="C79" s="46" t="str">
        <f>HYPERLINK("https://au.indeed.com/viewjob?from=iaBackPress&amp;jk=ea6982fd9db5f1ec&amp;vjs=3","Project Engineer")</f>
        <v>Project Engineer</v>
      </c>
      <c r="D79" s="45" t="s">
        <v>233</v>
      </c>
      <c r="E79" s="47">
        <v>44202.368321759262</v>
      </c>
      <c r="F79" s="45" t="s">
        <v>164</v>
      </c>
    </row>
    <row r="80" spans="1:6" ht="14.25">
      <c r="A80" s="45"/>
      <c r="B80" s="45" t="s">
        <v>165</v>
      </c>
      <c r="C80" s="46" t="str">
        <f>HYPERLINK("https://au.indeed.com/viewjob?from=iaBackPress&amp;jk=d01888f334a8de3f&amp;vjs=3","Mechanical Engineer")</f>
        <v>Mechanical Engineer</v>
      </c>
      <c r="D80" s="45" t="s">
        <v>234</v>
      </c>
      <c r="E80" s="47">
        <v>44209.724456018521</v>
      </c>
      <c r="F80" s="45" t="s">
        <v>164</v>
      </c>
    </row>
    <row r="81" spans="1:6" ht="14.25">
      <c r="A81" s="45"/>
      <c r="B81" s="45" t="s">
        <v>165</v>
      </c>
      <c r="C81" s="46" t="str">
        <f>HYPERLINK("https://au.indeed.com/viewjob?from=iaBackPress&amp;jk=e7a8d09dba9d088f&amp;vjs=3","Senior Lead Mechanical Engineer")</f>
        <v>Senior Lead Mechanical Engineer</v>
      </c>
      <c r="D81" s="45" t="s">
        <v>174</v>
      </c>
      <c r="E81" s="47">
        <v>44209.72483796296</v>
      </c>
      <c r="F81" s="45" t="s">
        <v>164</v>
      </c>
    </row>
    <row r="82" spans="1:6" ht="14.25">
      <c r="A82" s="45"/>
      <c r="B82" s="45" t="s">
        <v>165</v>
      </c>
      <c r="C82" s="46" t="str">
        <f>HYPERLINK("https://au.indeed.com/viewjob?from=iaBackPress&amp;jk=fe430dfde63944f1&amp;vjs=3","Senior / Associate Mechanical Engineer")</f>
        <v>Senior / Associate Mechanical Engineer</v>
      </c>
      <c r="D82" s="45" t="s">
        <v>212</v>
      </c>
      <c r="E82" s="47">
        <v>44209.729699074072</v>
      </c>
      <c r="F82" s="45" t="s">
        <v>164</v>
      </c>
    </row>
    <row r="83" spans="1:6" ht="14.25">
      <c r="A83" s="45"/>
      <c r="B83" s="45" t="s">
        <v>165</v>
      </c>
      <c r="C83" s="46" t="str">
        <f>HYPERLINK("https://au.indeed.com/viewjob?from=iaBackPress&amp;jk=3b14489d9d923ddf&amp;vjs=3","Senior Mechanical Commissioning Engineer")</f>
        <v>Senior Mechanical Commissioning Engineer</v>
      </c>
      <c r="D83" s="45" t="s">
        <v>174</v>
      </c>
      <c r="E83" s="47">
        <v>44209.730127314811</v>
      </c>
      <c r="F83" s="45" t="s">
        <v>164</v>
      </c>
    </row>
    <row r="84" spans="1:6" ht="14.25">
      <c r="A84" s="45"/>
      <c r="B84" s="45" t="s">
        <v>235</v>
      </c>
      <c r="C84" s="46" t="str">
        <f>HYPERLINK("https://au.indeed.com/viewjob?from=iaBackPress&amp;jk=921a7a7aecb321bb&amp;vjs=3","Electronics Engineer")</f>
        <v>Electronics Engineer</v>
      </c>
      <c r="D84" s="46" t="s">
        <v>236</v>
      </c>
      <c r="E84" s="47">
        <v>44209.730891203704</v>
      </c>
      <c r="F84" s="45" t="s">
        <v>237</v>
      </c>
    </row>
    <row r="85" spans="1:6" ht="14.25">
      <c r="A85" s="45"/>
      <c r="B85" s="45" t="s">
        <v>235</v>
      </c>
      <c r="C85" s="46" t="str">
        <f>HYPERLINK("https://au.indeed.com/viewjob?from=iaBackPress&amp;jk=711e9c2e98a9fe05&amp;vjs=3","Electronics Design Engineer")</f>
        <v>Electronics Design Engineer</v>
      </c>
      <c r="D85" s="45" t="s">
        <v>238</v>
      </c>
      <c r="E85" s="47">
        <v>44209.73128472222</v>
      </c>
      <c r="F85" s="45" t="s">
        <v>237</v>
      </c>
    </row>
    <row r="86" spans="1:6" ht="14.25">
      <c r="A86" s="45"/>
      <c r="B86" s="45" t="s">
        <v>165</v>
      </c>
      <c r="C86" s="46" t="str">
        <f>HYPERLINK("https://au.indeed.com/viewjob?from=iaBackPress&amp;jk=e6ec9dbf9e92370c&amp;vjs=3","Electrical / Mechanical - Service Engineer")</f>
        <v>Electrical / Mechanical - Service Engineer</v>
      </c>
      <c r="D86" s="45" t="s">
        <v>239</v>
      </c>
      <c r="E86" s="47">
        <v>44209.731446759259</v>
      </c>
      <c r="F86" s="45" t="s">
        <v>164</v>
      </c>
    </row>
    <row r="87" spans="1:6" ht="14.25">
      <c r="A87" s="45"/>
      <c r="B87" s="45" t="s">
        <v>235</v>
      </c>
      <c r="C87" s="46" t="str">
        <f>HYPERLINK("https://au.indeed.com/viewjob?from=iaBackPress&amp;jk=1668d2c50b0d6ccb&amp;vjs=3","Electronics/Software Engineer")</f>
        <v>Electronics/Software Engineer</v>
      </c>
      <c r="D87" s="45" t="s">
        <v>240</v>
      </c>
      <c r="E87" s="47">
        <v>44209.731689814813</v>
      </c>
      <c r="F87" s="45" t="s">
        <v>237</v>
      </c>
    </row>
    <row r="88" spans="1:6" ht="14.25">
      <c r="A88" s="45"/>
      <c r="B88" s="45" t="s">
        <v>165</v>
      </c>
      <c r="C88" s="46" t="str">
        <f>HYPERLINK("https://au.indeed.com/viewjob?from=iaBackPress&amp;jk=07467dbe2737ed3c&amp;vjs=3","Mechanical Design Engineer")</f>
        <v>Mechanical Design Engineer</v>
      </c>
      <c r="D88" s="45" t="s">
        <v>241</v>
      </c>
      <c r="E88" s="47">
        <v>44209.731874999998</v>
      </c>
      <c r="F88" s="45" t="s">
        <v>164</v>
      </c>
    </row>
    <row r="89" spans="1:6" ht="14.25">
      <c r="A89" s="45"/>
      <c r="B89" s="45" t="s">
        <v>165</v>
      </c>
      <c r="C89" s="46" t="str">
        <f>HYPERLINK("https://au.indeed.com/viewjob?from=iaBackPress&amp;jk=cb4749132521326f&amp;vjs=3","Mechanical Engineer")</f>
        <v>Mechanical Engineer</v>
      </c>
      <c r="D89" s="45" t="s">
        <v>242</v>
      </c>
      <c r="E89" s="47">
        <v>44209.732407407406</v>
      </c>
      <c r="F89" s="45" t="s">
        <v>164</v>
      </c>
    </row>
    <row r="90" spans="1:6" ht="14.25">
      <c r="A90" s="45"/>
      <c r="B90" s="45" t="s">
        <v>243</v>
      </c>
      <c r="C90" s="46" t="str">
        <f>HYPERLINK("https://au.indeed.com/viewjob?from=iaBackPress&amp;jk=b187eb3b6367db01&amp;vjs=3","Test Engineer - Automation")</f>
        <v>Test Engineer - Automation</v>
      </c>
      <c r="D90" s="45" t="s">
        <v>244</v>
      </c>
      <c r="E90" s="47">
        <v>44209.732812499999</v>
      </c>
      <c r="F90" s="45" t="s">
        <v>237</v>
      </c>
    </row>
    <row r="91" spans="1:6" ht="14.25">
      <c r="A91" s="45"/>
      <c r="B91" s="45" t="s">
        <v>165</v>
      </c>
      <c r="C91" s="46" t="str">
        <f>HYPERLINK("https://au.indeed.com/viewjob?from=iaBackPress&amp;jk=43d414c3a7348e52&amp;vjs=3","Mechanical/Electrical Engineer Full-Time")</f>
        <v>Mechanical/Electrical Engineer Full-Time</v>
      </c>
      <c r="D91" s="45" t="s">
        <v>245</v>
      </c>
      <c r="E91" s="47">
        <v>44209.733240740738</v>
      </c>
      <c r="F91" s="45" t="s">
        <v>164</v>
      </c>
    </row>
    <row r="92" spans="1:6" ht="14.25">
      <c r="A92" s="45"/>
      <c r="B92" s="45" t="s">
        <v>246</v>
      </c>
      <c r="C92" s="46" t="str">
        <f>HYPERLINK("https://au.indeed.com/viewjob?from=iaBackPress&amp;jk=16c3709a0cc24c7b&amp;vjs=3","Automation Test Analyst | Contract role")</f>
        <v>Automation Test Analyst | Contract role</v>
      </c>
      <c r="D92" s="45" t="s">
        <v>247</v>
      </c>
      <c r="E92" s="47">
        <v>44209.733541666668</v>
      </c>
      <c r="F92" s="45" t="s">
        <v>237</v>
      </c>
    </row>
    <row r="93" spans="1:6" ht="14.25">
      <c r="A93" s="45"/>
      <c r="B93" s="45" t="s">
        <v>246</v>
      </c>
      <c r="C93" s="46" t="str">
        <f>HYPERLINK("https://au.indeed.com/viewjob?from=iaBackPress&amp;jk=52c78b2664b30ee1&amp;vjs=3","Automation/Functional Test Analyst")</f>
        <v>Automation/Functional Test Analyst</v>
      </c>
      <c r="D93" s="45" t="s">
        <v>248</v>
      </c>
      <c r="E93" s="47">
        <v>44209.733946759261</v>
      </c>
      <c r="F93" s="45" t="s">
        <v>237</v>
      </c>
    </row>
    <row r="94" spans="1:6" ht="14.25">
      <c r="A94" s="45"/>
      <c r="B94" s="45" t="s">
        <v>246</v>
      </c>
      <c r="C94" s="46" t="str">
        <f>HYPERLINK("https://au.indeed.com/viewjob?from=iaBackPress&amp;jk=eadac00d670081e8&amp;vjs=3","Automation Test Analyst")</f>
        <v>Automation Test Analyst</v>
      </c>
      <c r="D94" s="45" t="s">
        <v>244</v>
      </c>
      <c r="E94" s="47">
        <v>44209.734571759262</v>
      </c>
      <c r="F94" s="45" t="s">
        <v>237</v>
      </c>
    </row>
    <row r="95" spans="1:6" ht="14.25">
      <c r="A95" s="45"/>
      <c r="B95" s="45" t="s">
        <v>249</v>
      </c>
      <c r="C95" s="46" t="str">
        <f>HYPERLINK("https://au.indeed.com/viewjob?from=iaBackPress&amp;jk=b65843b9611a2bc2&amp;vjs=3","Instrumentation Control Communication Engineer")</f>
        <v>Instrumentation Control Communication Engineer</v>
      </c>
      <c r="D95" s="45" t="s">
        <v>182</v>
      </c>
      <c r="E95" s="47">
        <v>44209.735949074071</v>
      </c>
      <c r="F95" s="45" t="s">
        <v>237</v>
      </c>
    </row>
    <row r="96" spans="1:6" ht="14.25">
      <c r="A96" s="45"/>
      <c r="B96" s="45" t="s">
        <v>165</v>
      </c>
      <c r="C96" s="46" t="str">
        <f>HYPERLINK("https://au.indeed.com/viewjob?from=iaBackPress&amp;jk=19d57a0b64a6fb49&amp;vjs=3","Senior Mechanical Engineer")</f>
        <v>Senior Mechanical Engineer</v>
      </c>
      <c r="D96" s="45" t="s">
        <v>212</v>
      </c>
      <c r="E96" s="47">
        <v>44209.735983796294</v>
      </c>
      <c r="F96" s="45" t="s">
        <v>164</v>
      </c>
    </row>
    <row r="97" spans="1:6" ht="14.25">
      <c r="A97" s="45"/>
      <c r="B97" s="45" t="s">
        <v>165</v>
      </c>
      <c r="C97" s="46" t="str">
        <f>HYPERLINK("https://au.indeed.com/viewjob?from=iaBackPress&amp;jk=6a1090073c60b239&amp;vjs=3","Principal Mechanical Engineer")</f>
        <v>Principal Mechanical Engineer</v>
      </c>
      <c r="D97" s="45" t="s">
        <v>250</v>
      </c>
      <c r="E97" s="47">
        <v>44209.736435185187</v>
      </c>
      <c r="F97" s="45" t="s">
        <v>164</v>
      </c>
    </row>
    <row r="98" spans="1:6" ht="14.25">
      <c r="A98" s="45"/>
      <c r="B98" s="45" t="s">
        <v>249</v>
      </c>
      <c r="C98" s="46" t="str">
        <f>HYPERLINK("https://au.indeed.com/viewjob?from=iaBackPress&amp;jk=bf6dc123ce57218c&amp;vjs=3","Controls Engineer")</f>
        <v>Controls Engineer</v>
      </c>
      <c r="D98" s="45" t="s">
        <v>251</v>
      </c>
      <c r="E98" s="47">
        <v>44209.736481481479</v>
      </c>
      <c r="F98" s="45" t="s">
        <v>237</v>
      </c>
    </row>
    <row r="99" spans="1:6" ht="14.25">
      <c r="A99" s="45"/>
      <c r="B99" s="45" t="s">
        <v>249</v>
      </c>
      <c r="C99" s="46" t="str">
        <f>HYPERLINK("https://au.indeed.com/viewjob?from=iaBackPress&amp;jk=ab54e532bcbb586c&amp;vjs=3","Control Systems Engineer")</f>
        <v>Control Systems Engineer</v>
      </c>
      <c r="D99" s="45" t="s">
        <v>252</v>
      </c>
      <c r="E99" s="47">
        <v>44209.737118055556</v>
      </c>
      <c r="F99" s="45" t="s">
        <v>237</v>
      </c>
    </row>
    <row r="100" spans="1:6" ht="14.25">
      <c r="A100" s="45"/>
      <c r="B100" s="45" t="s">
        <v>165</v>
      </c>
      <c r="C100" s="46" t="str">
        <f>HYPERLINK("https://au.indeed.com/viewjob?from=iaBackPress&amp;jk=ca4c2fa2b13eba84&amp;vjs=3","Building Services Engineers - Mechanical, Electrical, Hydraulic, Fire and ESD.")</f>
        <v>Building Services Engineers - Mechanical, Electrical, Hydraulic, Fire and ESD.</v>
      </c>
      <c r="D100" s="45" t="s">
        <v>250</v>
      </c>
      <c r="E100" s="47">
        <v>44209.737337962964</v>
      </c>
      <c r="F100" s="45" t="s">
        <v>164</v>
      </c>
    </row>
    <row r="101" spans="1:6" ht="14.25">
      <c r="A101" s="45"/>
      <c r="B101" s="45" t="s">
        <v>217</v>
      </c>
      <c r="C101" s="46" t="str">
        <f>HYPERLINK("https://au.indeed.com/viewjob?from=iaBackPress&amp;jk=6dae6e750e1b4917&amp;vjs=3","Graduate Asset Engineer")</f>
        <v>Graduate Asset Engineer</v>
      </c>
      <c r="D101" s="45" t="s">
        <v>185</v>
      </c>
      <c r="E101" s="47">
        <v>44209.737766203703</v>
      </c>
      <c r="F101" s="45" t="s">
        <v>164</v>
      </c>
    </row>
    <row r="102" spans="1:6" ht="14.25">
      <c r="A102" s="45"/>
      <c r="B102" s="45" t="s">
        <v>217</v>
      </c>
      <c r="C102" s="46" t="str">
        <f>HYPERLINK("https://au.indeed.com/viewjob?from=iaBackPress&amp;jk=b43a9c10fe7763f5&amp;vjs=3","Senior Structural Engineer | Asset Management| Sydney CBD")</f>
        <v>Senior Structural Engineer | Asset Management| Sydney CBD</v>
      </c>
      <c r="D102" s="45" t="s">
        <v>253</v>
      </c>
      <c r="E102" s="47">
        <v>44209.738182870373</v>
      </c>
      <c r="F102" s="45" t="s">
        <v>164</v>
      </c>
    </row>
    <row r="103" spans="1:6" ht="14.25">
      <c r="A103" s="45"/>
      <c r="B103" s="45" t="s">
        <v>249</v>
      </c>
      <c r="C103" s="46" t="str">
        <f>HYPERLINK("https://au.indeed.com/viewjob?from=iaBackPress&amp;jk=85294c7d682f3a72&amp;vjs=3","Instrumentation &amp; Control Engineer")</f>
        <v>Instrumentation &amp; Control Engineer</v>
      </c>
      <c r="D103" s="45" t="s">
        <v>251</v>
      </c>
      <c r="E103" s="47">
        <v>44209.73878472222</v>
      </c>
      <c r="F103" s="45" t="s">
        <v>237</v>
      </c>
    </row>
    <row r="104" spans="1:6" ht="14.25">
      <c r="A104" s="45"/>
      <c r="B104" s="45" t="s">
        <v>162</v>
      </c>
      <c r="C104" s="46" t="str">
        <f>HYPERLINK("https://au.indeed.com/viewjob?from=iaBackPress&amp;jk=43cc0a961fa07a80&amp;vjs=3","Product Design Engineer")</f>
        <v>Product Design Engineer</v>
      </c>
      <c r="D104" s="45" t="s">
        <v>254</v>
      </c>
      <c r="E104" s="47">
        <v>44209.739907407406</v>
      </c>
      <c r="F104" s="45" t="s">
        <v>164</v>
      </c>
    </row>
    <row r="105" spans="1:6" ht="14.25">
      <c r="A105" s="45"/>
      <c r="B105" s="45" t="s">
        <v>255</v>
      </c>
      <c r="C105" s="46" t="str">
        <f>HYPERLINK("https://au.indeed.com/viewjob?from=iaBackPress&amp;jk=8142319785eec889&amp;vjs=3","Electrical Engineer")</f>
        <v>Electrical Engineer</v>
      </c>
      <c r="D105" s="45" t="s">
        <v>256</v>
      </c>
      <c r="E105" s="47">
        <v>44209.740682870368</v>
      </c>
      <c r="F105" s="45" t="s">
        <v>237</v>
      </c>
    </row>
    <row r="106" spans="1:6" ht="14.25">
      <c r="A106" s="45"/>
      <c r="B106" s="45" t="s">
        <v>162</v>
      </c>
      <c r="C106" s="46" t="str">
        <f>HYPERLINK("https://au.indeed.com/viewjob?from=iaBackPress&amp;jk=354c690b8d654423&amp;vjs=3","Hydraulic Design Engineer")</f>
        <v>Hydraulic Design Engineer</v>
      </c>
      <c r="D106" s="45" t="s">
        <v>250</v>
      </c>
      <c r="E106" s="47">
        <v>44209.740879629629</v>
      </c>
      <c r="F106" s="45" t="s">
        <v>164</v>
      </c>
    </row>
    <row r="107" spans="1:6" ht="14.25">
      <c r="A107" s="45"/>
      <c r="B107" s="45" t="s">
        <v>162</v>
      </c>
      <c r="C107" s="46" t="str">
        <f>HYPERLINK("https://au.indeed.com/viewjob?from=iaBackPress&amp;jk=25ca2e021970a7fc&amp;vjs=3","Structural Design Engineers - Buildings &amp; Bridges - Perth Based")</f>
        <v>Structural Design Engineers - Buildings &amp; Bridges - Perth Based</v>
      </c>
      <c r="D107" s="45" t="s">
        <v>257</v>
      </c>
      <c r="E107" s="47">
        <v>44209.742222222223</v>
      </c>
      <c r="F107" s="45" t="s">
        <v>164</v>
      </c>
    </row>
    <row r="108" spans="1:6" ht="14.25">
      <c r="A108" s="45"/>
      <c r="B108" s="45" t="s">
        <v>162</v>
      </c>
      <c r="C108" s="46" t="str">
        <f>HYPERLINK("https://au.indeed.com/viewjob?from=iaBackPress&amp;jk=f39733eececb8f0b&amp;vjs=3","Engineer - HVAC Projects &amp; Design")</f>
        <v>Engineer - HVAC Projects &amp; Design</v>
      </c>
      <c r="D108" s="45" t="s">
        <v>258</v>
      </c>
      <c r="E108" s="47">
        <v>44209.742777777778</v>
      </c>
      <c r="F108" s="45" t="s">
        <v>164</v>
      </c>
    </row>
    <row r="109" spans="1:6" ht="14.25">
      <c r="A109" s="45"/>
      <c r="B109" s="45" t="s">
        <v>255</v>
      </c>
      <c r="C109" s="46" t="str">
        <f>HYPERLINK("https://au.indeed.com/viewjob?from=iaBackPress&amp;jk=1617872ca4f903c6&amp;vjs=3","Graduate Electrical Engineer")</f>
        <v>Graduate Electrical Engineer</v>
      </c>
      <c r="D109" s="45" t="s">
        <v>259</v>
      </c>
      <c r="E109" s="47">
        <v>44209.743425925924</v>
      </c>
      <c r="F109" s="45" t="s">
        <v>237</v>
      </c>
    </row>
    <row r="110" spans="1:6" ht="14.25">
      <c r="A110" s="45"/>
      <c r="B110" s="45" t="s">
        <v>162</v>
      </c>
      <c r="C110" s="46" t="str">
        <f>HYPERLINK("https://au.indeed.com/viewjob?from=iaBackPress&amp;jk=a181559b1bc7d826&amp;vjs=3","Formwork Design Engineer")</f>
        <v>Formwork Design Engineer</v>
      </c>
      <c r="D110" s="45" t="s">
        <v>260</v>
      </c>
      <c r="E110" s="47">
        <v>44209.743576388886</v>
      </c>
      <c r="F110" s="45" t="s">
        <v>164</v>
      </c>
    </row>
    <row r="111" spans="1:6" ht="14.25">
      <c r="A111" s="45"/>
      <c r="B111" s="45" t="s">
        <v>162</v>
      </c>
      <c r="C111" s="46" t="str">
        <f>HYPERLINK("https://au.indeed.com/viewjob?from=iaBackPress&amp;jk=73aa6bd2556fce51&amp;vjs=3","Hydraulic Design Engineer")</f>
        <v>Hydraulic Design Engineer</v>
      </c>
      <c r="D111" s="45" t="s">
        <v>250</v>
      </c>
      <c r="E111" s="47">
        <v>44209.744166666664</v>
      </c>
      <c r="F111" s="45" t="s">
        <v>164</v>
      </c>
    </row>
    <row r="112" spans="1:6" ht="14.25">
      <c r="A112" s="45"/>
      <c r="B112" s="45" t="s">
        <v>255</v>
      </c>
      <c r="C112" s="46" t="str">
        <f>HYPERLINK("https://au.indeed.com/viewjob?from=iaBackPress&amp;jk=ccb524ddbe23cb84&amp;vjs=3","Electrical Engineer - Power Station Experience")</f>
        <v>Electrical Engineer - Power Station Experience</v>
      </c>
      <c r="D112" s="45" t="s">
        <v>261</v>
      </c>
      <c r="E112" s="47">
        <v>44209.744895833333</v>
      </c>
      <c r="F112" s="45" t="s">
        <v>237</v>
      </c>
    </row>
    <row r="113" spans="1:6" ht="14.25">
      <c r="A113" s="45"/>
      <c r="B113" s="45" t="s">
        <v>255</v>
      </c>
      <c r="C113" s="46" t="str">
        <f>HYPERLINK("https://au.indeed.com/viewjob?from=iaBackPress&amp;jk=6a2123e96ee1f40d&amp;vjs=3","Electrical Engineer – Building services")</f>
        <v>Electrical Engineer – Building services</v>
      </c>
      <c r="D113" s="45" t="s">
        <v>262</v>
      </c>
      <c r="E113" s="47">
        <v>44209.745694444442</v>
      </c>
      <c r="F113" s="45" t="s">
        <v>237</v>
      </c>
    </row>
    <row r="114" spans="1:6" ht="14.25">
      <c r="A114" s="45"/>
      <c r="B114" s="45" t="s">
        <v>255</v>
      </c>
      <c r="C114" s="46" t="str">
        <f>HYPERLINK("https://au.indeed.com/viewjob?from=iaBackPress&amp;jk=18d598b10107b493&amp;vjs=3","Electrical Engineer (Project Engineering)")</f>
        <v>Electrical Engineer (Project Engineering)</v>
      </c>
      <c r="D114" s="45" t="s">
        <v>252</v>
      </c>
      <c r="E114" s="47">
        <v>44209.747060185182</v>
      </c>
      <c r="F114" s="45" t="s">
        <v>237</v>
      </c>
    </row>
    <row r="115" spans="1:6" ht="14.25">
      <c r="A115" s="45"/>
      <c r="B115" s="45" t="s">
        <v>162</v>
      </c>
      <c r="C115" s="46" t="str">
        <f>HYPERLINK("https://au.indeed.com/viewjob?from=iaBackPress&amp;jk=af339c5783dc660c&amp;vjs=3","Senior UI Design Technologist/Design Systems Engineer")</f>
        <v>Senior UI Design Technologist/Design Systems Engineer</v>
      </c>
      <c r="D115" s="45" t="s">
        <v>263</v>
      </c>
      <c r="E115" s="47">
        <v>44209.748078703706</v>
      </c>
      <c r="F115" s="45" t="s">
        <v>164</v>
      </c>
    </row>
    <row r="116" spans="1:6" ht="14.25">
      <c r="A116" s="45"/>
      <c r="B116" s="45" t="s">
        <v>223</v>
      </c>
      <c r="C116" s="46" t="str">
        <f>HYPERLINK("https://au.indeed.com/viewjob?from=iaBackPress&amp;jk=4c3872007ac9717f&amp;vjs=3","Lead Process Engineer | Optimize Group")</f>
        <v>Lead Process Engineer | Optimize Group</v>
      </c>
      <c r="D116" s="45" t="s">
        <v>264</v>
      </c>
      <c r="E116" s="47">
        <v>44209.749340277776</v>
      </c>
      <c r="F116" s="45" t="s">
        <v>237</v>
      </c>
    </row>
    <row r="117" spans="1:6" ht="14.25">
      <c r="A117" s="45"/>
      <c r="B117" s="45" t="s">
        <v>223</v>
      </c>
      <c r="C117" s="46" t="str">
        <f>HYPERLINK("https://au.indeed.com/viewjob?from=iaBackPress&amp;jk=0cee3bc693a510dd&amp;vjs=3","Senior Risk &amp; Process Safety Engineer")</f>
        <v>Senior Risk &amp; Process Safety Engineer</v>
      </c>
      <c r="D117" s="45" t="s">
        <v>265</v>
      </c>
      <c r="E117" s="47">
        <v>44209.749768518515</v>
      </c>
      <c r="F117" s="45" t="s">
        <v>237</v>
      </c>
    </row>
    <row r="118" spans="1:6" ht="14.25">
      <c r="A118" s="45"/>
      <c r="B118" s="45" t="s">
        <v>223</v>
      </c>
      <c r="C118" s="46" t="str">
        <f>HYPERLINK("https://au.indeed.com/viewjob?from=iaBackPress&amp;jk=96bad66b08692756&amp;vjs=3","Principal Process Engineer")</f>
        <v>Principal Process Engineer</v>
      </c>
      <c r="D118" s="45" t="s">
        <v>182</v>
      </c>
      <c r="E118" s="47">
        <v>44209.750335648147</v>
      </c>
      <c r="F118" s="45" t="s">
        <v>237</v>
      </c>
    </row>
    <row r="119" spans="1:6" ht="14.25">
      <c r="A119" s="45"/>
      <c r="B119" s="45" t="s">
        <v>186</v>
      </c>
      <c r="C119" s="46" t="str">
        <f>HYPERLINK("https://au.indeed.com/viewjob?from=iaBackPress&amp;jk=9a95468a94c892fd&amp;vjs=3","Business Development Manager / Sales Engineer")</f>
        <v>Business Development Manager / Sales Engineer</v>
      </c>
      <c r="D119" s="45" t="s">
        <v>266</v>
      </c>
      <c r="E119" s="47">
        <v>44209.750925925924</v>
      </c>
      <c r="F119" s="45" t="s">
        <v>164</v>
      </c>
    </row>
    <row r="120" spans="1:6" ht="14.25">
      <c r="A120" s="45"/>
      <c r="B120" s="45" t="s">
        <v>176</v>
      </c>
      <c r="C120" s="46" t="str">
        <f>HYPERLINK("https://au.indeed.com/viewjob?from=iaBackPress&amp;jk=5bd43f7825ed346e&amp;vjs=3","Project Engineer")</f>
        <v>Project Engineer</v>
      </c>
      <c r="D120" s="45" t="s">
        <v>267</v>
      </c>
      <c r="E120" s="47">
        <v>44209.751400462963</v>
      </c>
      <c r="F120" s="45" t="s">
        <v>237</v>
      </c>
    </row>
    <row r="121" spans="1:6" ht="14.25">
      <c r="A121" s="45"/>
      <c r="B121" s="45" t="s">
        <v>176</v>
      </c>
      <c r="C121" s="46" t="str">
        <f>HYPERLINK("https://au.indeed.com/viewjob?from=iaBackPress&amp;jk=25c68852fc7be1ea&amp;vjs=3","Project Engineer")</f>
        <v>Project Engineer</v>
      </c>
      <c r="D121" s="45" t="s">
        <v>268</v>
      </c>
      <c r="E121" s="47">
        <v>44209.752118055556</v>
      </c>
      <c r="F121" s="45" t="s">
        <v>237</v>
      </c>
    </row>
    <row r="122" spans="1:6" ht="14.25">
      <c r="A122" s="45"/>
      <c r="B122" s="45" t="s">
        <v>186</v>
      </c>
      <c r="C122" s="46" t="str">
        <f>HYPERLINK("https://au.indeed.com/viewjob?from=iaBackPress&amp;jk=14be0c44cac6cd0d&amp;vjs=3","Systems Engineer - Automation | Application Development")</f>
        <v>Systems Engineer - Automation | Application Development</v>
      </c>
      <c r="D122" s="45" t="s">
        <v>269</v>
      </c>
      <c r="E122" s="47">
        <v>44209.752685185187</v>
      </c>
      <c r="F122" s="45" t="s">
        <v>164</v>
      </c>
    </row>
    <row r="123" spans="1:6" ht="14.25">
      <c r="A123" s="45"/>
      <c r="B123" s="45" t="s">
        <v>176</v>
      </c>
      <c r="C123" s="46" t="str">
        <f>HYPERLINK("https://au.indeed.com/viewjob?from=iaBackPress&amp;jk=f4ba9c7323b377ae&amp;vjs=3","Project Engineer")</f>
        <v>Project Engineer</v>
      </c>
      <c r="D123" s="45" t="s">
        <v>270</v>
      </c>
      <c r="E123" s="47">
        <v>44209.753159722219</v>
      </c>
      <c r="F123" s="45" t="s">
        <v>237</v>
      </c>
    </row>
    <row r="124" spans="1:6" ht="14.25">
      <c r="A124" s="45"/>
      <c r="B124" s="45" t="s">
        <v>176</v>
      </c>
      <c r="C124" s="46" t="str">
        <f>HYPERLINK("https://au.indeed.com/viewjob?from=iaBackPress&amp;jk=a46f636113b0760b&amp;vjs=3","Project Engineer - Solid Level 2/3 Support")</f>
        <v>Project Engineer - Solid Level 2/3 Support</v>
      </c>
      <c r="D124" s="45" t="s">
        <v>271</v>
      </c>
      <c r="E124" s="47">
        <v>44209.753912037035</v>
      </c>
      <c r="F124" s="45" t="s">
        <v>237</v>
      </c>
    </row>
    <row r="125" spans="1:6" ht="14.25">
      <c r="A125" s="45"/>
      <c r="B125" s="45" t="s">
        <v>167</v>
      </c>
      <c r="C125" s="46" t="str">
        <f>HYPERLINK("https://au.indeed.com/viewjob?from=iaBackPress&amp;jk=c1edf9b8d096b381&amp;vjs=3","Lead Infrastructure / DevOps Engineer - NFP Christian Organisation")</f>
        <v>Lead Infrastructure / DevOps Engineer - NFP Christian Organisation</v>
      </c>
      <c r="D125" s="45" t="s">
        <v>272</v>
      </c>
      <c r="E125" s="47">
        <v>44209.753981481481</v>
      </c>
      <c r="F125" s="45" t="s">
        <v>164</v>
      </c>
    </row>
    <row r="126" spans="1:6" ht="14.25">
      <c r="A126" s="45"/>
      <c r="B126" s="45" t="s">
        <v>167</v>
      </c>
      <c r="C126" s="46" t="str">
        <f>HYPERLINK("https://au.indeed.com/viewjob?from=iaBackPress&amp;jk=d0e371d2fa181f70&amp;vjs=3","Site Reliability Engineer, Infrastructure")</f>
        <v>Site Reliability Engineer, Infrastructure</v>
      </c>
      <c r="D126" s="45" t="s">
        <v>273</v>
      </c>
      <c r="E126" s="47">
        <v>44209.754513888889</v>
      </c>
      <c r="F126" s="45" t="s">
        <v>164</v>
      </c>
    </row>
    <row r="127" spans="1:6" ht="14.25">
      <c r="A127" s="45"/>
      <c r="B127" s="45" t="s">
        <v>167</v>
      </c>
      <c r="C127" s="46" t="str">
        <f>HYPERLINK("https://au.indeed.com/viewjob?from=iaBackPress&amp;jk=f4f130405e621c47&amp;vjs=3","Senior Infrastructure Engineer")</f>
        <v>Senior Infrastructure Engineer</v>
      </c>
      <c r="D127" s="45" t="s">
        <v>274</v>
      </c>
      <c r="E127" s="47">
        <v>44209.755057870374</v>
      </c>
      <c r="F127" s="45" t="s">
        <v>164</v>
      </c>
    </row>
    <row r="128" spans="1:6" ht="14.25">
      <c r="A128" s="45"/>
      <c r="B128" s="45" t="s">
        <v>176</v>
      </c>
      <c r="C128" s="46" t="str">
        <f>HYPERLINK("https://au.indeed.com/viewjob?from=iaBackPress&amp;jk=57f4ded89d0ced7e&amp;vjs=3","Project Engineer- Building")</f>
        <v>Project Engineer- Building</v>
      </c>
      <c r="D128" s="45" t="s">
        <v>177</v>
      </c>
      <c r="E128" s="47">
        <v>44209.755057870374</v>
      </c>
      <c r="F128" s="45" t="s">
        <v>237</v>
      </c>
    </row>
    <row r="129" spans="1:6" ht="14.25">
      <c r="A129" s="45"/>
      <c r="B129" s="45" t="s">
        <v>167</v>
      </c>
      <c r="C129" s="46" t="str">
        <f>HYPERLINK("https://au.indeed.com/viewjob?from=iaBackPress&amp;jk=4beb112c73c460a0&amp;vjs=3","DevOps Infrastructure Engineer")</f>
        <v>DevOps Infrastructure Engineer</v>
      </c>
      <c r="D129" s="45" t="s">
        <v>275</v>
      </c>
      <c r="E129" s="47">
        <v>44209.755520833336</v>
      </c>
      <c r="F129" s="45" t="s">
        <v>164</v>
      </c>
    </row>
    <row r="130" spans="1:6" ht="14.25">
      <c r="A130" s="45"/>
      <c r="B130" s="45" t="s">
        <v>176</v>
      </c>
      <c r="C130" s="46" t="str">
        <f>HYPERLINK("https://au.indeed.com/viewjob?from=iaBackPress&amp;jk=c38de0fbd26b718c&amp;vjs=3","Project Engineer (Mechanical) - Narangba")</f>
        <v>Project Engineer (Mechanical) - Narangba</v>
      </c>
      <c r="D130" s="45" t="s">
        <v>276</v>
      </c>
      <c r="E130" s="47">
        <v>44209.755648148152</v>
      </c>
      <c r="F130" s="45" t="s">
        <v>237</v>
      </c>
    </row>
    <row r="131" spans="1:6" ht="14.25">
      <c r="A131" s="45"/>
      <c r="B131" s="45" t="s">
        <v>176</v>
      </c>
      <c r="C131" s="46" t="str">
        <f>HYPERLINK("https://au.indeed.com/viewjob?from=iaBackPress&amp;jk=577cc24bb402e71f&amp;vjs=3","Project Engineer")</f>
        <v>Project Engineer</v>
      </c>
      <c r="D131" s="45" t="s">
        <v>270</v>
      </c>
      <c r="E131" s="47">
        <v>44209.756111111114</v>
      </c>
      <c r="F131" s="45" t="s">
        <v>237</v>
      </c>
    </row>
    <row r="132" spans="1:6" ht="14.25">
      <c r="A132" s="45"/>
      <c r="B132" s="45" t="s">
        <v>167</v>
      </c>
      <c r="C132" s="46" t="str">
        <f>HYPERLINK("https://au.indeed.com/viewjob?from=iaBackPress&amp;jk=73cae473b2a71861&amp;vjs=3","Senior Cloud Infrastructure Engineer")</f>
        <v>Senior Cloud Infrastructure Engineer</v>
      </c>
      <c r="D132" s="45" t="s">
        <v>277</v>
      </c>
      <c r="E132" s="47">
        <v>44209.756215277775</v>
      </c>
      <c r="F132" s="45" t="s">
        <v>164</v>
      </c>
    </row>
    <row r="133" spans="1:6" ht="14.25">
      <c r="A133" s="45"/>
      <c r="B133" s="45" t="s">
        <v>176</v>
      </c>
      <c r="C133" s="46" t="str">
        <f>HYPERLINK("https://au.indeed.com/viewjob?from=iaBackPress&amp;jk=608149440d06bb40&amp;vjs=3","PV Project Engineer")</f>
        <v>PV Project Engineer</v>
      </c>
      <c r="D133" s="45" t="s">
        <v>278</v>
      </c>
      <c r="E133" s="47">
        <v>44209.757326388892</v>
      </c>
      <c r="F133" s="45" t="s">
        <v>237</v>
      </c>
    </row>
    <row r="134" spans="1:6" ht="14.25">
      <c r="A134" s="45"/>
      <c r="B134" s="45" t="s">
        <v>167</v>
      </c>
      <c r="C134" s="46" t="str">
        <f>HYPERLINK("https://au.indeed.com/viewjob?from=iaBackPress&amp;jk=973405981a656b95&amp;vjs=3","IT Infrastructure &amp; Networks Engineer")</f>
        <v>IT Infrastructure &amp; Networks Engineer</v>
      </c>
      <c r="D134" s="45" t="s">
        <v>279</v>
      </c>
      <c r="E134" s="47">
        <v>44209.757430555554</v>
      </c>
      <c r="F134" s="45" t="s">
        <v>164</v>
      </c>
    </row>
    <row r="135" spans="1:6" ht="14.25">
      <c r="A135" s="45"/>
      <c r="B135" s="45" t="s">
        <v>167</v>
      </c>
      <c r="C135" s="46" t="str">
        <f>HYPERLINK("https://au.indeed.com/viewjob?from=iaBackPress&amp;jk=6e015e38243a6e9e&amp;vjs=3","Level 3 - System/Infrastructure Engineer")</f>
        <v>Level 3 - System/Infrastructure Engineer</v>
      </c>
      <c r="D135" s="45" t="s">
        <v>275</v>
      </c>
      <c r="E135" s="47">
        <v>44209.757893518516</v>
      </c>
      <c r="F135" s="45" t="s">
        <v>164</v>
      </c>
    </row>
    <row r="136" spans="1:6" ht="14.25">
      <c r="A136" s="45"/>
      <c r="B136" s="45" t="s">
        <v>167</v>
      </c>
      <c r="C136" s="46" t="str">
        <f>HYPERLINK("https://au.indeed.com/viewjob?from=iaBackPress&amp;jk=2e03be5a2e1ac20e&amp;vjs=3","Infrastructure Engineer")</f>
        <v>Infrastructure Engineer</v>
      </c>
      <c r="D136" s="45" t="s">
        <v>274</v>
      </c>
      <c r="E136" s="47">
        <v>44209.758391203701</v>
      </c>
      <c r="F136" s="45" t="s">
        <v>164</v>
      </c>
    </row>
    <row r="137" spans="1:6" ht="14.25">
      <c r="A137" s="45"/>
      <c r="B137" s="45" t="s">
        <v>167</v>
      </c>
      <c r="C137" s="46" t="str">
        <f>HYPERLINK("https://au.indeed.com/viewjob?from=iaBackPress&amp;jk=35c2928aa9cf920f&amp;vjs=3","Infrastructure Engineer")</f>
        <v>Infrastructure Engineer</v>
      </c>
      <c r="D137" s="45" t="s">
        <v>275</v>
      </c>
      <c r="E137" s="47">
        <v>44209.758831018517</v>
      </c>
      <c r="F137" s="45" t="s">
        <v>164</v>
      </c>
    </row>
    <row r="138" spans="1:6" ht="14.25">
      <c r="A138" s="45"/>
      <c r="B138" s="45" t="s">
        <v>176</v>
      </c>
      <c r="C138" s="46" t="str">
        <f>HYPERLINK("https://au.indeed.com/viewjob?from=iaBackPress&amp;jk=4498179ad9a1a54b&amp;vjs=3","Project Engineer - Roads")</f>
        <v>Project Engineer - Roads</v>
      </c>
      <c r="D138" s="45" t="s">
        <v>201</v>
      </c>
      <c r="E138" s="47">
        <v>44209.759120370371</v>
      </c>
      <c r="F138" s="45" t="s">
        <v>237</v>
      </c>
    </row>
    <row r="139" spans="1:6" ht="14.25">
      <c r="A139" s="45"/>
      <c r="B139" s="45" t="s">
        <v>167</v>
      </c>
      <c r="C139" s="46" t="str">
        <f>HYPERLINK("https://au.indeed.com/viewjob?from=iaBackPress&amp;jk=08fb4c02a8780c9e&amp;vjs=3","Infrastructure Security Engineer &amp; DevSecOps")</f>
        <v>Infrastructure Security Engineer &amp; DevSecOps</v>
      </c>
      <c r="D139" s="45" t="s">
        <v>274</v>
      </c>
      <c r="E139" s="47">
        <v>44209.759629629632</v>
      </c>
      <c r="F139" s="45" t="s">
        <v>164</v>
      </c>
    </row>
    <row r="140" spans="1:6" ht="14.25">
      <c r="A140" s="45"/>
      <c r="B140" s="45" t="s">
        <v>176</v>
      </c>
      <c r="C140" s="46" t="str">
        <f>HYPERLINK("https://au.indeed.com/viewjob?from=iaBackPress&amp;jk=22ad8a5e98b1cda2&amp;vjs=3","Project Engineer (Construction)")</f>
        <v>Project Engineer (Construction)</v>
      </c>
      <c r="D140" s="45" t="s">
        <v>280</v>
      </c>
      <c r="E140" s="47">
        <v>44209.759745370371</v>
      </c>
      <c r="F140" s="45" t="s">
        <v>237</v>
      </c>
    </row>
    <row r="141" spans="1:6" ht="14.25">
      <c r="A141" s="45"/>
      <c r="B141" s="45" t="s">
        <v>167</v>
      </c>
      <c r="C141" s="46" t="str">
        <f>HYPERLINK("https://au.indeed.com/viewjob?from=iaBackPress&amp;jk=9dd85bb23219e8fa&amp;vjs=3","Lead Civil Engineer/Section Lead - Urban Civil &amp; Infrastructure - Perth Based")</f>
        <v>Lead Civil Engineer/Section Lead - Urban Civil &amp; Infrastructure - Perth Based</v>
      </c>
      <c r="D141" s="45" t="s">
        <v>281</v>
      </c>
      <c r="E141" s="47">
        <v>44209.76054398148</v>
      </c>
      <c r="F141" s="45" t="s">
        <v>164</v>
      </c>
    </row>
    <row r="142" spans="1:6" ht="14.25">
      <c r="A142" s="45"/>
      <c r="B142" s="45" t="s">
        <v>176</v>
      </c>
      <c r="C142" s="46" t="str">
        <f>HYPERLINK("https://au.indeed.com/viewjob?from=iaBackPress&amp;jk=0cb1e55a14280a48&amp;vjs=3","Highway Engineer – Strong Project Portfolio")</f>
        <v>Highway Engineer – Strong Project Portfolio</v>
      </c>
      <c r="D142" s="45" t="s">
        <v>262</v>
      </c>
      <c r="E142" s="47">
        <v>44209.761041666665</v>
      </c>
      <c r="F142" s="45" t="s">
        <v>237</v>
      </c>
    </row>
    <row r="143" spans="1:6" ht="14.25">
      <c r="A143" s="45"/>
      <c r="B143" s="45" t="s">
        <v>167</v>
      </c>
      <c r="C143" s="46" t="str">
        <f>HYPERLINK("https://au.indeed.com/viewjob?from=iaBackPress&amp;jk=01551ac4c53b8dd7&amp;vjs=3","Site Engineer- Water Infrastructure - Sydney")</f>
        <v>Site Engineer- Water Infrastructure - Sydney</v>
      </c>
      <c r="D143" s="45" t="s">
        <v>282</v>
      </c>
      <c r="E143" s="47">
        <v>44209.761250000003</v>
      </c>
      <c r="F143" s="45" t="s">
        <v>164</v>
      </c>
    </row>
    <row r="144" spans="1:6" ht="14.25">
      <c r="A144" s="45"/>
      <c r="B144" s="45" t="s">
        <v>176</v>
      </c>
      <c r="C144" s="46" t="str">
        <f>HYPERLINK("https://au.indeed.com/viewjob?from=iaBackPress&amp;jk=cf25b457e34eeb87&amp;vjs=3","Mechanical Project Engineer")</f>
        <v>Mechanical Project Engineer</v>
      </c>
      <c r="D144" s="45" t="s">
        <v>283</v>
      </c>
      <c r="E144" s="47">
        <v>44209.761701388888</v>
      </c>
      <c r="F144" s="45" t="s">
        <v>237</v>
      </c>
    </row>
    <row r="145" spans="1:6" ht="14.25">
      <c r="A145" s="45"/>
      <c r="B145" s="45" t="s">
        <v>284</v>
      </c>
      <c r="C145" s="46" t="str">
        <f>HYPERLINK("https://au.indeed.com/viewjob?from=iaBackPress&amp;jk=56312d13c1c0bdc0&amp;vjs=3","Senior Mining Engineer")</f>
        <v>Senior Mining Engineer</v>
      </c>
      <c r="D145" s="45" t="s">
        <v>285</v>
      </c>
      <c r="E145" s="47">
        <v>44209.762638888889</v>
      </c>
      <c r="F145" s="45" t="s">
        <v>164</v>
      </c>
    </row>
    <row r="146" spans="1:6" ht="14.25">
      <c r="A146" s="45"/>
      <c r="B146" s="45" t="s">
        <v>176</v>
      </c>
      <c r="C146" s="46" t="str">
        <f>HYPERLINK("https://au.indeed.com/viewjob?from=iaBackPress&amp;jk=b54362a58b9ffc34&amp;vjs=3","Project Engineer – Contracts Administrator – Sydney / Brisbane")</f>
        <v>Project Engineer – Contracts Administrator – Sydney / Brisbane</v>
      </c>
      <c r="D146" s="45" t="s">
        <v>262</v>
      </c>
      <c r="E146" s="47">
        <v>44209.763379629629</v>
      </c>
      <c r="F146" s="45" t="s">
        <v>237</v>
      </c>
    </row>
    <row r="147" spans="1:6" ht="14.25">
      <c r="A147" s="45"/>
      <c r="B147" s="45" t="s">
        <v>176</v>
      </c>
      <c r="C147" s="46" t="str">
        <f>HYPERLINK("https://au.indeed.com/viewjob?from=iaBackPress&amp;jk=df3ee808d054be8a&amp;vjs=3","Civil Project Engineers - Maintenance and Works - GenQLD")</f>
        <v>Civil Project Engineers - Maintenance and Works - GenQLD</v>
      </c>
      <c r="D147" s="45" t="s">
        <v>286</v>
      </c>
      <c r="E147" s="47">
        <v>44209.764398148145</v>
      </c>
      <c r="F147" s="45" t="s">
        <v>237</v>
      </c>
    </row>
    <row r="148" spans="1:6" ht="14.25">
      <c r="A148" s="45"/>
      <c r="B148" s="45" t="s">
        <v>176</v>
      </c>
      <c r="C148" s="46" t="str">
        <f>HYPERLINK("https://au.indeed.com/viewjob?from=iaBackPress&amp;jk=23d949f8a9257d88&amp;vjs=3","Civil Project Engineer")</f>
        <v>Civil Project Engineer</v>
      </c>
      <c r="D148" s="45" t="s">
        <v>180</v>
      </c>
      <c r="E148" s="47">
        <v>44209.764837962961</v>
      </c>
      <c r="F148" s="45" t="s">
        <v>237</v>
      </c>
    </row>
    <row r="149" spans="1:6" ht="14.25">
      <c r="A149" s="45"/>
      <c r="B149" s="45" t="s">
        <v>223</v>
      </c>
      <c r="C149" s="46" t="str">
        <f>HYPERLINK("https://au.indeed.com/viewjob?from=iaBackPress&amp;jk=56d73b9073aca0fa&amp;vjs=3","Senior Project Engineer - Process")</f>
        <v>Senior Project Engineer - Process</v>
      </c>
      <c r="D149" s="45" t="s">
        <v>266</v>
      </c>
      <c r="E149" s="47">
        <v>44209.765266203707</v>
      </c>
      <c r="F149" s="45" t="s">
        <v>164</v>
      </c>
    </row>
    <row r="150" spans="1:6" ht="14.25">
      <c r="A150" s="45"/>
      <c r="B150" s="45" t="s">
        <v>176</v>
      </c>
      <c r="C150" s="46" t="str">
        <f>HYPERLINK("https://au.indeed.com/viewjob?from=iaBackPress&amp;jk=d99a20eb0a39b99f&amp;vjs=3","Mechanical Project Engineer")</f>
        <v>Mechanical Project Engineer</v>
      </c>
      <c r="D150" s="45" t="s">
        <v>252</v>
      </c>
      <c r="E150" s="47">
        <v>44209.765543981484</v>
      </c>
      <c r="F150" s="45" t="s">
        <v>237</v>
      </c>
    </row>
    <row r="151" spans="1:6" ht="14.25">
      <c r="A151" s="45"/>
      <c r="B151" s="45" t="s">
        <v>223</v>
      </c>
      <c r="C151" s="46" t="str">
        <f>HYPERLINK("https://au.indeed.com/viewjob?from=iaBackPress&amp;jk=ebbfdb0199806512&amp;vjs=3","Senior Project Engineer - Process")</f>
        <v>Senior Project Engineer - Process</v>
      </c>
      <c r="D151" s="45" t="s">
        <v>266</v>
      </c>
      <c r="E151" s="47">
        <v>44209.765717592592</v>
      </c>
      <c r="F151" s="45" t="s">
        <v>164</v>
      </c>
    </row>
    <row r="152" spans="1:6" ht="14.25">
      <c r="A152" s="45"/>
      <c r="B152" s="45" t="s">
        <v>176</v>
      </c>
      <c r="C152" s="46" t="str">
        <f>HYPERLINK("https://au.indeed.com/viewjob?from=iaBackPress&amp;jk=57244daeb47b6da3&amp;vjs=3","Project Engineer")</f>
        <v>Project Engineer</v>
      </c>
      <c r="D152" s="45" t="s">
        <v>287</v>
      </c>
      <c r="E152" s="47">
        <v>44209.766134259262</v>
      </c>
      <c r="F152" s="45" t="s">
        <v>237</v>
      </c>
    </row>
    <row r="153" spans="1:6" ht="14.25">
      <c r="A153" s="45"/>
      <c r="B153" s="45" t="s">
        <v>223</v>
      </c>
      <c r="C153" s="46" t="str">
        <f>HYPERLINK("https://au.indeed.com/viewjob?from=iaBackPress&amp;jk=bce9ab5e16a2a7d0&amp;vjs=3","Senior Project Engineer - Process")</f>
        <v>Senior Project Engineer - Process</v>
      </c>
      <c r="D153" s="45" t="s">
        <v>266</v>
      </c>
      <c r="E153" s="47">
        <v>44209.766203703701</v>
      </c>
      <c r="F153" s="45" t="s">
        <v>164</v>
      </c>
    </row>
    <row r="154" spans="1:6" ht="14.25">
      <c r="A154" s="45"/>
      <c r="B154" s="45" t="s">
        <v>176</v>
      </c>
      <c r="C154" s="46" t="str">
        <f>HYPERLINK("https://au.indeed.com/viewjob?from=iaBackPress&amp;jk=ba08258e55bb6556&amp;vjs=3","Sen' Project Engineer / Manager - Structures - FIFO from Brisbane")</f>
        <v>Sen' Project Engineer / Manager - Structures - FIFO from Brisbane</v>
      </c>
      <c r="D154" s="45" t="s">
        <v>288</v>
      </c>
      <c r="E154" s="47">
        <v>44209.766909722224</v>
      </c>
      <c r="F154" s="45" t="s">
        <v>237</v>
      </c>
    </row>
    <row r="155" spans="1:6" ht="14.25">
      <c r="A155" s="45"/>
      <c r="B155" s="45" t="s">
        <v>176</v>
      </c>
      <c r="C155" s="46" t="str">
        <f>HYPERLINK("https://au.indeed.com/viewjob?from=iaBackPress&amp;jk=d67ba4eea23ebd68&amp;vjs=3","Project Engineer")</f>
        <v>Project Engineer</v>
      </c>
      <c r="D155" s="45" t="s">
        <v>289</v>
      </c>
      <c r="E155" s="47">
        <v>44209.769884259258</v>
      </c>
      <c r="F155" s="45" t="s">
        <v>164</v>
      </c>
    </row>
    <row r="156" spans="1:6" ht="14.25">
      <c r="A156" s="45"/>
      <c r="B156" s="45" t="s">
        <v>176</v>
      </c>
      <c r="C156" s="46" t="str">
        <f>HYPERLINK("https://au.indeed.com/viewjob?from=iaBackPress&amp;jk=3581b97568a8e381&amp;vjs=3","Mechanical Project Engineer | Water Infrastructure")</f>
        <v>Mechanical Project Engineer | Water Infrastructure</v>
      </c>
      <c r="D156" s="45" t="s">
        <v>290</v>
      </c>
      <c r="E156" s="47">
        <v>44209.77034722222</v>
      </c>
      <c r="F156" s="45" t="s">
        <v>164</v>
      </c>
    </row>
    <row r="157" spans="1:6" ht="14.25">
      <c r="A157" s="45"/>
      <c r="B157" s="45" t="s">
        <v>176</v>
      </c>
      <c r="C157" s="46" t="str">
        <f>HYPERLINK("https://au.indeed.com/viewjob?from=iaBackPress&amp;jk=0d78a0ab8e6077d3&amp;vjs=3","Senior Project Engineer- Pre-Contracts")</f>
        <v>Senior Project Engineer- Pre-Contracts</v>
      </c>
      <c r="D157" s="45" t="s">
        <v>177</v>
      </c>
      <c r="E157" s="47">
        <v>44209.770381944443</v>
      </c>
      <c r="F157" s="45" t="s">
        <v>237</v>
      </c>
    </row>
    <row r="158" spans="1:6" ht="14.25">
      <c r="A158" s="45"/>
      <c r="B158" s="45" t="s">
        <v>176</v>
      </c>
      <c r="C158" s="46" t="str">
        <f>HYPERLINK("https://au.indeed.com/viewjob?from=iaBackPress&amp;jk=e0a3e9707edc69da&amp;vjs=3","Civil Site / Project Engineer")</f>
        <v>Civil Site / Project Engineer</v>
      </c>
      <c r="D158" s="45" t="s">
        <v>287</v>
      </c>
      <c r="E158" s="47">
        <v>44209.770983796298</v>
      </c>
      <c r="F158" s="45" t="s">
        <v>237</v>
      </c>
    </row>
    <row r="159" spans="1:6" ht="14.25">
      <c r="A159" s="45"/>
      <c r="B159" s="45" t="s">
        <v>176</v>
      </c>
      <c r="C159" s="46" t="str">
        <f>HYPERLINK("https://au.indeed.com/viewjob?from=iaBackPress&amp;jk=4265049714739e83&amp;vjs=3","Electrical Worker/Project Engineer")</f>
        <v>Electrical Worker/Project Engineer</v>
      </c>
      <c r="D159" s="45" t="s">
        <v>291</v>
      </c>
      <c r="E159" s="47">
        <v>44209.771481481483</v>
      </c>
      <c r="F159" s="45" t="s">
        <v>164</v>
      </c>
    </row>
    <row r="160" spans="1:6" ht="14.25">
      <c r="A160" s="45"/>
      <c r="B160" s="45" t="s">
        <v>176</v>
      </c>
      <c r="C160" s="46" t="str">
        <f>HYPERLINK("https://au.indeed.com/viewjob?from=iaBackPress&amp;jk=2e4c79007fe5630c&amp;vjs=3","Project Engineer")</f>
        <v>Project Engineer</v>
      </c>
      <c r="D160" s="45" t="s">
        <v>292</v>
      </c>
      <c r="E160" s="47">
        <v>44209.771909722222</v>
      </c>
      <c r="F160" s="45" t="s">
        <v>164</v>
      </c>
    </row>
    <row r="161" spans="1:6" ht="14.25">
      <c r="A161" s="45"/>
      <c r="B161" s="45" t="s">
        <v>176</v>
      </c>
      <c r="C161" s="46" t="str">
        <f>HYPERLINK("https://au.indeed.com/viewjob?from=iaBackPress&amp;jk=9cc2453f27db8d8d&amp;vjs=3","Project Engineer- Civil")</f>
        <v>Project Engineer- Civil</v>
      </c>
      <c r="D161" s="45" t="s">
        <v>177</v>
      </c>
      <c r="E161" s="47">
        <v>44209.772256944445</v>
      </c>
      <c r="F161" s="45" t="s">
        <v>237</v>
      </c>
    </row>
    <row r="162" spans="1:6" ht="14.25">
      <c r="A162" s="45"/>
      <c r="B162" s="45" t="s">
        <v>176</v>
      </c>
      <c r="C162" s="46" t="str">
        <f>HYPERLINK("https://au.indeed.com/viewjob?from=iaBackPress&amp;jk=e6aef3bbba0d46be&amp;vjs=3","Project Engineer (Civil)")</f>
        <v>Project Engineer (Civil)</v>
      </c>
      <c r="D162" s="45" t="s">
        <v>293</v>
      </c>
      <c r="E162" s="47">
        <v>44209.772673611114</v>
      </c>
      <c r="F162" s="45" t="s">
        <v>237</v>
      </c>
    </row>
    <row r="163" spans="1:6" ht="14.25">
      <c r="A163" s="45"/>
      <c r="B163" s="45" t="s">
        <v>176</v>
      </c>
      <c r="C163" s="46" t="str">
        <f>HYPERLINK("https://au.indeed.com/viewjob?from=iaBackPress&amp;jk=bd6882dca4ef24b3&amp;vjs=3","Civil Project Engineer")</f>
        <v>Civil Project Engineer</v>
      </c>
      <c r="D163" s="45" t="s">
        <v>265</v>
      </c>
      <c r="E163" s="47">
        <v>44209.77375</v>
      </c>
      <c r="F163" s="45" t="s">
        <v>237</v>
      </c>
    </row>
    <row r="164" spans="1:6" ht="14.25">
      <c r="A164" s="45"/>
      <c r="B164" s="45" t="s">
        <v>176</v>
      </c>
      <c r="C164" s="46" t="str">
        <f>HYPERLINK("https://au.indeed.com/viewjob?from=iaBackPress&amp;jk=9ccca80c64d8488b&amp;vjs=3","Senior Project Engineer- Structures")</f>
        <v>Senior Project Engineer- Structures</v>
      </c>
      <c r="D164" s="45" t="s">
        <v>177</v>
      </c>
      <c r="E164" s="47">
        <v>44209.77443287037</v>
      </c>
      <c r="F164" s="45" t="s">
        <v>237</v>
      </c>
    </row>
    <row r="165" spans="1:6" ht="14.25">
      <c r="A165" s="45"/>
      <c r="B165" s="45" t="s">
        <v>176</v>
      </c>
      <c r="C165" s="46" t="str">
        <f>HYPERLINK("https://au.indeed.com/viewjob?from=iaBackPress&amp;jk=5e73ef8307cdd741&amp;vjs=3","Project Engineer - Brisbane")</f>
        <v>Project Engineer - Brisbane</v>
      </c>
      <c r="D165" s="45" t="s">
        <v>294</v>
      </c>
      <c r="E165" s="47">
        <v>44209.775578703702</v>
      </c>
      <c r="F165" s="45" t="s">
        <v>237</v>
      </c>
    </row>
    <row r="166" spans="1:6" ht="14.25">
      <c r="A166" s="45"/>
      <c r="B166" s="45" t="s">
        <v>176</v>
      </c>
      <c r="C166" s="46" t="str">
        <f>HYPERLINK("https://au.indeed.com/viewjob?from=iaBackPress&amp;jk=5cb89291fc90bd04&amp;vjs=3","Project Engineer")</f>
        <v>Project Engineer</v>
      </c>
      <c r="D166" s="45" t="s">
        <v>295</v>
      </c>
      <c r="E166" s="47">
        <v>44209.775902777779</v>
      </c>
      <c r="F166" s="45" t="s">
        <v>164</v>
      </c>
    </row>
    <row r="167" spans="1:6" ht="14.25">
      <c r="A167" s="45"/>
      <c r="B167" s="45" t="s">
        <v>176</v>
      </c>
      <c r="C167" s="46" t="str">
        <f>HYPERLINK("https://au.indeed.com/viewjob?from=iaBackPress&amp;jk=aa898ae4413935a9&amp;vjs=3","Project Engineer")</f>
        <v>Project Engineer</v>
      </c>
      <c r="D167" s="45" t="s">
        <v>201</v>
      </c>
      <c r="E167" s="47">
        <v>44209.776030092595</v>
      </c>
      <c r="F167" s="45" t="s">
        <v>237</v>
      </c>
    </row>
    <row r="168" spans="1:6" ht="14.25">
      <c r="A168" s="45"/>
      <c r="B168" s="45" t="s">
        <v>176</v>
      </c>
      <c r="C168" s="46" t="str">
        <f>HYPERLINK("https://au.indeed.com/viewjob?from=iaBackPress&amp;jk=b4793d9ed1365d6c&amp;vjs=3","Electrical Project Engineer | Water Infrastructure")</f>
        <v>Electrical Project Engineer | Water Infrastructure</v>
      </c>
      <c r="D168" s="45" t="s">
        <v>290</v>
      </c>
      <c r="E168" s="47">
        <v>44209.776412037034</v>
      </c>
      <c r="F168" s="45" t="s">
        <v>164</v>
      </c>
    </row>
    <row r="169" spans="1:6" ht="14.25">
      <c r="A169" s="45"/>
      <c r="B169" s="45" t="s">
        <v>176</v>
      </c>
      <c r="C169" s="46" t="str">
        <f>HYPERLINK("https://au.indeed.com/viewjob?from=iaBackPress&amp;jk=1d9e9fff3f7b48bc&amp;vjs=3","Senior Project Engineer")</f>
        <v>Senior Project Engineer</v>
      </c>
      <c r="D169" s="45" t="s">
        <v>182</v>
      </c>
      <c r="E169" s="47">
        <v>44209.777094907404</v>
      </c>
      <c r="F169" s="45" t="s">
        <v>164</v>
      </c>
    </row>
    <row r="170" spans="1:6" ht="14.25">
      <c r="A170" s="45"/>
      <c r="B170" s="45" t="s">
        <v>213</v>
      </c>
      <c r="C170" s="46" t="str">
        <f>HYPERLINK("https://au.indeed.com/viewjob?from=iaBackPress&amp;jk=d0e371d2fa181f70&amp;vjs=3","Site Reliability Engineer, Infrastructure")</f>
        <v>Site Reliability Engineer, Infrastructure</v>
      </c>
      <c r="D170" s="45" t="s">
        <v>273</v>
      </c>
      <c r="E170" s="47">
        <v>44209.777511574073</v>
      </c>
      <c r="F170" s="45" t="s">
        <v>296</v>
      </c>
    </row>
    <row r="171" spans="1:6" ht="14.25">
      <c r="A171" s="45"/>
      <c r="B171" s="45" t="s">
        <v>176</v>
      </c>
      <c r="C171" s="46" t="str">
        <f>HYPERLINK("https://au.indeed.com/viewjob?from=iaBackPress&amp;jk=9a1d835066a40edd&amp;vjs=3","Project Engineer")</f>
        <v>Project Engineer</v>
      </c>
      <c r="D171" s="45" t="s">
        <v>177</v>
      </c>
      <c r="E171" s="47">
        <v>44209.777800925927</v>
      </c>
      <c r="F171" s="45" t="s">
        <v>164</v>
      </c>
    </row>
    <row r="172" spans="1:6" ht="14.25">
      <c r="A172" s="45"/>
      <c r="B172" s="45" t="s">
        <v>176</v>
      </c>
      <c r="C172" s="46" t="str">
        <f>HYPERLINK("https://au.indeed.com/viewjob?from=iaBackPress&amp;jk=5a062624caab9a52&amp;vjs=3","Project Engineer - Formwork and Temporary works - Sydney")</f>
        <v>Project Engineer - Formwork and Temporary works - Sydney</v>
      </c>
      <c r="D172" s="45" t="s">
        <v>282</v>
      </c>
      <c r="E172" s="47">
        <v>44209.778252314813</v>
      </c>
      <c r="F172" s="45" t="s">
        <v>164</v>
      </c>
    </row>
    <row r="173" spans="1:6" ht="14.25">
      <c r="A173" s="45"/>
      <c r="B173" s="45" t="s">
        <v>213</v>
      </c>
      <c r="C173" s="46" t="str">
        <f>HYPERLINK("https://au.indeed.com/viewjob?from=iaBackPress&amp;jk=3d25f3e08b934c81&amp;vjs=3","Site Reliability Engineer")</f>
        <v>Site Reliability Engineer</v>
      </c>
      <c r="D173" s="45" t="s">
        <v>297</v>
      </c>
      <c r="E173" s="47">
        <v>44209.778287037036</v>
      </c>
      <c r="F173" s="45" t="s">
        <v>296</v>
      </c>
    </row>
    <row r="174" spans="1:6" ht="14.25">
      <c r="A174" s="45"/>
      <c r="B174" s="45" t="s">
        <v>176</v>
      </c>
      <c r="C174" s="46" t="str">
        <f>HYPERLINK("https://au.indeed.com/viewjob?from=iaBackPress&amp;jk=2c7f3b18d6e653eb&amp;vjs=3","Project Engineer - Communications")</f>
        <v>Project Engineer - Communications</v>
      </c>
      <c r="D174" s="45" t="s">
        <v>214</v>
      </c>
      <c r="E174" s="47">
        <v>44209.778761574074</v>
      </c>
      <c r="F174" s="45" t="s">
        <v>164</v>
      </c>
    </row>
    <row r="175" spans="1:6" ht="14.25">
      <c r="A175" s="45"/>
      <c r="B175" s="45" t="s">
        <v>213</v>
      </c>
      <c r="C175" s="46" t="str">
        <f>HYPERLINK("https://au.indeed.com/viewjob?from=iaBackPress&amp;jk=2f066f161eaaa8a0&amp;vjs=3","Site Engineer")</f>
        <v>Site Engineer</v>
      </c>
      <c r="D175" s="45" t="s">
        <v>177</v>
      </c>
      <c r="E175" s="47">
        <v>44209.778854166667</v>
      </c>
      <c r="F175" s="45" t="s">
        <v>296</v>
      </c>
    </row>
    <row r="176" spans="1:6" ht="14.25">
      <c r="A176" s="45"/>
      <c r="B176" s="45" t="s">
        <v>176</v>
      </c>
      <c r="C176" s="46" t="str">
        <f>HYPERLINK("https://au.indeed.com/viewjob?from=iaBackPress&amp;jk=2ab2c78ffea5b9a1&amp;vjs=3","Project Engineer - Formwork and Temporary works - Brisbane")</f>
        <v>Project Engineer - Formwork and Temporary works - Brisbane</v>
      </c>
      <c r="D176" s="45" t="s">
        <v>282</v>
      </c>
      <c r="E176" s="47">
        <v>44209.779398148145</v>
      </c>
      <c r="F176" s="45" t="s">
        <v>164</v>
      </c>
    </row>
    <row r="177" spans="1:6" ht="14.25">
      <c r="A177" s="45"/>
      <c r="B177" s="45" t="s">
        <v>176</v>
      </c>
      <c r="C177" s="46" t="str">
        <f>HYPERLINK("https://au.indeed.com/viewjob?from=iaBackPress&amp;jk=08b766b577728296&amp;vjs=3","Project Engineer")</f>
        <v>Project Engineer</v>
      </c>
      <c r="D177" s="45" t="s">
        <v>298</v>
      </c>
      <c r="E177" s="47">
        <v>44209.779849537037</v>
      </c>
      <c r="F177" s="45" t="s">
        <v>164</v>
      </c>
    </row>
    <row r="178" spans="1:6" ht="14.25">
      <c r="A178" s="45"/>
      <c r="B178" s="45" t="s">
        <v>213</v>
      </c>
      <c r="C178" s="46" t="str">
        <f>HYPERLINK("https://au.indeed.com/viewjob?from=iaBackPress&amp;jk=0f810b6c7a06a752&amp;vjs=3","Project Site Engineer")</f>
        <v>Project Site Engineer</v>
      </c>
      <c r="D178" s="45" t="s">
        <v>299</v>
      </c>
      <c r="E178" s="47">
        <v>44209.779849537037</v>
      </c>
      <c r="F178" s="45" t="s">
        <v>296</v>
      </c>
    </row>
    <row r="179" spans="1:6" ht="14.25">
      <c r="A179" s="45"/>
      <c r="B179" s="45" t="s">
        <v>176</v>
      </c>
      <c r="C179" s="46" t="str">
        <f>HYPERLINK("https://au.indeed.com/viewjob?from=iaBackPress&amp;jk=090e47988ac9b362&amp;vjs=3","Project Engineer")</f>
        <v>Project Engineer</v>
      </c>
      <c r="D179" s="45" t="s">
        <v>295</v>
      </c>
      <c r="E179" s="47">
        <v>44209.780914351853</v>
      </c>
      <c r="F179" s="45" t="s">
        <v>164</v>
      </c>
    </row>
    <row r="180" spans="1:6" ht="14.25">
      <c r="A180" s="45"/>
      <c r="B180" s="45" t="s">
        <v>176</v>
      </c>
      <c r="C180" s="46" t="str">
        <f>HYPERLINK("https://au.indeed.com/viewjob?from=iaBackPress&amp;jk=0627b17bce528a9d&amp;vjs=3","Site Engineer and Project Engineers | Civil | 10/4 roster")</f>
        <v>Site Engineer and Project Engineers | Civil | 10/4 roster</v>
      </c>
      <c r="D180" s="45" t="s">
        <v>200</v>
      </c>
      <c r="E180" s="47">
        <v>44209.781377314815</v>
      </c>
      <c r="F180" s="45" t="s">
        <v>164</v>
      </c>
    </row>
    <row r="181" spans="1:6" ht="14.25">
      <c r="A181" s="45"/>
      <c r="B181" s="45" t="s">
        <v>176</v>
      </c>
      <c r="C181" s="46" t="str">
        <f>HYPERLINK("https://au.indeed.com/viewjob?from=iaBackPress&amp;jk=6a5300996b068665&amp;vjs=3","Project/Solution Engineers x 3")</f>
        <v>Project/Solution Engineers x 3</v>
      </c>
      <c r="D181" s="45" t="s">
        <v>300</v>
      </c>
      <c r="E181" s="47">
        <v>44209.781840277778</v>
      </c>
      <c r="F181" s="45" t="s">
        <v>164</v>
      </c>
    </row>
    <row r="182" spans="1:6" ht="14.25">
      <c r="A182" s="45"/>
      <c r="B182" s="45" t="s">
        <v>213</v>
      </c>
      <c r="C182" s="46" t="str">
        <f>HYPERLINK("https://au.indeed.com/viewjob?from=iaBackPress&amp;jk=0627b17bce528a9d&amp;vjs=3","Site Engineer and Project Engineers | Civil | 10/4 roster")</f>
        <v>Site Engineer and Project Engineers | Civil | 10/4 roster</v>
      </c>
      <c r="D182" s="45" t="s">
        <v>200</v>
      </c>
      <c r="E182" s="47">
        <v>44209.782106481478</v>
      </c>
      <c r="F182" s="45" t="s">
        <v>296</v>
      </c>
    </row>
    <row r="183" spans="1:6" ht="14.25">
      <c r="A183" s="45"/>
      <c r="B183" s="45" t="s">
        <v>176</v>
      </c>
      <c r="C183" s="46" t="str">
        <f>HYPERLINK("https://au.indeed.com/viewjob?from=iaBackPress&amp;jk=c643aabbc4db8173&amp;vjs=3","Project Engineer - Rail")</f>
        <v>Project Engineer - Rail</v>
      </c>
      <c r="D183" s="45" t="s">
        <v>199</v>
      </c>
      <c r="E183" s="47">
        <v>44209.782430555555</v>
      </c>
      <c r="F183" s="45" t="s">
        <v>164</v>
      </c>
    </row>
    <row r="184" spans="1:6" ht="14.25">
      <c r="A184" s="45"/>
      <c r="B184" s="45" t="s">
        <v>301</v>
      </c>
      <c r="C184" s="46" t="str">
        <f>HYPERLINK("https://au.indeed.com/viewjob?from=iaBackPress&amp;jk=bcc288c4ec0c4b18&amp;vjs=3","Junior Geotechnical Engineer")</f>
        <v>Junior Geotechnical Engineer</v>
      </c>
      <c r="D184" s="45" t="s">
        <v>302</v>
      </c>
      <c r="E184" s="47">
        <v>44209.782500000001</v>
      </c>
      <c r="F184" s="45" t="s">
        <v>237</v>
      </c>
    </row>
    <row r="185" spans="1:6" ht="14.25">
      <c r="A185" s="45"/>
      <c r="B185" s="45" t="s">
        <v>213</v>
      </c>
      <c r="C185" s="46" t="str">
        <f>HYPERLINK("https://au.indeed.com/viewjob?from=iaBackPress&amp;jk=acae2c9875993872&amp;vjs=3","Civil Site Engineer (DTMR)")</f>
        <v>Civil Site Engineer (DTMR)</v>
      </c>
      <c r="D185" s="45" t="s">
        <v>303</v>
      </c>
      <c r="E185" s="47">
        <v>44209.782708333332</v>
      </c>
      <c r="F185" s="45" t="s">
        <v>296</v>
      </c>
    </row>
    <row r="186" spans="1:6" ht="14.25">
      <c r="A186" s="45"/>
      <c r="B186" s="45" t="s">
        <v>301</v>
      </c>
      <c r="C186" s="46" t="str">
        <f>HYPERLINK("https://au.indeed.com/viewjob?from=iaBackPress&amp;jk=35acc28c0760f122&amp;vjs=3","Network Engineer")</f>
        <v>Network Engineer</v>
      </c>
      <c r="D186" s="45" t="s">
        <v>304</v>
      </c>
      <c r="E186" s="47">
        <v>44209.782893518517</v>
      </c>
      <c r="F186" s="45" t="s">
        <v>237</v>
      </c>
    </row>
    <row r="187" spans="1:6" ht="14.25">
      <c r="A187" s="45"/>
      <c r="B187" s="45" t="s">
        <v>176</v>
      </c>
      <c r="C187" s="46" t="str">
        <f>HYPERLINK("https://au.indeed.com/viewjob?from=iaBackPress&amp;jk=4fc4f6bff834fffd&amp;vjs=3","Project Engineer")</f>
        <v>Project Engineer</v>
      </c>
      <c r="D187" s="45" t="s">
        <v>305</v>
      </c>
      <c r="E187" s="47">
        <v>44209.782986111109</v>
      </c>
      <c r="F187" s="45" t="s">
        <v>164</v>
      </c>
    </row>
    <row r="188" spans="1:6" ht="14.25">
      <c r="A188" s="45"/>
      <c r="B188" s="45" t="s">
        <v>213</v>
      </c>
      <c r="C188" s="46" t="str">
        <f>HYPERLINK("https://au.indeed.com/viewjob?from=iaBackPress&amp;jk=425ed3fbaf8ccb5f&amp;vjs=3","Civil Site Engineers (Expression of Interest)")</f>
        <v>Civil Site Engineers (Expression of Interest)</v>
      </c>
      <c r="D188" s="45" t="s">
        <v>303</v>
      </c>
      <c r="E188" s="47">
        <v>44209.783275462964</v>
      </c>
      <c r="F188" s="45" t="s">
        <v>296</v>
      </c>
    </row>
    <row r="189" spans="1:6" ht="14.25">
      <c r="A189" s="45"/>
      <c r="B189" s="45" t="s">
        <v>176</v>
      </c>
      <c r="C189" s="46" t="str">
        <f>HYPERLINK("https://au.indeed.com/viewjob?from=iaBackPress&amp;jk=c48e38c7f61eae49&amp;vjs=3","Senior Civil Project Engineers - Hunter Valley")</f>
        <v>Senior Civil Project Engineers - Hunter Valley</v>
      </c>
      <c r="D189" s="45" t="s">
        <v>306</v>
      </c>
      <c r="E189" s="47">
        <v>44209.783414351848</v>
      </c>
      <c r="F189" s="45" t="s">
        <v>164</v>
      </c>
    </row>
    <row r="190" spans="1:6" ht="14.25">
      <c r="A190" s="45"/>
      <c r="B190" s="45" t="s">
        <v>176</v>
      </c>
      <c r="C190" s="46" t="str">
        <f>HYPERLINK("https://au.indeed.com/viewjob?from=iaBackPress&amp;jk=74b89b33ba9ba9ec&amp;vjs=3","BMS Project Engineer")</f>
        <v>BMS Project Engineer</v>
      </c>
      <c r="D190" s="45" t="s">
        <v>307</v>
      </c>
      <c r="E190" s="47">
        <v>44209.784004629626</v>
      </c>
      <c r="F190" s="45" t="s">
        <v>164</v>
      </c>
    </row>
    <row r="191" spans="1:6" ht="14.25">
      <c r="A191" s="45"/>
      <c r="B191" s="45" t="s">
        <v>176</v>
      </c>
      <c r="C191" s="46" t="str">
        <f>HYPERLINK("https://au.indeed.com/viewjob?from=iaBackPress&amp;jk=d8737c0f602848e6&amp;vjs=3","Civil Site / Project Engineer - Sydney")</f>
        <v>Civil Site / Project Engineer - Sydney</v>
      </c>
      <c r="D191" s="45" t="s">
        <v>308</v>
      </c>
      <c r="E191" s="47">
        <v>44209.784444444442</v>
      </c>
      <c r="F191" s="45" t="s">
        <v>164</v>
      </c>
    </row>
    <row r="192" spans="1:6" ht="14.25">
      <c r="A192" s="45"/>
      <c r="B192" s="45" t="s">
        <v>165</v>
      </c>
      <c r="C192" s="46" t="str">
        <f>HYPERLINK("https://au.indeed.com/viewjob?from=iaBackPress&amp;jk=460de221e657ff8c&amp;vjs=3","Mechanical Engineer - HVAC")</f>
        <v>Mechanical Engineer - HVAC</v>
      </c>
      <c r="D192" s="45" t="s">
        <v>309</v>
      </c>
      <c r="E192" s="47">
        <v>44217.741354166668</v>
      </c>
      <c r="F192" s="45" t="s">
        <v>164</v>
      </c>
    </row>
    <row r="193" spans="1:6" ht="14.25">
      <c r="A193" s="45"/>
      <c r="B193" s="45" t="s">
        <v>165</v>
      </c>
      <c r="C193" s="46" t="str">
        <f>HYPERLINK("https://au.indeed.com/viewjob?from=iaBackPress&amp;jk=2a7d8e2e18390f6b&amp;vjs=3","Senior Mechanical Engineer")</f>
        <v>Senior Mechanical Engineer</v>
      </c>
      <c r="D193" s="45" t="s">
        <v>310</v>
      </c>
      <c r="E193" s="47">
        <v>44217.741747685184</v>
      </c>
      <c r="F193" s="45" t="s">
        <v>164</v>
      </c>
    </row>
    <row r="194" spans="1:6" ht="14.25">
      <c r="A194" s="45"/>
      <c r="B194" s="45" t="s">
        <v>165</v>
      </c>
      <c r="C194" s="46" t="str">
        <f>HYPERLINK("https://au.indeed.com/viewjob?from=iaBackPress&amp;jk=82f5cf0901d9b72b&amp;vjs=3","Senior Mechanical Engineer")</f>
        <v>Senior Mechanical Engineer</v>
      </c>
      <c r="D194" s="45" t="s">
        <v>230</v>
      </c>
      <c r="E194" s="47">
        <v>44217.743032407408</v>
      </c>
      <c r="F194" s="45" t="s">
        <v>164</v>
      </c>
    </row>
    <row r="195" spans="1:6" ht="14.25">
      <c r="A195" s="45"/>
      <c r="B195" s="45" t="s">
        <v>165</v>
      </c>
      <c r="C195" s="46" t="str">
        <f>HYPERLINK("https://au.indeed.com/viewjob?from=iaBackPress&amp;jk=fb68f4783df39592&amp;vjs=3","Mechanical Project Engineer | Water Infrastructure")</f>
        <v>Mechanical Project Engineer | Water Infrastructure</v>
      </c>
      <c r="D195" s="45" t="s">
        <v>290</v>
      </c>
      <c r="E195" s="47">
        <v>44217.743576388886</v>
      </c>
      <c r="F195" s="45" t="s">
        <v>164</v>
      </c>
    </row>
    <row r="196" spans="1:6" ht="14.25">
      <c r="A196" s="45"/>
      <c r="B196" s="45" t="s">
        <v>165</v>
      </c>
      <c r="C196" s="46" t="str">
        <f>HYPERLINK("https://au.indeed.com/viewjob?from=iaBackPress&amp;jk=2bbbc1212fb6fc28&amp;vjs=3","Apprentices &amp; Trades Assistants - Mechanical Engineer/Fitter")</f>
        <v>Apprentices &amp; Trades Assistants - Mechanical Engineer/Fitter</v>
      </c>
      <c r="D196" s="45" t="s">
        <v>311</v>
      </c>
      <c r="E196" s="47">
        <v>44217.745694444442</v>
      </c>
      <c r="F196" s="45" t="s">
        <v>164</v>
      </c>
    </row>
    <row r="197" spans="1:6" ht="14.25">
      <c r="A197" s="45"/>
      <c r="B197" s="45" t="s">
        <v>165</v>
      </c>
      <c r="C197" s="46" t="str">
        <f>HYPERLINK("https://au.indeed.com/viewjob?from=iaBackPress&amp;jk=3531d97eb844648c&amp;vjs=3","Mechanical Engineer")</f>
        <v>Mechanical Engineer</v>
      </c>
      <c r="D197" s="45" t="s">
        <v>312</v>
      </c>
      <c r="E197" s="47">
        <v>44217.74627314815</v>
      </c>
      <c r="F197" s="45" t="s">
        <v>164</v>
      </c>
    </row>
    <row r="198" spans="1:6" ht="14.25">
      <c r="A198" s="45"/>
      <c r="B198" s="45" t="s">
        <v>235</v>
      </c>
      <c r="C198" s="46" t="str">
        <f>HYPERLINK("https://au.indeed.com/viewjob?from=iaBackPress&amp;jk=3cb9d0494723d727&amp;vjs=3","Electronic Engineer")</f>
        <v>Electronic Engineer</v>
      </c>
      <c r="D198" s="45" t="s">
        <v>313</v>
      </c>
      <c r="E198" s="47">
        <v>44217.74628472222</v>
      </c>
      <c r="F198" s="45" t="s">
        <v>237</v>
      </c>
    </row>
    <row r="199" spans="1:6" ht="14.25">
      <c r="A199" s="45"/>
      <c r="B199" s="45" t="s">
        <v>165</v>
      </c>
      <c r="C199" s="46" t="str">
        <f>HYPERLINK("https://au.indeed.com/viewjob?from=iaBackPress&amp;jk=84723638d7db3719&amp;vjs=3","Senior Mechanical Engineer - Contract")</f>
        <v>Senior Mechanical Engineer - Contract</v>
      </c>
      <c r="D199" s="45" t="s">
        <v>188</v>
      </c>
      <c r="E199" s="47">
        <v>44217.746678240743</v>
      </c>
      <c r="F199" s="45" t="s">
        <v>164</v>
      </c>
    </row>
    <row r="200" spans="1:6" ht="14.25">
      <c r="A200" s="45"/>
      <c r="B200" s="45" t="s">
        <v>243</v>
      </c>
      <c r="C200" s="46" t="str">
        <f>HYPERLINK("https://au.indeed.com/viewjob?from=iaBackPress&amp;jk=477c1c62e9bd50be&amp;vjs=3","Senior Automation Engineer (Brisbane)")</f>
        <v>Senior Automation Engineer (Brisbane)</v>
      </c>
      <c r="D200" s="45" t="s">
        <v>314</v>
      </c>
      <c r="E200" s="47">
        <v>44217.746747685182</v>
      </c>
      <c r="F200" s="45" t="s">
        <v>237</v>
      </c>
    </row>
    <row r="201" spans="1:6" ht="14.25">
      <c r="A201" s="45"/>
      <c r="B201" s="45" t="s">
        <v>162</v>
      </c>
      <c r="C201" s="46" t="str">
        <f>HYPERLINK("https://au.indeed.com/viewjob?from=iaBackPress&amp;jk=f9ee731ba1d5da57&amp;vjs=3","Design Engineer - Electrical")</f>
        <v>Design Engineer - Electrical</v>
      </c>
      <c r="D201" s="45" t="s">
        <v>252</v>
      </c>
      <c r="E201" s="47">
        <v>44217.748344907406</v>
      </c>
      <c r="F201" s="45" t="s">
        <v>164</v>
      </c>
    </row>
    <row r="202" spans="1:6" ht="14.25">
      <c r="A202" s="45"/>
      <c r="B202" s="45" t="s">
        <v>249</v>
      </c>
      <c r="C202" s="46" t="str">
        <f>HYPERLINK("https://au.indeed.com/viewjob?from=iaBackPress&amp;jk=9a1991b8135d6687&amp;vjs=3","Senior Control Systems Engineer")</f>
        <v>Senior Control Systems Engineer</v>
      </c>
      <c r="D202" s="45" t="s">
        <v>252</v>
      </c>
      <c r="E202" s="47">
        <v>44217.748935185184</v>
      </c>
      <c r="F202" s="45" t="s">
        <v>237</v>
      </c>
    </row>
    <row r="203" spans="1:6" ht="14.25">
      <c r="A203" s="45"/>
      <c r="B203" s="45" t="s">
        <v>162</v>
      </c>
      <c r="C203" s="46" t="str">
        <f>HYPERLINK("https://au.indeed.com/viewjob?from=iaBackPress&amp;jk=2007714dfb8ae67a&amp;vjs=3","Electronics Hardware Design Engineer | Permanent Part Time")</f>
        <v>Electronics Hardware Design Engineer | Permanent Part Time</v>
      </c>
      <c r="D203" s="45" t="s">
        <v>254</v>
      </c>
      <c r="E203" s="47">
        <v>44217.749120370368</v>
      </c>
      <c r="F203" s="45" t="s">
        <v>164</v>
      </c>
    </row>
    <row r="204" spans="1:6" ht="14.25">
      <c r="A204" s="45"/>
      <c r="B204" s="45" t="s">
        <v>249</v>
      </c>
      <c r="C204" s="46" t="str">
        <f>HYPERLINK("https://au.indeed.com/viewjob?from=iaBackPress&amp;jk=ed084bed31d6a822&amp;vjs=3","Senior Control Systems Engineer")</f>
        <v>Senior Control Systems Engineer</v>
      </c>
      <c r="D204" s="45" t="s">
        <v>252</v>
      </c>
      <c r="E204" s="47">
        <v>44217.749560185184</v>
      </c>
      <c r="F204" s="45" t="s">
        <v>237</v>
      </c>
    </row>
    <row r="205" spans="1:6" ht="14.25">
      <c r="A205" s="45"/>
      <c r="B205" s="45" t="s">
        <v>162</v>
      </c>
      <c r="C205" s="46" t="str">
        <f>HYPERLINK("https://au.indeed.com/viewjob?from=iaBackPress&amp;jk=e57f8e7b0f658efe&amp;vjs=3","Design Engineer")</f>
        <v>Design Engineer</v>
      </c>
      <c r="D205" s="45" t="s">
        <v>315</v>
      </c>
      <c r="E205" s="47">
        <v>44217.749618055554</v>
      </c>
      <c r="F205" s="45" t="s">
        <v>164</v>
      </c>
    </row>
    <row r="206" spans="1:6" ht="14.25">
      <c r="A206" s="45"/>
      <c r="B206" s="45" t="s">
        <v>162</v>
      </c>
      <c r="C206" s="46" t="str">
        <f>HYPERLINK("https://au.indeed.com/viewjob?from=iaBackPress&amp;jk=d894945892940759&amp;vjs=3","Civil Design Engineer")</f>
        <v>Civil Design Engineer</v>
      </c>
      <c r="D206" s="45" t="s">
        <v>188</v>
      </c>
      <c r="E206" s="47">
        <v>44217.750173611108</v>
      </c>
      <c r="F206" s="45" t="s">
        <v>164</v>
      </c>
    </row>
    <row r="207" spans="1:6" ht="14.25">
      <c r="A207" s="45"/>
      <c r="B207" s="45" t="s">
        <v>165</v>
      </c>
      <c r="C207" s="46" t="str">
        <f>HYPERLINK("https://au.indeed.com/viewjob?from=iaBackPress&amp;jk=6803b1b0c07ff100&amp;vjs=3","Mechanical Project Engineer | Water Infrastructure")</f>
        <v>Mechanical Project Engineer | Water Infrastructure</v>
      </c>
      <c r="D207" s="45" t="s">
        <v>290</v>
      </c>
      <c r="E207" s="47">
        <v>44221.64025462963</v>
      </c>
      <c r="F207" s="45" t="s">
        <v>164</v>
      </c>
    </row>
    <row r="208" spans="1:6" ht="14.25">
      <c r="A208" s="45"/>
      <c r="B208" s="45" t="s">
        <v>165</v>
      </c>
      <c r="C208" s="46" t="str">
        <f>HYPERLINK("https://au.indeed.com/viewjob?from=iaBackPress&amp;jk=a1091032f1f96f04&amp;vjs=3","Principal Mechanical Engineer")</f>
        <v>Principal Mechanical Engineer</v>
      </c>
      <c r="D208" s="45" t="s">
        <v>250</v>
      </c>
      <c r="E208" s="47">
        <v>44221.641539351855</v>
      </c>
      <c r="F208" s="45" t="s">
        <v>164</v>
      </c>
    </row>
    <row r="209" spans="1:6" ht="14.25">
      <c r="A209" s="45"/>
      <c r="B209" s="45" t="s">
        <v>162</v>
      </c>
      <c r="C209" s="46" t="str">
        <f>HYPERLINK("https://au.indeed.com/viewjob?from=iaBackPress&amp;jk=d741cfc22fd2e230&amp;vjs=3","Intermediate Electrical Design Engineer")</f>
        <v>Intermediate Electrical Design Engineer</v>
      </c>
      <c r="D209" s="45" t="s">
        <v>250</v>
      </c>
      <c r="E209" s="47">
        <v>44221.642372685186</v>
      </c>
      <c r="F209" s="45" t="s">
        <v>164</v>
      </c>
    </row>
    <row r="210" spans="1:6" ht="14.25">
      <c r="A210" s="45"/>
      <c r="B210" s="45" t="s">
        <v>162</v>
      </c>
      <c r="C210" s="46" t="str">
        <f>HYPERLINK("https://au.indeed.com/viewjob?from=iaBackPress&amp;jk=d9d0de92bc1fdbb4&amp;vjs=3","Design Drafter / Engineer (Aluminium &amp; Curtain Wall)")</f>
        <v>Design Drafter / Engineer (Aluminium &amp; Curtain Wall)</v>
      </c>
      <c r="D210" s="45" t="s">
        <v>216</v>
      </c>
      <c r="E210" s="47">
        <v>44221.642824074072</v>
      </c>
      <c r="F210" s="45" t="s">
        <v>164</v>
      </c>
    </row>
    <row r="211" spans="1:6" ht="14.25">
      <c r="A211" s="45"/>
      <c r="B211" s="45" t="s">
        <v>162</v>
      </c>
      <c r="C211" s="46" t="str">
        <f>HYPERLINK("https://au.indeed.com/viewjob?from=iaBackPress&amp;jk=ab26b126ff8d3e91&amp;vjs=3","Hydraulic Design Engineer")</f>
        <v>Hydraulic Design Engineer</v>
      </c>
      <c r="D211" s="45" t="s">
        <v>250</v>
      </c>
      <c r="E211" s="47">
        <v>44221.643321759257</v>
      </c>
      <c r="F211" s="45" t="s">
        <v>164</v>
      </c>
    </row>
    <row r="212" spans="1:6" ht="14.25">
      <c r="A212" s="45"/>
      <c r="B212" s="45" t="s">
        <v>162</v>
      </c>
      <c r="C212" s="46" t="str">
        <f>HYPERLINK("https://au.indeed.com/viewjob?from=iaBackPress&amp;jk=8f3b8fdc78630681&amp;vjs=3","Design Engineer - 12D")</f>
        <v>Design Engineer - 12D</v>
      </c>
      <c r="D212" s="45" t="s">
        <v>185</v>
      </c>
      <c r="E212" s="47">
        <v>44221.643888888888</v>
      </c>
      <c r="F212" s="45" t="s">
        <v>164</v>
      </c>
    </row>
    <row r="213" spans="1:6" ht="14.25">
      <c r="A213" s="45"/>
      <c r="B213" s="45" t="s">
        <v>162</v>
      </c>
      <c r="C213" s="46" t="str">
        <f>HYPERLINK("https://au.indeed.com/viewjob?from=iaBackPress&amp;jk=c5ced33cfefcb3c6&amp;vjs=3","Senior Network Design Engineer- Major Bank")</f>
        <v>Senior Network Design Engineer- Major Bank</v>
      </c>
      <c r="D213" s="45" t="s">
        <v>316</v>
      </c>
      <c r="E213" s="47">
        <v>44221.644965277781</v>
      </c>
      <c r="F213" s="45" t="s">
        <v>164</v>
      </c>
    </row>
    <row r="214" spans="1:6" ht="14.25">
      <c r="A214" s="45"/>
      <c r="B214" s="45" t="s">
        <v>162</v>
      </c>
      <c r="C214" s="46" t="str">
        <f>HYPERLINK("https://au.indeed.com/viewjob?from=iaBackPress&amp;jk=0385890dca6b4608&amp;vjs=3","Hydraulic Design Engineer")</f>
        <v>Hydraulic Design Engineer</v>
      </c>
      <c r="D214" s="45" t="s">
        <v>250</v>
      </c>
      <c r="E214" s="47">
        <v>44221.645381944443</v>
      </c>
      <c r="F214" s="45" t="s">
        <v>164</v>
      </c>
    </row>
    <row r="215" spans="1:6" ht="14.25">
      <c r="A215" s="45"/>
      <c r="B215" s="45" t="s">
        <v>186</v>
      </c>
      <c r="C215" s="46" t="str">
        <f>HYPERLINK("https://au.indeed.com/viewjob?from=iaBackPress&amp;jk=dfb9f5aa7b06c75a&amp;vjs=3","Product Development Engineer")</f>
        <v>Product Development Engineer</v>
      </c>
      <c r="D215" s="45" t="s">
        <v>317</v>
      </c>
      <c r="E215" s="47">
        <v>44221.647210648145</v>
      </c>
      <c r="F215" s="45" t="s">
        <v>164</v>
      </c>
    </row>
    <row r="216" spans="1:6" ht="14.25">
      <c r="A216" s="45"/>
      <c r="B216" s="45" t="s">
        <v>186</v>
      </c>
      <c r="C216" s="46" t="str">
        <f>HYPERLINK("https://au.indeed.com/viewjob?from=iaBackPress&amp;jk=71e6191252c6c41d&amp;vjs=3","Software Development Engineer in Test (SDET) - SaaS product")</f>
        <v>Software Development Engineer in Test (SDET) - SaaS product</v>
      </c>
      <c r="D216" s="45" t="s">
        <v>318</v>
      </c>
      <c r="E216" s="47">
        <v>44221.649872685186</v>
      </c>
      <c r="F216" s="45" t="s">
        <v>164</v>
      </c>
    </row>
    <row r="217" spans="1:6" ht="14.25">
      <c r="A217" s="45"/>
      <c r="B217" s="45" t="s">
        <v>220</v>
      </c>
      <c r="C217" s="46" t="str">
        <f>HYPERLINK("https://au.indeed.com/viewjob?from=iaBackPress&amp;jk=3c453662511c190c&amp;vjs=3","Lead Test Engineer - Industrial Communication Systems")</f>
        <v>Lead Test Engineer - Industrial Communication Systems</v>
      </c>
      <c r="D217" s="45" t="s">
        <v>187</v>
      </c>
      <c r="E217" s="47">
        <v>44221.650671296295</v>
      </c>
      <c r="F217" s="45" t="s">
        <v>164</v>
      </c>
    </row>
    <row r="218" spans="1:6" ht="14.25">
      <c r="A218" s="45"/>
      <c r="B218" s="45" t="s">
        <v>220</v>
      </c>
      <c r="C218" s="46" t="str">
        <f>HYPERLINK("https://au.indeed.com/viewjob?from=iaBackPress&amp;jk=948393fe9c9a9190&amp;vjs=3","Industrial Engineer")</f>
        <v>Industrial Engineer</v>
      </c>
      <c r="D218" s="45" t="s">
        <v>319</v>
      </c>
      <c r="E218" s="47">
        <v>44221.651099537034</v>
      </c>
      <c r="F218" s="45" t="s">
        <v>164</v>
      </c>
    </row>
    <row r="219" spans="1:6" ht="14.25">
      <c r="A219" s="45"/>
      <c r="B219" s="45" t="s">
        <v>167</v>
      </c>
      <c r="C219" s="46" t="str">
        <f>HYPERLINK("https://au.indeed.com/viewjob?from=iaBackPress&amp;jk=b3b0f38ca059c751&amp;vjs=3","3x Senior DevOps/Infrastructure Engineer - Kubernetes implementation!")</f>
        <v>3x Senior DevOps/Infrastructure Engineer - Kubernetes implementation!</v>
      </c>
      <c r="D219" s="45" t="s">
        <v>320</v>
      </c>
      <c r="E219" s="47">
        <v>44221.651655092595</v>
      </c>
      <c r="F219" s="45" t="s">
        <v>164</v>
      </c>
    </row>
    <row r="220" spans="1:6" ht="14.25">
      <c r="A220" s="45"/>
      <c r="B220" s="45" t="s">
        <v>167</v>
      </c>
      <c r="C220" s="46" t="str">
        <f>HYPERLINK("https://au.indeed.com/viewjob?from=iaBackPress&amp;jk=5bbe98e65e933198&amp;vjs=3","Senior Geotechnical Engineer - Sydney CBD Infrastructure")</f>
        <v>Senior Geotechnical Engineer - Sydney CBD Infrastructure</v>
      </c>
      <c r="D220" s="45" t="s">
        <v>253</v>
      </c>
      <c r="E220" s="47">
        <v>44221.653032407405</v>
      </c>
      <c r="F220" s="45" t="s">
        <v>164</v>
      </c>
    </row>
    <row r="221" spans="1:6" ht="14.25">
      <c r="A221" s="45"/>
      <c r="B221" s="45" t="s">
        <v>167</v>
      </c>
      <c r="C221" s="46" t="str">
        <f>HYPERLINK("https://au.indeed.com/viewjob?from=iaBackPress&amp;jk=76df0d31e02d6158&amp;vjs=3","Electrical Project Engineer | Water Infrastructure")</f>
        <v>Electrical Project Engineer | Water Infrastructure</v>
      </c>
      <c r="D221" s="45" t="s">
        <v>290</v>
      </c>
      <c r="E221" s="47">
        <v>44221.653437499997</v>
      </c>
      <c r="F221" s="45" t="s">
        <v>164</v>
      </c>
    </row>
    <row r="222" spans="1:6" ht="14.25">
      <c r="A222" s="45"/>
      <c r="B222" s="45" t="s">
        <v>167</v>
      </c>
      <c r="C222" s="46" t="str">
        <f>HYPERLINK("https://au.indeed.com/viewjob?from=iaBackPress&amp;jk=af1b55b733fc2a02&amp;vjs=3","Senior Linux Infrastructure Engineer")</f>
        <v>Senior Linux Infrastructure Engineer</v>
      </c>
      <c r="D222" s="45" t="s">
        <v>321</v>
      </c>
      <c r="E222" s="47">
        <v>44221.653877314813</v>
      </c>
      <c r="F222" s="45" t="s">
        <v>164</v>
      </c>
    </row>
    <row r="223" spans="1:6" ht="14.25">
      <c r="A223" s="45"/>
      <c r="B223" s="45" t="s">
        <v>167</v>
      </c>
      <c r="C223" s="46" t="str">
        <f>HYPERLINK("https://au.indeed.com/viewjob?from=iaBackPress&amp;jk=da59262b622737c1&amp;vjs=3","Rail Infrastructure - Engineers, Senior Managers, Administration, Safety")</f>
        <v>Rail Infrastructure - Engineers, Senior Managers, Administration, Safety</v>
      </c>
      <c r="D223" s="45" t="s">
        <v>322</v>
      </c>
      <c r="E223" s="47">
        <v>44221.654282407406</v>
      </c>
      <c r="F223" s="45" t="s">
        <v>164</v>
      </c>
    </row>
    <row r="224" spans="1:6" ht="14.25">
      <c r="A224" s="45"/>
      <c r="B224" s="45" t="s">
        <v>167</v>
      </c>
      <c r="C224" s="46" t="str">
        <f>HYPERLINK("https://au.indeed.com/viewjob?from=iaBackPress&amp;jk=884ca5b70b563ae0&amp;vjs=3","Electrical Project Engineer | Water Infrastructure")</f>
        <v>Electrical Project Engineer | Water Infrastructure</v>
      </c>
      <c r="D224" s="45" t="s">
        <v>290</v>
      </c>
      <c r="E224" s="47">
        <v>44221.655046296299</v>
      </c>
      <c r="F224" s="45" t="s">
        <v>164</v>
      </c>
    </row>
    <row r="225" spans="1:6" ht="14.25">
      <c r="A225" s="45"/>
      <c r="B225" s="45" t="s">
        <v>223</v>
      </c>
      <c r="C225" s="46" t="str">
        <f>HYPERLINK("https://au.indeed.com/viewjob?from=iaBackPress&amp;jk=ae228b844e579487&amp;vjs=3","Automation &amp; Process Engineer")</f>
        <v>Automation &amp; Process Engineer</v>
      </c>
      <c r="D225" s="45" t="s">
        <v>314</v>
      </c>
      <c r="E225" s="47">
        <v>44221.656689814816</v>
      </c>
      <c r="F225" s="45" t="s">
        <v>164</v>
      </c>
    </row>
    <row r="226" spans="1:6" ht="14.25">
      <c r="A226" s="45"/>
      <c r="B226" s="45" t="s">
        <v>192</v>
      </c>
      <c r="C226" s="46" t="str">
        <f>HYPERLINK("https://au.indeed.com/viewjob?from=iaBackPress&amp;jk=055073db3b0fcab6&amp;vjs=3","Senior Production Support Engineer")</f>
        <v>Senior Production Support Engineer</v>
      </c>
      <c r="D226" s="45" t="s">
        <v>321</v>
      </c>
      <c r="E226" s="47">
        <v>44221.657233796293</v>
      </c>
      <c r="F226" s="45" t="s">
        <v>164</v>
      </c>
    </row>
    <row r="227" spans="1:6" ht="14.25">
      <c r="A227" s="45"/>
      <c r="B227" s="45" t="s">
        <v>176</v>
      </c>
      <c r="C227" s="46" t="str">
        <f>HYPERLINK("https://au.indeed.com/viewjob?from=iaBackPress&amp;jk=ab0475ec51a21a17&amp;vjs=3","Project Engineer")</f>
        <v>Project Engineer</v>
      </c>
      <c r="D227" s="45" t="s">
        <v>323</v>
      </c>
      <c r="E227" s="47">
        <v>44221.658495370371</v>
      </c>
      <c r="F227" s="45" t="s">
        <v>164</v>
      </c>
    </row>
    <row r="228" spans="1:6" ht="14.25">
      <c r="A228" s="45"/>
      <c r="B228" s="45" t="s">
        <v>176</v>
      </c>
      <c r="C228" s="46" t="str">
        <f>HYPERLINK("https://au.indeed.com/viewjob?from=iaBackPress&amp;jk=00191838bddad40b&amp;vjs=3","EOI (Project Engineer &amp; Project Manager) - Senior Consultant")</f>
        <v>EOI (Project Engineer &amp; Project Manager) - Senior Consultant</v>
      </c>
      <c r="D228" s="45" t="s">
        <v>324</v>
      </c>
      <c r="E228" s="47">
        <v>44221.659560185188</v>
      </c>
      <c r="F228" s="45" t="s">
        <v>164</v>
      </c>
    </row>
    <row r="229" spans="1:6" ht="14.25">
      <c r="A229" s="45"/>
      <c r="B229" s="45" t="s">
        <v>176</v>
      </c>
      <c r="C229" s="46" t="str">
        <f>HYPERLINK("https://au.indeed.com/viewjob?from=iaBackPress&amp;jk=7721b72ea59db5f0&amp;vjs=3","BMS Project Engineer")</f>
        <v>BMS Project Engineer</v>
      </c>
      <c r="D229" s="45" t="s">
        <v>325</v>
      </c>
      <c r="E229" s="47">
        <v>44221.660231481481</v>
      </c>
      <c r="F229" s="45" t="s">
        <v>164</v>
      </c>
    </row>
    <row r="230" spans="1:6" ht="14.25">
      <c r="A230" s="45"/>
      <c r="B230" s="45" t="s">
        <v>176</v>
      </c>
      <c r="C230" s="46" t="str">
        <f>HYPERLINK("https://au.indeed.com/viewjob?from=iaBackPress&amp;jk=9e40592d65a2f494&amp;vjs=3","Project Engineer")</f>
        <v>Project Engineer</v>
      </c>
      <c r="D230" s="45" t="s">
        <v>195</v>
      </c>
      <c r="E230" s="47">
        <v>44221.661990740744</v>
      </c>
      <c r="F230" s="45" t="s">
        <v>164</v>
      </c>
    </row>
    <row r="231" spans="1:6" ht="14.25">
      <c r="A231" s="45"/>
      <c r="B231" s="45" t="s">
        <v>176</v>
      </c>
      <c r="C231" s="46" t="str">
        <f>HYPERLINK("https://au.indeed.com/viewjob?from=iaBackPress&amp;jk=cf9d12e2749adcda&amp;vjs=3","Project Engineer - RMS Roadworks")</f>
        <v>Project Engineer - RMS Roadworks</v>
      </c>
      <c r="D231" s="45" t="s">
        <v>188</v>
      </c>
      <c r="E231" s="47">
        <v>44221.663206018522</v>
      </c>
      <c r="F231" s="45" t="s">
        <v>164</v>
      </c>
    </row>
    <row r="232" spans="1:6" ht="14.25">
      <c r="A232" s="45"/>
      <c r="B232" s="45" t="s">
        <v>176</v>
      </c>
      <c r="C232" s="46" t="str">
        <f>HYPERLINK("https://au.indeed.com/viewjob?from=iaBackPress&amp;jk=146541d6f6a4908d&amp;vjs=3","Senior Project Engineer - civil")</f>
        <v>Senior Project Engineer - civil</v>
      </c>
      <c r="D232" s="45" t="s">
        <v>178</v>
      </c>
      <c r="E232" s="47">
        <v>44221.664178240739</v>
      </c>
      <c r="F232" s="45" t="s">
        <v>164</v>
      </c>
    </row>
    <row r="233" spans="1:6" ht="14.25">
      <c r="A233" s="45"/>
      <c r="B233" s="45" t="s">
        <v>176</v>
      </c>
      <c r="C233" s="46" t="str">
        <f>HYPERLINK("https://au.indeed.com/viewjob?from=iaBackPress&amp;jk=f7d5778bc579072f&amp;vjs=3","Project Engineers  (Mech, Elec, Civil) Major Solar Farm Project (NSW)")</f>
        <v>Project Engineers  (Mech, Elec, Civil) Major Solar Farm Project (NSW)</v>
      </c>
      <c r="D233" s="45" t="s">
        <v>326</v>
      </c>
      <c r="E233" s="47">
        <v>44221.664594907408</v>
      </c>
      <c r="F233" s="45" t="s">
        <v>164</v>
      </c>
    </row>
    <row r="234" spans="1:6" ht="14.25">
      <c r="A234" s="45"/>
      <c r="B234" s="45" t="s">
        <v>176</v>
      </c>
      <c r="C234" s="46" t="str">
        <f>HYPERLINK("https://au.indeed.com/viewjob?from=iaBackPress&amp;jk=c762922d9690e7a4&amp;vjs=3","Electrical Project Engineer")</f>
        <v>Electrical Project Engineer</v>
      </c>
      <c r="D234" s="45" t="s">
        <v>182</v>
      </c>
      <c r="E234" s="47">
        <v>44221.665000000001</v>
      </c>
      <c r="F234" s="45" t="s">
        <v>164</v>
      </c>
    </row>
    <row r="235" spans="1:6" ht="14.25">
      <c r="A235" s="45"/>
      <c r="B235" s="45" t="s">
        <v>176</v>
      </c>
      <c r="C235" s="46" t="str">
        <f>HYPERLINK("https://au.indeed.com/viewjob?from=iaBackPress&amp;jk=c6cefe97a6bb6afa&amp;vjs=3","Project Engineer/Estimator")</f>
        <v>Project Engineer/Estimator</v>
      </c>
      <c r="D235" s="45" t="s">
        <v>327</v>
      </c>
      <c r="E235" s="47">
        <v>44221.665416666663</v>
      </c>
      <c r="F235" s="45" t="s">
        <v>164</v>
      </c>
    </row>
    <row r="236" spans="1:6" ht="14.25">
      <c r="A236" s="45"/>
      <c r="B236" s="45" t="s">
        <v>176</v>
      </c>
      <c r="C236" s="46" t="str">
        <f>HYPERLINK("https://au.indeed.com/viewjob?from=iaBackPress&amp;jk=4e3f453f43cb2133&amp;vjs=3","Senior Project Engineer")</f>
        <v>Senior Project Engineer</v>
      </c>
      <c r="D236" s="45" t="s">
        <v>199</v>
      </c>
      <c r="E236" s="47">
        <v>44221.665949074071</v>
      </c>
      <c r="F236" s="45" t="s">
        <v>164</v>
      </c>
    </row>
    <row r="237" spans="1:6" ht="14.25">
      <c r="A237" s="45"/>
      <c r="B237" s="45" t="s">
        <v>176</v>
      </c>
      <c r="C237" s="46" t="str">
        <f>HYPERLINK("https://au.indeed.com/viewjob?from=iaBackPress&amp;jk=28da9a2be3456653&amp;vjs=3","Senior Project Engineer")</f>
        <v>Senior Project Engineer</v>
      </c>
      <c r="D237" s="45" t="s">
        <v>182</v>
      </c>
      <c r="E237" s="47">
        <v>44221.666354166664</v>
      </c>
      <c r="F237" s="45" t="s">
        <v>164</v>
      </c>
    </row>
    <row r="238" spans="1:6" ht="14.25">
      <c r="A238" s="45"/>
      <c r="B238" s="45" t="s">
        <v>176</v>
      </c>
      <c r="C238" s="46" t="str">
        <f>HYPERLINK("https://au.indeed.com/viewjob?from=iaBackPress&amp;jk=afcfc9510bf09396&amp;vjs=3","Signalling Site Supervisor &amp; Project Engineer")</f>
        <v>Signalling Site Supervisor &amp; Project Engineer</v>
      </c>
      <c r="D238" s="45" t="s">
        <v>328</v>
      </c>
      <c r="E238" s="47">
        <v>44221.666805555556</v>
      </c>
      <c r="F238" s="45" t="s">
        <v>164</v>
      </c>
    </row>
    <row r="239" spans="1:6" ht="14.25">
      <c r="A239" s="45"/>
      <c r="B239" s="45" t="s">
        <v>176</v>
      </c>
      <c r="C239" s="46" t="str">
        <f>HYPERLINK("https://au.indeed.com/viewjob?from=iaBackPress&amp;jk=f1a999d7a232158b&amp;vjs=3","Level 2/3 Engineer / Project Engineer")</f>
        <v>Level 2/3 Engineer / Project Engineer</v>
      </c>
      <c r="D239" s="45" t="s">
        <v>275</v>
      </c>
      <c r="E239" s="47">
        <v>44221.667824074073</v>
      </c>
      <c r="F239" s="45" t="s">
        <v>164</v>
      </c>
    </row>
    <row r="240" spans="1:6" ht="14.25">
      <c r="A240" s="45"/>
      <c r="B240" s="45" t="s">
        <v>176</v>
      </c>
      <c r="C240" s="46" t="str">
        <f>HYPERLINK("https://au.indeed.com/viewjob?from=iaBackPress&amp;jk=64d04b79433ce931&amp;vjs=3","Project Engineer")</f>
        <v>Project Engineer</v>
      </c>
      <c r="D240" s="45" t="s">
        <v>329</v>
      </c>
      <c r="E240" s="47">
        <v>44221.668692129628</v>
      </c>
      <c r="F240" s="45" t="s">
        <v>164</v>
      </c>
    </row>
    <row r="241" spans="1:6" ht="14.25">
      <c r="A241" s="45"/>
      <c r="B241" s="45" t="s">
        <v>176</v>
      </c>
      <c r="C241" s="46" t="str">
        <f>HYPERLINK("https://au.indeed.com/viewjob?from=iaBackPress&amp;jk=4f7c8ecd33cc6caf&amp;vjs=3","Project Engineer - Roads / Structures")</f>
        <v>Project Engineer - Roads / Structures</v>
      </c>
      <c r="D241" s="45" t="s">
        <v>293</v>
      </c>
      <c r="E241" s="47">
        <v>44221.66909722222</v>
      </c>
      <c r="F241" s="45" t="s">
        <v>164</v>
      </c>
    </row>
    <row r="242" spans="1:6" ht="14.25">
      <c r="A242" s="45"/>
      <c r="B242" s="45" t="s">
        <v>176</v>
      </c>
      <c r="C242" s="46" t="str">
        <f>HYPERLINK("https://au.indeed.com/viewjob?from=iaBackPress&amp;jk=671a4886c82d275d&amp;vjs=3","Senior Project Engineer")</f>
        <v>Senior Project Engineer</v>
      </c>
      <c r="D242" s="45" t="s">
        <v>295</v>
      </c>
      <c r="E242" s="47">
        <v>44221.670219907406</v>
      </c>
      <c r="F242" s="45" t="s">
        <v>164</v>
      </c>
    </row>
    <row r="243" spans="1:6" ht="14.25">
      <c r="A243" s="45"/>
      <c r="B243" s="45" t="s">
        <v>176</v>
      </c>
      <c r="C243" s="46" t="str">
        <f>HYPERLINK("https://au.indeed.com/viewjob?from=iaBackPress&amp;jk=07959557cab6b65f&amp;vjs=3","Communications Project Engineer")</f>
        <v>Communications Project Engineer</v>
      </c>
      <c r="D243" s="45" t="s">
        <v>177</v>
      </c>
      <c r="E243" s="47">
        <v>44221.670624999999</v>
      </c>
      <c r="F243" s="45" t="s">
        <v>164</v>
      </c>
    </row>
    <row r="244" spans="1:6" ht="14.25">
      <c r="A244" s="45"/>
      <c r="B244" s="45" t="s">
        <v>176</v>
      </c>
      <c r="C244" s="46" t="str">
        <f>HYPERLINK("https://au.indeed.com/viewjob?from=iaBackPress&amp;jk=40f05dd02d1e6092&amp;vjs=3","Project Engineer")</f>
        <v>Project Engineer</v>
      </c>
      <c r="D244" s="45" t="s">
        <v>177</v>
      </c>
      <c r="E244" s="47">
        <v>44221.671030092592</v>
      </c>
      <c r="F244" s="45" t="s">
        <v>164</v>
      </c>
    </row>
    <row r="245" spans="1:6" ht="14.25">
      <c r="A245" s="45"/>
      <c r="B245" s="45" t="s">
        <v>176</v>
      </c>
      <c r="C245" s="46" t="str">
        <f>HYPERLINK("https://au.indeed.com/viewjob?from=iaBackPress&amp;jk=8d9b1ecf427eebf4&amp;vjs=3","Project Engineer")</f>
        <v>Project Engineer</v>
      </c>
      <c r="D245" s="45" t="s">
        <v>330</v>
      </c>
      <c r="E245" s="47">
        <v>44221.671435185184</v>
      </c>
      <c r="F245" s="45" t="s">
        <v>164</v>
      </c>
    </row>
    <row r="246" spans="1:6" ht="14.25">
      <c r="A246" s="45"/>
      <c r="B246" s="45" t="s">
        <v>176</v>
      </c>
      <c r="C246" s="46" t="str">
        <f>HYPERLINK("https://au.indeed.com/viewjob?from=iaBackPress&amp;jk=30b51af19d8e02fc&amp;vjs=3","Senior Environmental Scientist / Engineer – Project Management")</f>
        <v>Senior Environmental Scientist / Engineer – Project Management</v>
      </c>
      <c r="D246" s="45" t="s">
        <v>331</v>
      </c>
      <c r="E246" s="47">
        <v>44221.672106481485</v>
      </c>
      <c r="F246" s="45" t="s">
        <v>164</v>
      </c>
    </row>
    <row r="247" spans="1:6" ht="14.25">
      <c r="A247" s="45"/>
      <c r="B247" s="45" t="s">
        <v>176</v>
      </c>
      <c r="C247" s="46" t="str">
        <f>HYPERLINK("https://au.indeed.com/viewjob?from=iaBackPress&amp;jk=2f8a3202f18ba304&amp;vjs=3","Senior System Engineer - 100% Projects - IT Solutions Provider")</f>
        <v>Senior System Engineer - 100% Projects - IT Solutions Provider</v>
      </c>
      <c r="D247" s="45" t="s">
        <v>168</v>
      </c>
      <c r="E247" s="47">
        <v>44221.672534722224</v>
      </c>
      <c r="F247" s="45" t="s">
        <v>164</v>
      </c>
    </row>
    <row r="248" spans="1:6" ht="14.25">
      <c r="A248" s="45"/>
      <c r="B248" s="45" t="s">
        <v>176</v>
      </c>
      <c r="C248" s="46" t="str">
        <f>HYPERLINK("https://au.indeed.com/viewjob?from=iaBackPress&amp;jk=f910b6a39f270440&amp;vjs=3","Senior Structural Engineer - Tier 1 Projects")</f>
        <v>Senior Structural Engineer - Tier 1 Projects</v>
      </c>
      <c r="D248" s="45" t="s">
        <v>182</v>
      </c>
      <c r="E248" s="47">
        <v>44221.672939814816</v>
      </c>
      <c r="F248" s="45" t="s">
        <v>164</v>
      </c>
    </row>
    <row r="249" spans="1:6" ht="14.25">
      <c r="A249" s="45"/>
      <c r="B249" s="45" t="s">
        <v>176</v>
      </c>
      <c r="C249" s="46" t="str">
        <f>HYPERLINK("https://au.indeed.com/viewjob?from=iaBackPress&amp;jk=65c80ff9e13e795a&amp;vjs=3","Senior Structural Engineer - Tier 1 Projects")</f>
        <v>Senior Structural Engineer - Tier 1 Projects</v>
      </c>
      <c r="D249" s="45" t="s">
        <v>182</v>
      </c>
      <c r="E249" s="47">
        <v>44221.673472222225</v>
      </c>
      <c r="F249" s="45" t="s">
        <v>164</v>
      </c>
    </row>
    <row r="250" spans="1:6" ht="14.25">
      <c r="A250" s="45"/>
      <c r="B250" s="45" t="s">
        <v>176</v>
      </c>
      <c r="C250" s="46" t="str">
        <f>HYPERLINK("https://au.indeed.com/viewjob?from=iaBackPress&amp;jk=2406b1c973044f4b&amp;vjs=3","Project Engineer - Rail")</f>
        <v>Project Engineer - Rail</v>
      </c>
      <c r="D250" s="45" t="s">
        <v>295</v>
      </c>
      <c r="E250" s="47">
        <v>44221.674039351848</v>
      </c>
      <c r="F250" s="45" t="s">
        <v>164</v>
      </c>
    </row>
    <row r="251" spans="1:6" ht="14.25">
      <c r="A251" s="45"/>
      <c r="B251" s="45" t="s">
        <v>176</v>
      </c>
      <c r="C251" s="46" t="str">
        <f>HYPERLINK("https://au.indeed.com/viewjob?from=iaBackPress&amp;jk=1767cb5bc7c5c76e&amp;vjs=3","Engineers/ supervisor/ Project Manager - Anchors")</f>
        <v>Engineers/ supervisor/ Project Manager - Anchors</v>
      </c>
      <c r="D251" s="45" t="s">
        <v>282</v>
      </c>
      <c r="E251" s="47">
        <v>44221.674675925926</v>
      </c>
      <c r="F251" s="45" t="s">
        <v>164</v>
      </c>
    </row>
    <row r="252" spans="1:6" ht="14.25">
      <c r="A252" s="45"/>
      <c r="B252" s="45" t="s">
        <v>176</v>
      </c>
      <c r="C252" s="46" t="str">
        <f>HYPERLINK("https://au.indeed.com/viewjob?from=iaBackPress&amp;jk=bded1ea7950b81b2&amp;vjs=3","Project Engineer")</f>
        <v>Project Engineer</v>
      </c>
      <c r="D252" s="45" t="s">
        <v>199</v>
      </c>
      <c r="E252" s="47">
        <v>44221.675243055557</v>
      </c>
      <c r="F252" s="45" t="s">
        <v>164</v>
      </c>
    </row>
    <row r="253" spans="1:6" ht="14.25">
      <c r="A253" s="45"/>
      <c r="B253" s="45" t="s">
        <v>176</v>
      </c>
      <c r="C253" s="46" t="str">
        <f>HYPERLINK("https://au.indeed.com/viewjob?from=iaBackPress&amp;jk=2c3bff315d14e90e&amp;vjs=3","Project Engineer")</f>
        <v>Project Engineer</v>
      </c>
      <c r="D253" s="45" t="s">
        <v>232</v>
      </c>
      <c r="E253" s="47">
        <v>44221.675856481481</v>
      </c>
      <c r="F253" s="45" t="s">
        <v>164</v>
      </c>
    </row>
    <row r="254" spans="1:6" ht="14.25">
      <c r="A254" s="45"/>
      <c r="B254" s="45" t="s">
        <v>332</v>
      </c>
      <c r="C254" s="46" t="str">
        <f>HYPERLINK("https://au.indeed.com/viewjob?from=iaBackPress&amp;jk=8bc7d173f1800655&amp;vjs=3","Mechanical Fitter | Field Service and Projects")</f>
        <v>Mechanical Fitter | Field Service and Projects</v>
      </c>
      <c r="D254" s="45" t="s">
        <v>254</v>
      </c>
      <c r="E254" s="47">
        <v>44221.676423611112</v>
      </c>
      <c r="F254" s="45" t="s">
        <v>164</v>
      </c>
    </row>
    <row r="255" spans="1:6" ht="14.25">
      <c r="A255" s="45"/>
      <c r="B255" s="45" t="s">
        <v>202</v>
      </c>
      <c r="C255" s="46" t="str">
        <f>HYPERLINK("https://au.indeed.com/viewjob?from=iaBackPress&amp;jk=fd1c4229a0d53d9a&amp;vjs=3","Site Reliability Engineer | Python | 100% Remote")</f>
        <v>Site Reliability Engineer | Python | 100% Remote</v>
      </c>
      <c r="D255" s="45" t="s">
        <v>207</v>
      </c>
      <c r="E255" s="47">
        <v>44221.677870370368</v>
      </c>
      <c r="F255" s="45" t="s">
        <v>164</v>
      </c>
    </row>
    <row r="256" spans="1:6" ht="14.25">
      <c r="A256" s="45"/>
      <c r="B256" s="45" t="s">
        <v>202</v>
      </c>
      <c r="C256" s="46" t="str">
        <f>HYPERLINK("https://au.indeed.com/viewjob?from=iaBackPress&amp;jk=2d1e22324db18c62&amp;vjs=3","SITE RELIABILITY ENGINEER / SENIOR SOFTWARE DEVELOPER ( PYTHON FOCUSED)")</f>
        <v>SITE RELIABILITY ENGINEER / SENIOR SOFTWARE DEVELOPER ( PYTHON FOCUSED)</v>
      </c>
      <c r="D256" s="45" t="s">
        <v>208</v>
      </c>
      <c r="E256" s="47">
        <v>44221.679942129631</v>
      </c>
      <c r="F256" s="45" t="s">
        <v>164</v>
      </c>
    </row>
    <row r="257" spans="1:6" ht="14.25">
      <c r="A257" s="45"/>
      <c r="B257" s="45" t="s">
        <v>202</v>
      </c>
      <c r="C257" s="46" t="str">
        <f>HYPERLINK("https://au.indeed.com/viewjob?from=iaBackPress&amp;jk=1e0d5481fcf0c07f&amp;vjs=3","Site Reliability Engineer | Kubernetes")</f>
        <v>Site Reliability Engineer | Kubernetes</v>
      </c>
      <c r="D257" s="45" t="s">
        <v>207</v>
      </c>
      <c r="E257" s="47">
        <v>44221.680462962962</v>
      </c>
      <c r="F257" s="45" t="s">
        <v>164</v>
      </c>
    </row>
    <row r="258" spans="1:6" ht="14.25">
      <c r="A258" s="45"/>
      <c r="B258" s="45" t="s">
        <v>202</v>
      </c>
      <c r="C258" s="46" t="str">
        <f>HYPERLINK("https://au.indeed.com/viewjob?from=iaBackPress&amp;jk=a131bfb2f76dacb8&amp;vjs=3","Site Reliability Engineer | Kubernetes")</f>
        <v>Site Reliability Engineer | Kubernetes</v>
      </c>
      <c r="D258" s="45" t="s">
        <v>207</v>
      </c>
      <c r="E258" s="47">
        <v>44221.681539351855</v>
      </c>
      <c r="F258" s="45" t="s">
        <v>164</v>
      </c>
    </row>
    <row r="259" spans="1:6" ht="14.25">
      <c r="A259" s="45"/>
      <c r="B259" s="45" t="s">
        <v>202</v>
      </c>
      <c r="C259" s="46" t="str">
        <f>HYPERLINK("https://au.indeed.com/viewjob?from=iaBackPress&amp;jk=8271f89020bce848&amp;vjs=3","Lead Site Reliability &amp; DevOps Engineers (Multi roles)")</f>
        <v>Lead Site Reliability &amp; DevOps Engineers (Multi roles)</v>
      </c>
      <c r="D259" s="45" t="s">
        <v>333</v>
      </c>
      <c r="E259" s="47">
        <v>44221.682303240741</v>
      </c>
      <c r="F259" s="45" t="s">
        <v>164</v>
      </c>
    </row>
    <row r="260" spans="1:6" ht="14.25">
      <c r="A260" s="45"/>
      <c r="B260" s="45" t="s">
        <v>202</v>
      </c>
      <c r="C260" s="46" t="str">
        <f>HYPERLINK("https://au.indeed.com/viewjob?from=iaBackPress&amp;jk=4b3dc1946072122f&amp;vjs=3","Site Reliability Engineer - (Remote)")</f>
        <v>Site Reliability Engineer - (Remote)</v>
      </c>
      <c r="D260" s="45" t="s">
        <v>334</v>
      </c>
      <c r="E260" s="47">
        <v>44221.682962962965</v>
      </c>
      <c r="F260" s="45" t="s">
        <v>164</v>
      </c>
    </row>
    <row r="261" spans="1:6" ht="14.25">
      <c r="A261" s="45"/>
      <c r="B261" s="45" t="s">
        <v>202</v>
      </c>
      <c r="C261" s="46" t="str">
        <f>HYPERLINK("https://au.indeed.com/viewjob?from=iaBackPress&amp;jk=933d2922da7e15f4&amp;vjs=3","Senior Site Reliability Engineer (Fully Remote)")</f>
        <v>Senior Site Reliability Engineer (Fully Remote)</v>
      </c>
      <c r="D261" s="45" t="s">
        <v>334</v>
      </c>
      <c r="E261" s="47">
        <v>44221.684699074074</v>
      </c>
      <c r="F261" s="45" t="s">
        <v>164</v>
      </c>
    </row>
    <row r="262" spans="1:6" ht="14.25">
      <c r="A262" s="45"/>
      <c r="B262" s="45" t="s">
        <v>209</v>
      </c>
      <c r="C262" s="46" t="str">
        <f>HYPERLINK("https://au.indeed.com/viewjob?from=iaBackPress&amp;jk=637291d23fc19d97&amp;vjs=3","Senior Automation Engineer (Financial Services)")</f>
        <v>Senior Automation Engineer (Financial Services)</v>
      </c>
      <c r="D262" s="45" t="s">
        <v>247</v>
      </c>
      <c r="E262" s="47">
        <v>44221.685358796298</v>
      </c>
      <c r="F262" s="45" t="s">
        <v>164</v>
      </c>
    </row>
    <row r="263" spans="1:6" ht="14.25">
      <c r="A263" s="45"/>
      <c r="B263" s="45" t="s">
        <v>209</v>
      </c>
      <c r="C263" s="46" t="str">
        <f>HYPERLINK("https://au.indeed.com/viewjob?from=iaBackPress&amp;jk=b58f044900899de3&amp;vjs=3","LEVEL 1.5-2 ENGINEER - MANAGED SERVICES - AUSSIE SUCCESS STORY!")</f>
        <v>LEVEL 1.5-2 ENGINEER - MANAGED SERVICES - AUSSIE SUCCESS STORY!</v>
      </c>
      <c r="D263" s="45" t="s">
        <v>335</v>
      </c>
      <c r="E263" s="47">
        <v>44221.685879629629</v>
      </c>
      <c r="F263" s="45" t="s">
        <v>164</v>
      </c>
    </row>
    <row r="264" spans="1:6" ht="14.25">
      <c r="A264" s="45"/>
      <c r="B264" s="45" t="s">
        <v>209</v>
      </c>
      <c r="C264" s="46" t="str">
        <f>HYPERLINK("https://au.indeed.com/viewjob?from=iaBackPress&amp;jk=9876cb3897d35bc1&amp;vjs=3","Technical Services Escalation Engineer")</f>
        <v>Technical Services Escalation Engineer</v>
      </c>
      <c r="D264" s="45" t="s">
        <v>336</v>
      </c>
      <c r="E264" s="47">
        <v>44221.686736111114</v>
      </c>
      <c r="F264" s="45" t="s">
        <v>164</v>
      </c>
    </row>
    <row r="265" spans="1:6" ht="14.25">
      <c r="A265" s="45"/>
      <c r="B265" s="45" t="s">
        <v>209</v>
      </c>
      <c r="C265" s="46" t="str">
        <f>HYPERLINK("https://au.indeed.com/viewjob?from=iaBackPress&amp;jk=ecf2d8ab2095261c&amp;vjs=3","LEV 2.5-3 ENGINEER - MANAGED SERVICES - SUPERB AUSSIE MSP!")</f>
        <v>LEV 2.5-3 ENGINEER - MANAGED SERVICES - SUPERB AUSSIE MSP!</v>
      </c>
      <c r="D265" s="45" t="s">
        <v>335</v>
      </c>
      <c r="E265" s="47">
        <v>44221.687372685185</v>
      </c>
      <c r="F265" s="45" t="s">
        <v>164</v>
      </c>
    </row>
    <row r="266" spans="1:6" ht="14.25">
      <c r="A266" s="45"/>
      <c r="B266" s="45" t="s">
        <v>209</v>
      </c>
      <c r="C266" s="46" t="str">
        <f>HYPERLINK("https://au.indeed.com/viewjob?from=iaBackPress&amp;jk=9d88eaaf05c369b7&amp;vjs=3","Technical Services Engineer")</f>
        <v>Technical Services Engineer</v>
      </c>
      <c r="D266" s="45" t="s">
        <v>337</v>
      </c>
      <c r="E266" s="47">
        <v>44221.687777777777</v>
      </c>
      <c r="F266" s="45" t="s">
        <v>164</v>
      </c>
    </row>
    <row r="267" spans="1:6" ht="14.25">
      <c r="A267" s="45"/>
      <c r="B267" s="45" t="s">
        <v>209</v>
      </c>
      <c r="C267" s="46" t="str">
        <f>HYPERLINK("https://au.indeed.com/viewjob?from=iaBackPress&amp;jk=3f2746c9c93fb568&amp;vjs=3","Field Service Engineer")</f>
        <v>Field Service Engineer</v>
      </c>
      <c r="D267" s="45" t="s">
        <v>338</v>
      </c>
      <c r="E267" s="47">
        <v>44221.688310185185</v>
      </c>
      <c r="F267" s="45" t="s">
        <v>164</v>
      </c>
    </row>
    <row r="268" spans="1:6" ht="14.25">
      <c r="A268" s="45"/>
      <c r="B268" s="45" t="s">
        <v>209</v>
      </c>
      <c r="C268" s="46" t="str">
        <f>HYPERLINK("https://au.indeed.com/viewjob?from=iaBackPress&amp;jk=c0c4bdfb1960c03b&amp;vjs=3","Acoustic Engineer - Building Services")</f>
        <v>Acoustic Engineer - Building Services</v>
      </c>
      <c r="D268" s="45" t="s">
        <v>339</v>
      </c>
      <c r="E268" s="47">
        <v>44221.69090277778</v>
      </c>
      <c r="F268" s="45" t="s">
        <v>164</v>
      </c>
    </row>
    <row r="269" spans="1:6" ht="14.25">
      <c r="A269" s="45"/>
      <c r="B269" s="45" t="s">
        <v>209</v>
      </c>
      <c r="C269" s="46" t="str">
        <f>HYPERLINK("https://au.indeed.com/viewjob?from=iaBackPress&amp;jk=722af4b3aaf47d15&amp;vjs=3","Level 2 Service Engineer")</f>
        <v>Level 2 Service Engineer</v>
      </c>
      <c r="D269" s="45" t="s">
        <v>340</v>
      </c>
      <c r="E269" s="47">
        <v>44221.692418981482</v>
      </c>
      <c r="F269" s="45" t="s">
        <v>164</v>
      </c>
    </row>
    <row r="270" spans="1:6" ht="14.25">
      <c r="A270" s="45"/>
      <c r="B270" s="45" t="s">
        <v>209</v>
      </c>
      <c r="C270" s="46" t="str">
        <f>HYPERLINK("https://au.indeed.com/viewjob?from=iaBackPress&amp;jk=3effb121a97937ff&amp;vjs=3","Security Engineer - Professional Services")</f>
        <v>Security Engineer - Professional Services</v>
      </c>
      <c r="D270" s="45" t="s">
        <v>341</v>
      </c>
      <c r="E270" s="47">
        <v>44221.693194444444</v>
      </c>
      <c r="F270" s="45" t="s">
        <v>164</v>
      </c>
    </row>
    <row r="271" spans="1:6" ht="14.25">
      <c r="A271" s="45"/>
      <c r="B271" s="45" t="s">
        <v>209</v>
      </c>
      <c r="C271" s="46" t="str">
        <f>HYPERLINK("https://au.indeed.com/viewjob?from=iaBackPress&amp;jk=b501854a131376d3&amp;vjs=3","New Position, Laboratory Instrumentation - Field Service Engineer")</f>
        <v>New Position, Laboratory Instrumentation - Field Service Engineer</v>
      </c>
      <c r="D271" s="45" t="s">
        <v>342</v>
      </c>
      <c r="E271" s="47">
        <v>44221.693703703706</v>
      </c>
      <c r="F271" s="45" t="s">
        <v>164</v>
      </c>
    </row>
    <row r="272" spans="1:6" ht="14.25">
      <c r="A272" s="45"/>
      <c r="B272" s="45" t="s">
        <v>209</v>
      </c>
      <c r="C272" s="46" t="str">
        <f>HYPERLINK("https://au.indeed.com/viewjob?from=iaBackPress&amp;jk=60523b0e041bf255&amp;vjs=3","Hydraulic Engineer | Building Services")</f>
        <v>Hydraulic Engineer | Building Services</v>
      </c>
      <c r="D272" s="45" t="s">
        <v>212</v>
      </c>
      <c r="E272" s="47">
        <v>44221.694247685184</v>
      </c>
      <c r="F272" s="45" t="s">
        <v>164</v>
      </c>
    </row>
    <row r="273" spans="1:6" ht="14.25">
      <c r="A273" s="45"/>
      <c r="B273" s="45" t="s">
        <v>209</v>
      </c>
      <c r="C273" s="46" t="str">
        <f>HYPERLINK("https://au.indeed.com/viewjob?from=iaBackPress&amp;jk=69f93d105dff2cbf&amp;vjs=3","Senior Software Engineer (.Net &amp; AWS) - Financial Services (ASX listed)")</f>
        <v>Senior Software Engineer (.Net &amp; AWS) - Financial Services (ASX listed)</v>
      </c>
      <c r="D273" s="45" t="s">
        <v>343</v>
      </c>
      <c r="E273" s="47">
        <v>44221.694652777776</v>
      </c>
      <c r="F273" s="45" t="s">
        <v>164</v>
      </c>
    </row>
    <row r="274" spans="1:6" ht="14.25">
      <c r="A274" s="45"/>
      <c r="B274" s="45" t="s">
        <v>209</v>
      </c>
      <c r="C274" s="46" t="str">
        <f>HYPERLINK("https://au.indeed.com/viewjob?from=iaBackPress&amp;jk=360b966f3ed796af&amp;vjs=3","Intermediate-Senior Fire Protection Engineer - Building Services")</f>
        <v>Intermediate-Senior Fire Protection Engineer - Building Services</v>
      </c>
      <c r="D274" s="45" t="s">
        <v>339</v>
      </c>
      <c r="E274" s="47">
        <v>44221.695057870369</v>
      </c>
      <c r="F274" s="45" t="s">
        <v>164</v>
      </c>
    </row>
    <row r="275" spans="1:6" ht="14.25">
      <c r="A275" s="45"/>
      <c r="B275" s="45" t="s">
        <v>209</v>
      </c>
      <c r="C275" s="46" t="str">
        <f>HYPERLINK("https://au.indeed.com/viewjob?from=iaBackPress&amp;jk=37968d2352e280df&amp;vjs=3","Senior Services Engineer")</f>
        <v>Senior Services Engineer</v>
      </c>
      <c r="D275" s="45" t="s">
        <v>344</v>
      </c>
      <c r="E275" s="47">
        <v>44221.695671296293</v>
      </c>
      <c r="F275" s="45" t="s">
        <v>164</v>
      </c>
    </row>
    <row r="276" spans="1:6" ht="14.25">
      <c r="A276" s="45"/>
      <c r="B276" s="45" t="s">
        <v>209</v>
      </c>
      <c r="C276" s="46" t="str">
        <f>HYPERLINK("https://au.indeed.com/viewjob?from=iaBackPress&amp;jk=e5572d05b1661c80&amp;vjs=3","Principle Hydraulics Engineer | Building Services")</f>
        <v>Principle Hydraulics Engineer | Building Services</v>
      </c>
      <c r="D276" s="45" t="s">
        <v>182</v>
      </c>
      <c r="E276" s="47">
        <v>44221.696076388886</v>
      </c>
      <c r="F276" s="45" t="s">
        <v>164</v>
      </c>
    </row>
    <row r="277" spans="1:6" ht="14.25">
      <c r="A277" s="45"/>
      <c r="B277" s="45" t="s">
        <v>209</v>
      </c>
      <c r="C277" s="46" t="str">
        <f>HYPERLINK("https://au.indeed.com/viewjob?from=iaBackPress&amp;jk=1e8d84bc15379a10&amp;vjs=3","Service Now Engineer- Major Bank- long term contract")</f>
        <v>Service Now Engineer- Major Bank- long term contract</v>
      </c>
      <c r="D277" s="45" t="s">
        <v>316</v>
      </c>
      <c r="E277" s="47">
        <v>44221.69672453704</v>
      </c>
      <c r="F277" s="45" t="s">
        <v>164</v>
      </c>
    </row>
    <row r="278" spans="1:6" ht="14.25">
      <c r="A278" s="45"/>
      <c r="B278" s="45" t="s">
        <v>209</v>
      </c>
      <c r="C278" s="46" t="str">
        <f>HYPERLINK("https://au.indeed.com/viewjob?from=iaBackPress&amp;jk=b4b3094ad4735fc7&amp;vjs=3","Service Engineer")</f>
        <v>Service Engineer</v>
      </c>
      <c r="D278" s="45" t="s">
        <v>197</v>
      </c>
      <c r="E278" s="47">
        <v>44221.697650462964</v>
      </c>
      <c r="F278" s="45" t="s">
        <v>164</v>
      </c>
    </row>
    <row r="279" spans="1:6" ht="14.25">
      <c r="A279" s="45"/>
      <c r="B279" s="45" t="s">
        <v>209</v>
      </c>
      <c r="C279" s="46" t="str">
        <f>HYPERLINK("https://au.indeed.com/viewjob?from=iaBackPress&amp;jk=c8250c57d3a56373&amp;vjs=3","Senior Hydraulics Engineer | Building Services")</f>
        <v>Senior Hydraulics Engineer | Building Services</v>
      </c>
      <c r="D279" s="45" t="s">
        <v>182</v>
      </c>
      <c r="E279" s="47">
        <v>44221.698171296295</v>
      </c>
      <c r="F279" s="45" t="s">
        <v>164</v>
      </c>
    </row>
    <row r="280" spans="1:6" ht="14.25">
      <c r="A280" s="45"/>
      <c r="B280" s="45" t="s">
        <v>213</v>
      </c>
      <c r="C280" s="46" t="str">
        <f>HYPERLINK("https://au.indeed.com/viewjob?from=iaBackPress&amp;jk=2f066f161eaaa8a0&amp;vjs=3","Site Engineer")</f>
        <v>Site Engineer</v>
      </c>
      <c r="D280" s="45" t="s">
        <v>177</v>
      </c>
      <c r="E280" s="47">
        <v>44221.700243055559</v>
      </c>
      <c r="F280" s="45" t="s">
        <v>164</v>
      </c>
    </row>
    <row r="281" spans="1:6" ht="14.25">
      <c r="A281" s="45"/>
      <c r="B281" s="45" t="s">
        <v>213</v>
      </c>
      <c r="C281" s="46" t="str">
        <f>HYPERLINK("https://au.indeed.com/viewjob?from=iaBackPress&amp;jk=01382cc887cd484a&amp;vjs=3","Site Engineers")</f>
        <v>Site Engineers</v>
      </c>
      <c r="D281" s="45" t="s">
        <v>306</v>
      </c>
      <c r="E281" s="47">
        <v>44221.701412037037</v>
      </c>
      <c r="F281" s="45" t="s">
        <v>164</v>
      </c>
    </row>
    <row r="282" spans="1:6" ht="14.25">
      <c r="A282" s="45"/>
      <c r="B282" s="45" t="s">
        <v>213</v>
      </c>
      <c r="C282" s="46" t="str">
        <f>HYPERLINK("https://au.indeed.com/viewjob?from=iaBackPress&amp;jk=aa67aae1b0162b91&amp;vjs=3","Site Engineer")</f>
        <v>Site Engineer</v>
      </c>
      <c r="D282" s="45" t="s">
        <v>292</v>
      </c>
      <c r="E282" s="47">
        <v>44221.702210648145</v>
      </c>
      <c r="F282" s="45" t="s">
        <v>164</v>
      </c>
    </row>
    <row r="283" spans="1:6" ht="14.25">
      <c r="A283" s="45"/>
      <c r="B283" s="45" t="s">
        <v>213</v>
      </c>
      <c r="C283" s="46" t="str">
        <f>HYPERLINK("https://au.indeed.com/viewjob?from=iaBackPress&amp;jk=87960887c6a5bb0d&amp;vjs=3","Site / Project Engineer (concrete) - 3-5 yrs experience - Sydney")</f>
        <v>Site / Project Engineer (concrete) - 3-5 yrs experience - Sydney</v>
      </c>
      <c r="D283" s="45" t="s">
        <v>288</v>
      </c>
      <c r="E283" s="47">
        <v>44221.702650462961</v>
      </c>
      <c r="F283" s="45" t="s">
        <v>164</v>
      </c>
    </row>
    <row r="284" spans="1:6" ht="14.25">
      <c r="A284" s="45"/>
      <c r="B284" s="45" t="s">
        <v>213</v>
      </c>
      <c r="C284" s="46" t="str">
        <f>HYPERLINK("https://au.indeed.com/viewjob?from=iaBackPress&amp;jk=ddad60030d2e8840&amp;vjs=3","Site Engineer")</f>
        <v>Site Engineer</v>
      </c>
      <c r="D284" s="45" t="s">
        <v>201</v>
      </c>
      <c r="E284" s="47">
        <v>44221.703055555554</v>
      </c>
      <c r="F284" s="45" t="s">
        <v>164</v>
      </c>
    </row>
    <row r="285" spans="1:6" ht="14.25">
      <c r="A285" s="45"/>
      <c r="B285" s="45" t="s">
        <v>213</v>
      </c>
      <c r="C285" s="46" t="str">
        <f>HYPERLINK("https://au.indeed.com/viewjob?from=iaBackPress&amp;jk=5a1d66bcbd0bad68&amp;vjs=3","Site Engineers")</f>
        <v>Site Engineers</v>
      </c>
      <c r="D285" s="45" t="s">
        <v>345</v>
      </c>
      <c r="E285" s="47">
        <v>44221.703576388885</v>
      </c>
      <c r="F285" s="45" t="s">
        <v>164</v>
      </c>
    </row>
    <row r="286" spans="1:6" ht="14.25">
      <c r="A286" s="45"/>
      <c r="B286" s="45" t="s">
        <v>213</v>
      </c>
      <c r="C286" s="46" t="str">
        <f>HYPERLINK("https://au.indeed.com/viewjob?from=iaBackPress&amp;jk=48d5206125fec564&amp;vjs=3","Site Engineer")</f>
        <v>Site Engineer</v>
      </c>
      <c r="D286" s="45" t="s">
        <v>197</v>
      </c>
      <c r="E286" s="47">
        <v>44221.70517361111</v>
      </c>
      <c r="F286" s="45" t="s">
        <v>164</v>
      </c>
    </row>
    <row r="287" spans="1:6" ht="14.25">
      <c r="A287" s="45"/>
      <c r="B287" s="45" t="s">
        <v>213</v>
      </c>
      <c r="C287" s="46" t="str">
        <f>HYPERLINK("https://au.indeed.com/viewjob?from=iaBackPress&amp;jk=4f857f556165dfa4&amp;vjs=3","Contracts Administrator &amp; Site Engineers - Mandarin Speaking")</f>
        <v>Contracts Administrator &amp; Site Engineers - Mandarin Speaking</v>
      </c>
      <c r="D287" s="45" t="s">
        <v>346</v>
      </c>
      <c r="E287" s="47">
        <v>44221.705868055556</v>
      </c>
      <c r="F287" s="45" t="s">
        <v>164</v>
      </c>
    </row>
    <row r="288" spans="1:6" ht="14.25">
      <c r="A288" s="45"/>
      <c r="B288" s="45" t="s">
        <v>213</v>
      </c>
      <c r="C288" s="46" t="str">
        <f>HYPERLINK("https://au.indeed.com/viewjob?from=iaBackPress&amp;jk=056a377f6a2d0cf3&amp;vjs=3","Senior Environmental Scientist / Engineer – Contaminated Sites")</f>
        <v>Senior Environmental Scientist / Engineer – Contaminated Sites</v>
      </c>
      <c r="D288" s="45" t="s">
        <v>331</v>
      </c>
      <c r="E288" s="47">
        <v>44221.706307870372</v>
      </c>
      <c r="F288" s="45" t="s">
        <v>164</v>
      </c>
    </row>
    <row r="289" spans="1:6" ht="14.25">
      <c r="A289" s="45"/>
      <c r="B289" s="45" t="s">
        <v>347</v>
      </c>
      <c r="C289" s="46" t="str">
        <f>HYPERLINK("https://au.indeed.com/viewjob?from=iaBackPress&amp;jk=152e7cb239a97d2f&amp;vjs=3","Senior SRE Engineer (Improve) - MedTech SaaS Product - Competitive Salary")</f>
        <v>Senior SRE Engineer (Improve) - MedTech SaaS Product - Competitive Salary</v>
      </c>
      <c r="D289" s="45" t="s">
        <v>348</v>
      </c>
      <c r="E289" s="47">
        <v>44221.707662037035</v>
      </c>
      <c r="F289" s="45" t="s">
        <v>164</v>
      </c>
    </row>
    <row r="290" spans="1:6" ht="14.25">
      <c r="A290" s="45"/>
      <c r="B290" s="45" t="s">
        <v>347</v>
      </c>
      <c r="C290" s="46" t="str">
        <f>HYPERLINK("https://au.indeed.com/viewjob?from=iaBackPress&amp;jk=df1aa84cb5e4402e&amp;vjs=3","Full Stack Engineer * Greenfield Fintech Product *  Up to $150K + Super + Perks")</f>
        <v>Full Stack Engineer * Greenfield Fintech Product *  Up to $150K + Super + Perks</v>
      </c>
      <c r="D290" s="45" t="s">
        <v>348</v>
      </c>
      <c r="E290" s="47">
        <v>44221.708912037036</v>
      </c>
      <c r="F290" s="45" t="s">
        <v>164</v>
      </c>
    </row>
    <row r="291" spans="1:6" ht="14.25">
      <c r="A291" s="45"/>
      <c r="B291" s="45" t="s">
        <v>347</v>
      </c>
      <c r="C291" s="46" t="str">
        <f>HYPERLINK("https://au.indeed.com/viewjob?from=iaBackPress&amp;jk=4f9f5d38764d5d50&amp;vjs=3","2x Senior Golang Engineer | Global Tech Products")</f>
        <v>2x Senior Golang Engineer | Global Tech Products</v>
      </c>
      <c r="D291" s="45" t="s">
        <v>349</v>
      </c>
      <c r="E291" s="47">
        <v>44221.709328703706</v>
      </c>
      <c r="F291" s="45" t="s">
        <v>164</v>
      </c>
    </row>
    <row r="292" spans="1:6" ht="14.25">
      <c r="A292" s="45"/>
      <c r="B292" s="45" t="s">
        <v>347</v>
      </c>
      <c r="C292" s="46" t="str">
        <f>HYPERLINK("https://au.indeed.com/viewjob?from=iaBackPress&amp;jk=f2a7de4527f872cc&amp;vjs=3","Leading Data SaaS Product Company -2x Senior Data Engineers.")</f>
        <v>Leading Data SaaS Product Company -2x Senior Data Engineers.</v>
      </c>
      <c r="D292" s="45" t="s">
        <v>348</v>
      </c>
      <c r="E292" s="47">
        <v>44221.710243055553</v>
      </c>
      <c r="F292" s="45" t="s">
        <v>164</v>
      </c>
    </row>
    <row r="293" spans="1:6" ht="14.25">
      <c r="A293" s="45"/>
      <c r="B293" s="45" t="s">
        <v>347</v>
      </c>
      <c r="C293" s="46" t="str">
        <f>HYPERLINK("https://au.indeed.com/viewjob?from=iaBackPress&amp;jk=d01de3713084d754&amp;vjs=3","Leading Data SaaS Product Company -2x Senior Data Engineers.")</f>
        <v>Leading Data SaaS Product Company -2x Senior Data Engineers.</v>
      </c>
      <c r="D293" s="45" t="s">
        <v>348</v>
      </c>
      <c r="E293" s="47">
        <v>44221.710648148146</v>
      </c>
      <c r="F293" s="45" t="s">
        <v>164</v>
      </c>
    </row>
    <row r="294" spans="1:6" ht="14.25">
      <c r="A294" s="45"/>
      <c r="B294" s="45" t="s">
        <v>347</v>
      </c>
      <c r="C294" s="46" t="str">
        <f>HYPERLINK("https://au.indeed.com/viewjob?from=iaBackPress&amp;jk=833dae7696c54785&amp;vjs=3","Product Technologist / Engineer Technologist - Medical Mobility Equipment")</f>
        <v>Product Technologist / Engineer Technologist - Medical Mobility Equipment</v>
      </c>
      <c r="D294" s="45" t="s">
        <v>350</v>
      </c>
      <c r="E294" s="47">
        <v>44221.711539351854</v>
      </c>
      <c r="F294" s="45" t="s">
        <v>164</v>
      </c>
    </row>
    <row r="295" spans="1:6" ht="14.25">
      <c r="A295" s="45"/>
      <c r="B295" s="45" t="s">
        <v>249</v>
      </c>
      <c r="C295" s="46" t="str">
        <f>HYPERLINK("https://au.indeed.com/viewjob?from=iaBackPress&amp;jk=886c793cabbbc28e&amp;vjs=3","Control Systems Engineer")</f>
        <v>Control Systems Engineer</v>
      </c>
      <c r="D295" s="45" t="s">
        <v>351</v>
      </c>
      <c r="E295" s="47">
        <v>44221.71292824074</v>
      </c>
      <c r="F295" s="45" t="s">
        <v>237</v>
      </c>
    </row>
    <row r="296" spans="1:6" ht="14.25">
      <c r="A296" s="45"/>
      <c r="B296" s="45" t="s">
        <v>255</v>
      </c>
      <c r="C296" s="46" t="str">
        <f>HYPERLINK("https://au.indeed.com/viewjob?from=iaBackPress&amp;jk=b1ba7949a593ee83&amp;vjs=3","Electrical Design Engineer - Subdivisions")</f>
        <v>Electrical Design Engineer - Subdivisions</v>
      </c>
      <c r="D296" s="45" t="s">
        <v>269</v>
      </c>
      <c r="E296" s="47">
        <v>44221.714317129627</v>
      </c>
      <c r="F296" s="45" t="s">
        <v>237</v>
      </c>
    </row>
  </sheetData>
  <autoFilter ref="B1:F1"/>
  <hyperlinks>
    <hyperlink ref="D8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F154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" width="20.5703125" customWidth="1"/>
    <col min="3" max="3" width="57.85546875" customWidth="1"/>
    <col min="4" max="4" width="36.28515625" customWidth="1"/>
    <col min="5" max="5" width="22.28515625" customWidth="1"/>
    <col min="6" max="6" width="26.140625" customWidth="1"/>
  </cols>
  <sheetData>
    <row r="1" spans="1:6" ht="15.75" customHeight="1">
      <c r="A1" s="42" t="s">
        <v>156</v>
      </c>
      <c r="B1" s="43" t="s">
        <v>157</v>
      </c>
      <c r="C1" s="42" t="s">
        <v>158</v>
      </c>
      <c r="D1" s="42" t="s">
        <v>159</v>
      </c>
      <c r="E1" s="44" t="s">
        <v>160</v>
      </c>
      <c r="F1" s="43" t="s">
        <v>161</v>
      </c>
    </row>
    <row r="2" spans="1:6">
      <c r="A2" s="45"/>
      <c r="B2" s="45" t="s">
        <v>165</v>
      </c>
      <c r="C2" s="46" t="str">
        <f>HYPERLINK("https://au.indeed.com/viewjob?jk=791a80504f74cce6","Mechanical Engineer- HVAC")</f>
        <v>Mechanical Engineer- HVAC</v>
      </c>
      <c r="D2" s="45" t="s">
        <v>352</v>
      </c>
      <c r="E2" s="48">
        <v>44175.914386574077</v>
      </c>
      <c r="F2" s="45" t="s">
        <v>164</v>
      </c>
    </row>
    <row r="3" spans="1:6">
      <c r="A3" s="45"/>
      <c r="B3" s="45" t="s">
        <v>165</v>
      </c>
      <c r="C3" s="46" t="str">
        <f>HYPERLINK("https://au.indeed.com/viewjob?jk=2d346696011626ca","Senior Rolling Stock Engineer - Mechanical")</f>
        <v>Senior Rolling Stock Engineer - Mechanical</v>
      </c>
      <c r="D3" s="45" t="s">
        <v>353</v>
      </c>
      <c r="E3" s="48">
        <v>44175.914733796293</v>
      </c>
      <c r="F3" s="45" t="s">
        <v>164</v>
      </c>
    </row>
    <row r="4" spans="1:6">
      <c r="A4" s="45"/>
      <c r="B4" s="45" t="s">
        <v>165</v>
      </c>
      <c r="C4" s="46" t="str">
        <f>HYPERLINK("https://au.indeed.com/viewjob?jk=4802836bfc40ed14","Mechanical Engineer- HVAC")</f>
        <v>Mechanical Engineer- HVAC</v>
      </c>
      <c r="D4" s="45" t="s">
        <v>352</v>
      </c>
      <c r="E4" s="48">
        <v>44175.914895833332</v>
      </c>
      <c r="F4" s="45" t="s">
        <v>164</v>
      </c>
    </row>
    <row r="5" spans="1:6">
      <c r="A5" s="45"/>
      <c r="B5" s="45" t="s">
        <v>165</v>
      </c>
      <c r="C5" s="46" t="str">
        <f>HYPERLINK("https://au.indeed.com/viewjob?jk=5b52a616acecf56c","Senior Mechanical Engineer")</f>
        <v>Senior Mechanical Engineer</v>
      </c>
      <c r="D5" s="45" t="s">
        <v>354</v>
      </c>
      <c r="E5" s="48">
        <v>44175.915196759262</v>
      </c>
      <c r="F5" s="45" t="s">
        <v>164</v>
      </c>
    </row>
    <row r="6" spans="1:6">
      <c r="A6" s="45"/>
      <c r="B6" s="45" t="s">
        <v>165</v>
      </c>
      <c r="C6" s="46" t="str">
        <f>HYPERLINK("https://au.indeed.com/viewjob?jk=0e3d384cee11bb25","Mechanical Engineer")</f>
        <v>Mechanical Engineer</v>
      </c>
      <c r="D6" s="45" t="s">
        <v>355</v>
      </c>
      <c r="E6" s="48">
        <v>44175.915324074071</v>
      </c>
      <c r="F6" s="45" t="s">
        <v>164</v>
      </c>
    </row>
    <row r="7" spans="1:6">
      <c r="A7" s="45"/>
      <c r="B7" s="45" t="s">
        <v>165</v>
      </c>
      <c r="C7" s="46" t="str">
        <f t="shared" ref="C7:C14" si="0">HYPERLINK("https://au.indeed.com/viewjob?jk=9ac01c142b59da26","Senior Mechanical Engineer - Data Centre")</f>
        <v>Senior Mechanical Engineer - Data Centre</v>
      </c>
      <c r="D7" s="45" t="s">
        <v>356</v>
      </c>
      <c r="E7" s="48">
        <v>44185.994953703703</v>
      </c>
      <c r="F7" s="45" t="s">
        <v>164</v>
      </c>
    </row>
    <row r="8" spans="1:6">
      <c r="A8" s="45"/>
      <c r="B8" s="45" t="s">
        <v>165</v>
      </c>
      <c r="C8" s="46" t="str">
        <f t="shared" si="0"/>
        <v>Senior Mechanical Engineer - Data Centre</v>
      </c>
      <c r="D8" s="45" t="s">
        <v>356</v>
      </c>
      <c r="E8" s="48">
        <v>44186.002199074072</v>
      </c>
      <c r="F8" s="45" t="s">
        <v>164</v>
      </c>
    </row>
    <row r="9" spans="1:6">
      <c r="A9" s="45"/>
      <c r="B9" s="45" t="s">
        <v>165</v>
      </c>
      <c r="C9" s="46" t="str">
        <f t="shared" si="0"/>
        <v>Senior Mechanical Engineer - Data Centre</v>
      </c>
      <c r="D9" s="45" t="s">
        <v>356</v>
      </c>
      <c r="E9" s="48">
        <v>44186.00640046296</v>
      </c>
      <c r="F9" s="45" t="s">
        <v>164</v>
      </c>
    </row>
    <row r="10" spans="1:6">
      <c r="A10" s="45"/>
      <c r="B10" s="45" t="s">
        <v>165</v>
      </c>
      <c r="C10" s="46" t="str">
        <f t="shared" si="0"/>
        <v>Senior Mechanical Engineer - Data Centre</v>
      </c>
      <c r="D10" s="45" t="s">
        <v>356</v>
      </c>
      <c r="E10" s="48">
        <v>44186.008773148147</v>
      </c>
      <c r="F10" s="45" t="s">
        <v>164</v>
      </c>
    </row>
    <row r="11" spans="1:6">
      <c r="A11" s="45"/>
      <c r="B11" s="45" t="s">
        <v>165</v>
      </c>
      <c r="C11" s="46" t="str">
        <f t="shared" si="0"/>
        <v>Senior Mechanical Engineer - Data Centre</v>
      </c>
      <c r="D11" s="45" t="s">
        <v>356</v>
      </c>
      <c r="E11" s="48">
        <v>44186.010243055556</v>
      </c>
      <c r="F11" s="45" t="s">
        <v>164</v>
      </c>
    </row>
    <row r="12" spans="1:6">
      <c r="A12" s="45"/>
      <c r="B12" s="45" t="s">
        <v>165</v>
      </c>
      <c r="C12" s="46" t="str">
        <f t="shared" si="0"/>
        <v>Senior Mechanical Engineer - Data Centre</v>
      </c>
      <c r="D12" s="45" t="s">
        <v>356</v>
      </c>
      <c r="E12" s="48">
        <v>44186.011770833335</v>
      </c>
      <c r="F12" s="45" t="s">
        <v>164</v>
      </c>
    </row>
    <row r="13" spans="1:6">
      <c r="A13" s="45"/>
      <c r="B13" s="45" t="s">
        <v>165</v>
      </c>
      <c r="C13" s="46" t="str">
        <f t="shared" si="0"/>
        <v>Senior Mechanical Engineer - Data Centre</v>
      </c>
      <c r="D13" s="45" t="s">
        <v>356</v>
      </c>
      <c r="E13" s="48">
        <v>44186.013171296298</v>
      </c>
      <c r="F13" s="45" t="s">
        <v>164</v>
      </c>
    </row>
    <row r="14" spans="1:6">
      <c r="A14" s="45"/>
      <c r="B14" s="45" t="s">
        <v>165</v>
      </c>
      <c r="C14" s="46" t="str">
        <f t="shared" si="0"/>
        <v>Senior Mechanical Engineer - Data Centre</v>
      </c>
      <c r="D14" s="45" t="s">
        <v>356</v>
      </c>
      <c r="E14" s="48">
        <v>44186.015567129631</v>
      </c>
      <c r="F14" s="45" t="s">
        <v>164</v>
      </c>
    </row>
    <row r="15" spans="1:6">
      <c r="A15" s="45"/>
      <c r="B15" s="45" t="s">
        <v>169</v>
      </c>
      <c r="C15" s="46" t="str">
        <f>HYPERLINK("https://au.indeed.com/viewjob?jk=2647dbfa23c2bcab","AWS Cloud Consultant")</f>
        <v>AWS Cloud Consultant</v>
      </c>
      <c r="D15" s="45" t="s">
        <v>357</v>
      </c>
      <c r="E15" s="48">
        <v>44186.018993055557</v>
      </c>
      <c r="F15" s="45" t="s">
        <v>171</v>
      </c>
    </row>
    <row r="16" spans="1:6">
      <c r="A16" s="45"/>
      <c r="B16" s="45" t="s">
        <v>169</v>
      </c>
      <c r="C16" s="46" t="str">
        <f>HYPERLINK("https://au.indeed.com/viewjob?jk=c68a9ee9f833229f","Small-and-Medium Business Partner Manager, Google Cloud")</f>
        <v>Small-and-Medium Business Partner Manager, Google Cloud</v>
      </c>
      <c r="D16" s="45" t="s">
        <v>358</v>
      </c>
      <c r="E16" s="48">
        <v>44186.019050925926</v>
      </c>
      <c r="F16" s="45" t="s">
        <v>171</v>
      </c>
    </row>
    <row r="17" spans="1:6">
      <c r="A17" s="45"/>
      <c r="B17" s="45" t="s">
        <v>169</v>
      </c>
      <c r="C17" s="46" t="str">
        <f>HYPERLINK("https://au.indeed.com/viewjob?jk=39943d1f541f005b","Cloud Operations Engineer")</f>
        <v>Cloud Operations Engineer</v>
      </c>
      <c r="D17" s="45" t="s">
        <v>359</v>
      </c>
      <c r="E17" s="48">
        <v>44186.019120370373</v>
      </c>
      <c r="F17" s="45" t="s">
        <v>171</v>
      </c>
    </row>
    <row r="18" spans="1:6">
      <c r="A18" s="45"/>
      <c r="B18" s="45" t="s">
        <v>169</v>
      </c>
      <c r="C18" s="46" t="str">
        <f>HYPERLINK("https://au.indeed.com/viewjob?jk=3a24a07f5c652fee","Engagement Manager, Google Cloud Professional Services")</f>
        <v>Engagement Manager, Google Cloud Professional Services</v>
      </c>
      <c r="D18" s="45" t="s">
        <v>358</v>
      </c>
      <c r="E18" s="48">
        <v>44186.019178240742</v>
      </c>
      <c r="F18" s="45" t="s">
        <v>171</v>
      </c>
    </row>
    <row r="19" spans="1:6">
      <c r="A19" s="45"/>
      <c r="B19" s="45" t="s">
        <v>169</v>
      </c>
      <c r="C19" s="46" t="str">
        <f>HYPERLINK("https://au.indeed.com/viewjob?jk=20e74213b8a11435","Cloud Consulting Director")</f>
        <v>Cloud Consulting Director</v>
      </c>
      <c r="D19" s="45" t="s">
        <v>360</v>
      </c>
      <c r="E19" s="48">
        <v>44186.019236111111</v>
      </c>
      <c r="F19" s="45" t="s">
        <v>171</v>
      </c>
    </row>
    <row r="20" spans="1:6">
      <c r="A20" s="45"/>
      <c r="B20" s="45" t="s">
        <v>169</v>
      </c>
      <c r="C20" s="46" t="str">
        <f>HYPERLINK("https://au.indeed.com/viewjob?jk=c0f75cd227e6b256","Cloud Sales Lead")</f>
        <v>Cloud Sales Lead</v>
      </c>
      <c r="D20" s="45" t="s">
        <v>361</v>
      </c>
      <c r="E20" s="48">
        <v>44186.019293981481</v>
      </c>
      <c r="F20" s="45" t="s">
        <v>171</v>
      </c>
    </row>
    <row r="21" spans="1:6">
      <c r="A21" s="45"/>
      <c r="B21" s="45" t="s">
        <v>169</v>
      </c>
      <c r="C21" s="46" t="str">
        <f>HYPERLINK("https://au.indeed.com/viewjob?jk=a72f5136a9a592b2","Senior Cloud Consultant")</f>
        <v>Senior Cloud Consultant</v>
      </c>
      <c r="D21" s="45" t="s">
        <v>362</v>
      </c>
      <c r="E21" s="48">
        <v>44186.01935185185</v>
      </c>
      <c r="F21" s="45" t="s">
        <v>171</v>
      </c>
    </row>
    <row r="22" spans="1:6">
      <c r="A22" s="45"/>
      <c r="B22" s="45" t="s">
        <v>169</v>
      </c>
      <c r="C22" s="46" t="str">
        <f>HYPERLINK("https://au.indeed.com/viewjob?jk=5e66c7639cd21b0d","Cloud Transformation Consultant")</f>
        <v>Cloud Transformation Consultant</v>
      </c>
      <c r="D22" s="45" t="s">
        <v>357</v>
      </c>
      <c r="E22" s="48">
        <v>44186.019409722219</v>
      </c>
      <c r="F22" s="45" t="s">
        <v>171</v>
      </c>
    </row>
    <row r="23" spans="1:6">
      <c r="A23" s="45"/>
      <c r="B23" s="45" t="s">
        <v>169</v>
      </c>
      <c r="C23" s="46" t="str">
        <f>HYPERLINK("https://au.indeed.com/viewjob?jk=151f8b880aa8a044","Infrastructure Modernization Customer Engineer, Public Sector, Google Cloud")</f>
        <v>Infrastructure Modernization Customer Engineer, Public Sector, Google Cloud</v>
      </c>
      <c r="D23" s="45" t="s">
        <v>358</v>
      </c>
      <c r="E23" s="48">
        <v>44186.019467592596</v>
      </c>
      <c r="F23" s="45" t="s">
        <v>171</v>
      </c>
    </row>
    <row r="24" spans="1:6">
      <c r="A24" s="45"/>
      <c r="B24" s="45" t="s">
        <v>169</v>
      </c>
      <c r="C24" s="46" t="str">
        <f>HYPERLINK("https://au.indeed.com/viewjob?jk=58f6de39d04d3af3","Global Black Belt Technical Specialist- Hybrid Cloud Solution")</f>
        <v>Global Black Belt Technical Specialist- Hybrid Cloud Solution</v>
      </c>
      <c r="D24" s="45" t="s">
        <v>363</v>
      </c>
      <c r="E24" s="48">
        <v>44186.019525462965</v>
      </c>
      <c r="F24" s="45" t="s">
        <v>171</v>
      </c>
    </row>
    <row r="25" spans="1:6">
      <c r="A25" s="45"/>
      <c r="B25" s="45" t="s">
        <v>169</v>
      </c>
      <c r="C25" s="46" t="str">
        <f>HYPERLINK("https://au.indeed.com/viewjob?jk=0b14afcd263f1886","Cloud Operations Engineer")</f>
        <v>Cloud Operations Engineer</v>
      </c>
      <c r="D25" s="45" t="s">
        <v>364</v>
      </c>
      <c r="E25" s="48">
        <v>44186.019594907404</v>
      </c>
      <c r="F25" s="45" t="s">
        <v>171</v>
      </c>
    </row>
    <row r="26" spans="1:6">
      <c r="A26" s="45"/>
      <c r="B26" s="45" t="s">
        <v>169</v>
      </c>
      <c r="C26" s="46" t="str">
        <f>HYPERLINK("https://au.indeed.com/viewjob?jk=45fcbad6653064a0","Cloud Consultant")</f>
        <v>Cloud Consultant</v>
      </c>
      <c r="D26" s="45"/>
      <c r="E26" s="48">
        <v>44186.019652777781</v>
      </c>
      <c r="F26" s="45" t="s">
        <v>171</v>
      </c>
    </row>
    <row r="27" spans="1:6">
      <c r="A27" s="45"/>
      <c r="B27" s="45" t="s">
        <v>169</v>
      </c>
      <c r="C27" s="46" t="str">
        <f>HYPERLINK("https://au.indeed.com/viewjob?jk=dae9c6ab9d8dea2c","Cloud Economist ANZ")</f>
        <v>Cloud Economist ANZ</v>
      </c>
      <c r="D27" s="45" t="s">
        <v>365</v>
      </c>
      <c r="E27" s="48">
        <v>44186.01971064815</v>
      </c>
      <c r="F27" s="45" t="s">
        <v>171</v>
      </c>
    </row>
    <row r="28" spans="1:6">
      <c r="A28" s="45"/>
      <c r="B28" s="45" t="s">
        <v>169</v>
      </c>
      <c r="C28" s="46" t="str">
        <f>HYPERLINK("https://au.indeed.com/viewjob?jk=cbe96af52787de4f","Technical Specialist - Cloud and Data Centre")</f>
        <v>Technical Specialist - Cloud and Data Centre</v>
      </c>
      <c r="D28" s="45" t="s">
        <v>366</v>
      </c>
      <c r="E28" s="48">
        <v>44186.019768518519</v>
      </c>
      <c r="F28" s="45" t="s">
        <v>171</v>
      </c>
    </row>
    <row r="29" spans="1:6">
      <c r="A29" s="45"/>
      <c r="B29" s="45" t="s">
        <v>169</v>
      </c>
      <c r="C29" s="46" t="str">
        <f>HYPERLINK("https://au.indeed.com/viewjob?jk=c65df2e851b93ca2","Consultant - Cloud Engineering")</f>
        <v>Consultant - Cloud Engineering</v>
      </c>
      <c r="D29" s="45" t="s">
        <v>367</v>
      </c>
      <c r="E29" s="48">
        <v>44186.019826388889</v>
      </c>
      <c r="F29" s="45" t="s">
        <v>171</v>
      </c>
    </row>
    <row r="30" spans="1:6">
      <c r="A30" s="45"/>
      <c r="B30" s="45" t="s">
        <v>169</v>
      </c>
      <c r="C30" s="46" t="str">
        <f>HYPERLINK("https://au.indeed.com/viewjob?jk=71700879089b8b5c","Senior Business Development Executive, Cloud &amp; HVH")</f>
        <v>Senior Business Development Executive, Cloud &amp; HVH</v>
      </c>
      <c r="D30" s="45" t="s">
        <v>368</v>
      </c>
      <c r="E30" s="48">
        <v>44186.019884259258</v>
      </c>
      <c r="F30" s="45" t="s">
        <v>171</v>
      </c>
    </row>
    <row r="31" spans="1:6">
      <c r="A31" s="45"/>
      <c r="B31" s="45" t="s">
        <v>169</v>
      </c>
      <c r="C31" s="46" t="str">
        <f>HYPERLINK("https://au.indeed.com/viewjob?jk=2f539d39d3a56ca1","Marketing Cloud Developer")</f>
        <v>Marketing Cloud Developer</v>
      </c>
      <c r="D31" s="45" t="s">
        <v>359</v>
      </c>
      <c r="E31" s="48">
        <v>44186.019942129627</v>
      </c>
      <c r="F31" s="45" t="s">
        <v>171</v>
      </c>
    </row>
    <row r="32" spans="1:6">
      <c r="A32" s="45"/>
      <c r="B32" s="45" t="s">
        <v>169</v>
      </c>
      <c r="C32" s="46" t="str">
        <f>HYPERLINK("https://au.indeed.com/viewjob?jk=50e592ba01271e94","SAP Cloud Consultant")</f>
        <v>SAP Cloud Consultant</v>
      </c>
      <c r="D32" s="45" t="s">
        <v>367</v>
      </c>
      <c r="E32" s="48">
        <v>44186.02</v>
      </c>
      <c r="F32" s="45" t="s">
        <v>171</v>
      </c>
    </row>
    <row r="33" spans="1:6">
      <c r="A33" s="45"/>
      <c r="B33" s="45" t="s">
        <v>169</v>
      </c>
      <c r="C33" s="46" t="str">
        <f>HYPERLINK("https://au.indeed.com/viewjob?jk=ec561f6cb86c5e39","Customer Advisory - Transition your career to Cloud Computing")</f>
        <v>Customer Advisory - Transition your career to Cloud Computing</v>
      </c>
      <c r="D33" s="45" t="s">
        <v>369</v>
      </c>
      <c r="E33" s="48">
        <v>44186.020057870373</v>
      </c>
      <c r="F33" s="45" t="s">
        <v>171</v>
      </c>
    </row>
    <row r="34" spans="1:6">
      <c r="A34" s="45"/>
      <c r="B34" s="45" t="s">
        <v>169</v>
      </c>
      <c r="C34" s="46" t="str">
        <f>HYPERLINK("https://au.indeed.com/viewjob?jk=1e2409caaad6d7ee","Digital Specialist - Cloud Infra &amp; Apps")</f>
        <v>Digital Specialist - Cloud Infra &amp; Apps</v>
      </c>
      <c r="D34" s="45" t="s">
        <v>363</v>
      </c>
      <c r="E34" s="48">
        <v>44186.020138888889</v>
      </c>
      <c r="F34" s="45" t="s">
        <v>171</v>
      </c>
    </row>
    <row r="35" spans="1:6">
      <c r="A35" s="45"/>
      <c r="B35" s="45" t="s">
        <v>169</v>
      </c>
      <c r="C35" s="46" t="str">
        <f>HYPERLINK("https://au.indeed.com/viewjob?jk=4ea2a41b11209404","Cloud Priority Support Engineer")</f>
        <v>Cloud Priority Support Engineer</v>
      </c>
      <c r="D35" s="45" t="s">
        <v>370</v>
      </c>
      <c r="E35" s="48">
        <v>44186.020185185182</v>
      </c>
      <c r="F35" s="45" t="s">
        <v>171</v>
      </c>
    </row>
    <row r="36" spans="1:6">
      <c r="A36" s="45"/>
      <c r="B36" s="45" t="s">
        <v>169</v>
      </c>
      <c r="C36" s="46" t="str">
        <f>HYPERLINK("https://au.indeed.com/viewjob?jk=d10db9f9c13ab719","Customer Engineering Manager, Public Sector, Google Cloud (English)")</f>
        <v>Customer Engineering Manager, Public Sector, Google Cloud (English)</v>
      </c>
      <c r="D36" s="45" t="s">
        <v>358</v>
      </c>
      <c r="E36" s="48">
        <v>44186.020254629628</v>
      </c>
      <c r="F36" s="45" t="s">
        <v>171</v>
      </c>
    </row>
    <row r="37" spans="1:6">
      <c r="A37" s="45"/>
      <c r="B37" s="45" t="s">
        <v>169</v>
      </c>
      <c r="C37" s="46" t="str">
        <f>HYPERLINK("https://au.indeed.com/viewjob?jk=8348a4067a2979b7","Product Specialist, Cloud")</f>
        <v>Product Specialist, Cloud</v>
      </c>
      <c r="D37" s="45" t="s">
        <v>371</v>
      </c>
      <c r="E37" s="48">
        <v>44186.020312499997</v>
      </c>
      <c r="F37" s="45" t="s">
        <v>171</v>
      </c>
    </row>
    <row r="38" spans="1:6">
      <c r="A38" s="45"/>
      <c r="B38" s="45" t="s">
        <v>169</v>
      </c>
      <c r="C38" s="46" t="str">
        <f>HYPERLINK("https://au.indeed.com/viewjob?jk=7dbb3d419ae1fc63","Flexible Part-Time roles for Cloud Engineers - AWS")</f>
        <v>Flexible Part-Time roles for Cloud Engineers - AWS</v>
      </c>
      <c r="D38" s="45" t="s">
        <v>369</v>
      </c>
      <c r="E38" s="48">
        <v>44186.020370370374</v>
      </c>
      <c r="F38" s="45" t="s">
        <v>171</v>
      </c>
    </row>
    <row r="39" spans="1:6">
      <c r="A39" s="45"/>
      <c r="B39" s="45" t="s">
        <v>169</v>
      </c>
      <c r="C39" s="46" t="str">
        <f>HYPERLINK("https://au.indeed.com/viewjob?jk=c68f0ab234a41e4a","Senior Consultant - Oracle Financial Cloud")</f>
        <v>Senior Consultant - Oracle Financial Cloud</v>
      </c>
      <c r="D39" s="45" t="s">
        <v>372</v>
      </c>
      <c r="E39" s="48">
        <v>44186.020428240743</v>
      </c>
      <c r="F39" s="45" t="s">
        <v>171</v>
      </c>
    </row>
    <row r="40" spans="1:6" ht="14.25">
      <c r="A40" s="45"/>
      <c r="B40" s="45" t="s">
        <v>169</v>
      </c>
      <c r="C40" s="46" t="str">
        <f>HYPERLINK("https://au.indeed.com/viewjob?jk=ae5ea5d108d0584f","Cloud Systems Architect")</f>
        <v>Cloud Systems Architect</v>
      </c>
      <c r="D40" s="45" t="s">
        <v>373</v>
      </c>
      <c r="E40" s="48">
        <v>44186.020486111112</v>
      </c>
      <c r="F40" s="45" t="s">
        <v>171</v>
      </c>
    </row>
    <row r="41" spans="1:6" ht="14.25">
      <c r="A41" s="45"/>
      <c r="B41" s="45" t="s">
        <v>169</v>
      </c>
      <c r="C41" s="46" t="str">
        <f>HYPERLINK("https://au.indeed.com/viewjob?jk=11e2c3c43da40350","Cloud &amp; Infrastructure Specialist")</f>
        <v>Cloud &amp; Infrastructure Specialist</v>
      </c>
      <c r="D41" s="45" t="s">
        <v>374</v>
      </c>
      <c r="E41" s="48">
        <v>44186.020543981482</v>
      </c>
      <c r="F41" s="45" t="s">
        <v>171</v>
      </c>
    </row>
    <row r="42" spans="1:6" ht="14.25">
      <c r="A42" s="45"/>
      <c r="B42" s="45" t="s">
        <v>169</v>
      </c>
      <c r="C42" s="46" t="str">
        <f>HYPERLINK("https://au.indeed.com/viewjob?jk=972c48408a9edbe4","Cloud Lead")</f>
        <v>Cloud Lead</v>
      </c>
      <c r="D42" s="45" t="s">
        <v>375</v>
      </c>
      <c r="E42" s="48">
        <v>44186.020601851851</v>
      </c>
      <c r="F42" s="45" t="s">
        <v>171</v>
      </c>
    </row>
    <row r="43" spans="1:6" ht="14.25">
      <c r="A43" s="45"/>
      <c r="B43" s="45" t="s">
        <v>169</v>
      </c>
      <c r="C43" s="46" t="str">
        <f>HYPERLINK("https://au.indeed.com/viewjob?jk=a5d72e84da82629c","Cloud Engineer")</f>
        <v>Cloud Engineer</v>
      </c>
      <c r="D43" s="45" t="s">
        <v>376</v>
      </c>
      <c r="E43" s="48">
        <v>44186.02065972222</v>
      </c>
      <c r="F43" s="45" t="s">
        <v>171</v>
      </c>
    </row>
    <row r="44" spans="1:6" ht="14.25">
      <c r="A44" s="45"/>
      <c r="B44" s="45" t="s">
        <v>169</v>
      </c>
      <c r="C44" s="46" t="str">
        <f>HYPERLINK("https://au.indeed.com/viewjob?jk=a93ad6bfe0537491","Technical Lead - Digital Cloud")</f>
        <v>Technical Lead - Digital Cloud</v>
      </c>
      <c r="D44" s="45" t="s">
        <v>377</v>
      </c>
      <c r="E44" s="48">
        <v>44186.020752314813</v>
      </c>
      <c r="F44" s="45" t="s">
        <v>171</v>
      </c>
    </row>
    <row r="45" spans="1:6" ht="14.25">
      <c r="A45" s="45"/>
      <c r="B45" s="45" t="s">
        <v>169</v>
      </c>
      <c r="C45" s="46" t="str">
        <f>HYPERLINK("https://au.indeed.com/viewjob?jk=b79b0bd8b57531cb","Azure Cloud Consultant")</f>
        <v>Azure Cloud Consultant</v>
      </c>
      <c r="D45" s="45" t="s">
        <v>378</v>
      </c>
      <c r="E45" s="48">
        <v>44186.020810185182</v>
      </c>
      <c r="F45" s="45" t="s">
        <v>171</v>
      </c>
    </row>
    <row r="46" spans="1:6" ht="14.25">
      <c r="A46" s="45"/>
      <c r="B46" s="45" t="s">
        <v>169</v>
      </c>
      <c r="C46" s="46" t="str">
        <f>HYPERLINK("https://au.indeed.com/viewjob?jk=3c037a83582d7e70","SAP Cloud Platform Integration")</f>
        <v>SAP Cloud Platform Integration</v>
      </c>
      <c r="D46" s="45" t="s">
        <v>379</v>
      </c>
      <c r="E46" s="48">
        <v>44186.020868055559</v>
      </c>
      <c r="F46" s="45" t="s">
        <v>171</v>
      </c>
    </row>
    <row r="47" spans="1:6" ht="14.25">
      <c r="A47" s="45"/>
      <c r="B47" s="45" t="s">
        <v>169</v>
      </c>
      <c r="C47" s="46" t="str">
        <f>HYPERLINK("https://au.indeed.com/viewjob?jk=70b2c162bb72d340","Cloud Support Associate - 2020 or 2021 Graduates")</f>
        <v>Cloud Support Associate - 2020 or 2021 Graduates</v>
      </c>
      <c r="D47" s="45" t="s">
        <v>369</v>
      </c>
      <c r="E47" s="48">
        <v>44186.020925925928</v>
      </c>
      <c r="F47" s="45" t="s">
        <v>171</v>
      </c>
    </row>
    <row r="48" spans="1:6" ht="14.25">
      <c r="A48" s="45"/>
      <c r="B48" s="45" t="s">
        <v>169</v>
      </c>
      <c r="C48" s="46" t="str">
        <f>HYPERLINK("https://au.indeed.com/viewjob?jk=9fd90871a36844ff","Cloud Network Engineer")</f>
        <v>Cloud Network Engineer</v>
      </c>
      <c r="D48" s="45" t="s">
        <v>380</v>
      </c>
      <c r="E48" s="48">
        <v>44186.020983796298</v>
      </c>
      <c r="F48" s="45" t="s">
        <v>171</v>
      </c>
    </row>
    <row r="49" spans="1:6" ht="14.25">
      <c r="A49" s="45"/>
      <c r="B49" s="45" t="s">
        <v>169</v>
      </c>
      <c r="C49" s="46" t="str">
        <f>HYPERLINK("https://au.indeed.com/viewjob?jk=021d7201dcd21286","Cloud Consultant, Security, Google Cloud Professional Services")</f>
        <v>Cloud Consultant, Security, Google Cloud Professional Services</v>
      </c>
      <c r="D49" s="45" t="s">
        <v>358</v>
      </c>
      <c r="E49" s="48">
        <v>44186.021041666667</v>
      </c>
      <c r="F49" s="45" t="s">
        <v>171</v>
      </c>
    </row>
    <row r="50" spans="1:6" ht="14.25">
      <c r="A50" s="45"/>
      <c r="B50" s="45" t="s">
        <v>169</v>
      </c>
      <c r="C50" s="46" t="str">
        <f>HYPERLINK("https://au.indeed.com/viewjob?jk=d585010b8ec2df0f","Account Executive, Commerce Cloud | Australia")</f>
        <v>Account Executive, Commerce Cloud | Australia</v>
      </c>
      <c r="D50" s="45" t="s">
        <v>381</v>
      </c>
      <c r="E50" s="48">
        <v>44186.021099537036</v>
      </c>
      <c r="F50" s="45" t="s">
        <v>171</v>
      </c>
    </row>
    <row r="51" spans="1:6" ht="14.25">
      <c r="A51" s="45"/>
      <c r="B51" s="45" t="s">
        <v>169</v>
      </c>
      <c r="C51" s="46" t="str">
        <f>HYPERLINK("https://au.indeed.com/viewjob?jk=aca7c56012cbd648","Cloud Operations Engineer - 5 day week (includes Weekends)")</f>
        <v>Cloud Operations Engineer - 5 day week (includes Weekends)</v>
      </c>
      <c r="D51" s="45" t="s">
        <v>382</v>
      </c>
      <c r="E51" s="48">
        <v>44186.021157407406</v>
      </c>
      <c r="F51" s="45" t="s">
        <v>171</v>
      </c>
    </row>
    <row r="52" spans="1:6" ht="14.25">
      <c r="A52" s="45"/>
      <c r="B52" s="45" t="s">
        <v>169</v>
      </c>
      <c r="C52" s="46" t="str">
        <f>HYPERLINK("https://au.indeed.com/viewjob?jk=c0d92d5607fee53f","Technical Team Lead - Developer Efficiency &amp; Cloud Infrastructure")</f>
        <v>Technical Team Lead - Developer Efficiency &amp; Cloud Infrastructure</v>
      </c>
      <c r="D52" s="45" t="s">
        <v>383</v>
      </c>
      <c r="E52" s="48">
        <v>44186.021215277775</v>
      </c>
      <c r="F52" s="45" t="s">
        <v>171</v>
      </c>
    </row>
    <row r="53" spans="1:6" ht="14.25">
      <c r="A53" s="45"/>
      <c r="B53" s="45" t="s">
        <v>169</v>
      </c>
      <c r="C53" s="46" t="str">
        <f>HYPERLINK("https://au.indeed.com/viewjob?jk=8ec4b11c225d93f6","Oracle Fusion ERP Cloud Financials Lead")</f>
        <v>Oracle Fusion ERP Cloud Financials Lead</v>
      </c>
      <c r="D53" s="45" t="s">
        <v>379</v>
      </c>
      <c r="E53" s="48">
        <v>44186.021273148152</v>
      </c>
      <c r="F53" s="45" t="s">
        <v>171</v>
      </c>
    </row>
    <row r="54" spans="1:6" ht="14.25">
      <c r="A54" s="45"/>
      <c r="B54" s="45" t="s">
        <v>169</v>
      </c>
      <c r="C54" s="46" t="str">
        <f>HYPERLINK("https://au.indeed.com/viewjob?jk=62d217b5b243c0b0","Cloud Support Engineer")</f>
        <v>Cloud Support Engineer</v>
      </c>
      <c r="D54" s="45" t="s">
        <v>369</v>
      </c>
      <c r="E54" s="48">
        <v>44186.021365740744</v>
      </c>
      <c r="F54" s="45" t="s">
        <v>171</v>
      </c>
    </row>
    <row r="55" spans="1:6" ht="14.25">
      <c r="A55" s="45"/>
      <c r="B55" s="45" t="s">
        <v>169</v>
      </c>
      <c r="C55" s="46" t="str">
        <f>HYPERLINK("https://au.indeed.com/viewjob?jk=a42e23ae5b3aa228","Principal Cloud Strategy Consultant")</f>
        <v>Principal Cloud Strategy Consultant</v>
      </c>
      <c r="D55" s="45" t="s">
        <v>384</v>
      </c>
      <c r="E55" s="48">
        <v>44186.021423611113</v>
      </c>
      <c r="F55" s="45" t="s">
        <v>171</v>
      </c>
    </row>
    <row r="56" spans="1:6" ht="14.25">
      <c r="A56" s="45"/>
      <c r="B56" s="45" t="s">
        <v>169</v>
      </c>
      <c r="C56" s="46" t="str">
        <f>HYPERLINK("https://au.indeed.com/viewjob?jk=2f0ae46f67203f4d","Cloud Data Engineer")</f>
        <v>Cloud Data Engineer</v>
      </c>
      <c r="D56" s="45" t="s">
        <v>385</v>
      </c>
      <c r="E56" s="48">
        <v>44186.021469907406</v>
      </c>
      <c r="F56" s="45" t="s">
        <v>171</v>
      </c>
    </row>
    <row r="57" spans="1:6" ht="14.25">
      <c r="A57" s="45"/>
      <c r="B57" s="45" t="s">
        <v>169</v>
      </c>
      <c r="C57" s="46" t="str">
        <f>HYPERLINK("https://au.indeed.com/viewjob?jk=8382c598b38d33fc","Cloud Trainer F/M")</f>
        <v>Cloud Trainer F/M</v>
      </c>
      <c r="D57" s="45" t="s">
        <v>386</v>
      </c>
      <c r="E57" s="48">
        <v>44186.021539351852</v>
      </c>
      <c r="F57" s="45" t="s">
        <v>171</v>
      </c>
    </row>
    <row r="58" spans="1:6" ht="14.25">
      <c r="A58" s="45"/>
      <c r="B58" s="45" t="s">
        <v>169</v>
      </c>
      <c r="C58" s="46" t="str">
        <f>HYPERLINK("https://au.indeed.com/viewjob?jk=239324fb322e5dc7","Cloud Technical Solutions Engineer, Data")</f>
        <v>Cloud Technical Solutions Engineer, Data</v>
      </c>
      <c r="D58" s="45" t="s">
        <v>358</v>
      </c>
      <c r="E58" s="48">
        <v>44186.021597222221</v>
      </c>
      <c r="F58" s="45" t="s">
        <v>171</v>
      </c>
    </row>
    <row r="59" spans="1:6" ht="14.25">
      <c r="A59" s="45"/>
      <c r="B59" s="45" t="s">
        <v>169</v>
      </c>
      <c r="C59" s="46" t="str">
        <f>HYPERLINK("https://au.indeed.com/viewjob?jk=bd708afaa34f72e3","Azure Cloud Consultant")</f>
        <v>Azure Cloud Consultant</v>
      </c>
      <c r="D59" s="45" t="s">
        <v>378</v>
      </c>
      <c r="E59" s="48">
        <v>44186.021666666667</v>
      </c>
      <c r="F59" s="45" t="s">
        <v>171</v>
      </c>
    </row>
    <row r="60" spans="1:6" ht="14.25">
      <c r="A60" s="45"/>
      <c r="B60" s="45" t="s">
        <v>169</v>
      </c>
      <c r="C60" s="46" t="str">
        <f>HYPERLINK("https://au.indeed.com/viewjob?jk=d34fc1e48bfcc46f","Cloud Product Architect")</f>
        <v>Cloud Product Architect</v>
      </c>
      <c r="D60" s="45" t="s">
        <v>366</v>
      </c>
      <c r="E60" s="48">
        <v>44186.021736111114</v>
      </c>
      <c r="F60" s="45" t="s">
        <v>171</v>
      </c>
    </row>
    <row r="61" spans="1:6" ht="14.25">
      <c r="A61" s="45"/>
      <c r="B61" s="45" t="s">
        <v>169</v>
      </c>
      <c r="C61" s="46" t="str">
        <f>HYPERLINK("https://au.indeed.com/viewjob?jk=45b1440cbe920955","Digital Specialist - Cloud Apps&amp;Infra")</f>
        <v>Digital Specialist - Cloud Apps&amp;Infra</v>
      </c>
      <c r="D61" s="45" t="s">
        <v>363</v>
      </c>
      <c r="E61" s="48">
        <v>44186.021793981483</v>
      </c>
      <c r="F61" s="45" t="s">
        <v>171</v>
      </c>
    </row>
    <row r="62" spans="1:6" ht="14.25">
      <c r="A62" s="45"/>
      <c r="B62" s="45" t="s">
        <v>169</v>
      </c>
      <c r="C62" s="46" t="str">
        <f>HYPERLINK("https://au.indeed.com/viewjob?jk=21e198f9e28be409","Manager - Cloud Engineering")</f>
        <v>Manager - Cloud Engineering</v>
      </c>
      <c r="D62" s="45" t="s">
        <v>367</v>
      </c>
      <c r="E62" s="48">
        <v>44186.021851851852</v>
      </c>
      <c r="F62" s="45" t="s">
        <v>171</v>
      </c>
    </row>
    <row r="63" spans="1:6" ht="14.25">
      <c r="A63" s="45"/>
      <c r="B63" s="45" t="s">
        <v>169</v>
      </c>
      <c r="C63" s="46" t="str">
        <f>HYPERLINK("https://au.indeed.com/viewjob?jk=ad8e0d075fd1b092","Cloud Trainer F/M")</f>
        <v>Cloud Trainer F/M</v>
      </c>
      <c r="D63" s="45" t="s">
        <v>387</v>
      </c>
      <c r="E63" s="48">
        <v>44186.021909722222</v>
      </c>
      <c r="F63" s="45" t="s">
        <v>171</v>
      </c>
    </row>
    <row r="64" spans="1:6" ht="14.25">
      <c r="A64" s="45"/>
      <c r="B64" s="45" t="s">
        <v>169</v>
      </c>
      <c r="C64" s="46" t="str">
        <f>HYPERLINK("https://au.indeed.com/viewjob?jk=61d93a0044b625b2","Partner Development Manager - Distribution/Cloud Partners")</f>
        <v>Partner Development Manager - Distribution/Cloud Partners</v>
      </c>
      <c r="D64" s="45" t="s">
        <v>388</v>
      </c>
      <c r="E64" s="48">
        <v>44186.021990740737</v>
      </c>
      <c r="F64" s="45" t="s">
        <v>171</v>
      </c>
    </row>
    <row r="65" spans="1:6" ht="14.25">
      <c r="A65" s="45"/>
      <c r="B65" s="45" t="s">
        <v>169</v>
      </c>
      <c r="C65" s="46" t="str">
        <f>HYPERLINK("https://au.indeed.com/viewjob?jk=377c2aa7367d24bb","Cloud Solution Architect (Data &amp; AI)")</f>
        <v>Cloud Solution Architect (Data &amp; AI)</v>
      </c>
      <c r="D65" s="45" t="s">
        <v>363</v>
      </c>
      <c r="E65" s="48">
        <v>44186.022060185183</v>
      </c>
      <c r="F65" s="45" t="s">
        <v>171</v>
      </c>
    </row>
    <row r="66" spans="1:6" ht="14.25">
      <c r="A66" s="45"/>
      <c r="B66" s="45" t="s">
        <v>169</v>
      </c>
      <c r="C66" s="46" t="str">
        <f>HYPERLINK("https://au.indeed.com/viewjob?jk=b8588a3885225940","Senior Data Analyst, Cloud")</f>
        <v>Senior Data Analyst, Cloud</v>
      </c>
      <c r="D66" s="45" t="s">
        <v>380</v>
      </c>
      <c r="E66" s="48">
        <v>44186.022106481483</v>
      </c>
      <c r="F66" s="45" t="s">
        <v>171</v>
      </c>
    </row>
    <row r="67" spans="1:6" ht="14.25">
      <c r="A67" s="45"/>
      <c r="B67" s="45" t="s">
        <v>169</v>
      </c>
      <c r="C67" s="46" t="str">
        <f>HYPERLINK("https://au.indeed.com/viewjob?jk=9c65b90c4e6ec54b","Snr Cloud &amp; Data Cent Engineer")</f>
        <v>Snr Cloud &amp; Data Cent Engineer</v>
      </c>
      <c r="D67" s="45" t="s">
        <v>389</v>
      </c>
      <c r="E67" s="48">
        <v>44186.022175925929</v>
      </c>
      <c r="F67" s="45" t="s">
        <v>171</v>
      </c>
    </row>
    <row r="68" spans="1:6" ht="14.25">
      <c r="A68" s="45"/>
      <c r="B68" s="45" t="s">
        <v>169</v>
      </c>
      <c r="C68" s="46" t="str">
        <f>HYPERLINK("https://au.indeed.com/viewjob?jk=e2328537c42d4438","Azure Cloud Engineers")</f>
        <v>Azure Cloud Engineers</v>
      </c>
      <c r="D68" s="45" t="s">
        <v>390</v>
      </c>
      <c r="E68" s="48">
        <v>44186.022233796299</v>
      </c>
      <c r="F68" s="45" t="s">
        <v>171</v>
      </c>
    </row>
    <row r="69" spans="1:6" ht="14.25">
      <c r="A69" s="45"/>
      <c r="B69" s="45" t="s">
        <v>169</v>
      </c>
      <c r="C69" s="46" t="str">
        <f>HYPERLINK("https://au.indeed.com/viewjob?jk=7640dd717f52ec33","Senior Sales Engineer - Cloud Alliances")</f>
        <v>Senior Sales Engineer - Cloud Alliances</v>
      </c>
      <c r="D69" s="45" t="s">
        <v>388</v>
      </c>
      <c r="E69" s="48">
        <v>44186.022291666668</v>
      </c>
      <c r="F69" s="45" t="s">
        <v>171</v>
      </c>
    </row>
    <row r="70" spans="1:6" ht="14.25">
      <c r="A70" s="45"/>
      <c r="B70" s="45" t="s">
        <v>169</v>
      </c>
      <c r="C70" s="46" t="str">
        <f>HYPERLINK("https://au.indeed.com/viewjob?jk=35d5edbb5e87ff74","Cloud Procurement Specialist")</f>
        <v>Cloud Procurement Specialist</v>
      </c>
      <c r="D70" s="45" t="s">
        <v>391</v>
      </c>
      <c r="E70" s="48">
        <v>44186.022349537037</v>
      </c>
      <c r="F70" s="45" t="s">
        <v>171</v>
      </c>
    </row>
    <row r="71" spans="1:6" ht="14.25">
      <c r="A71" s="45"/>
      <c r="B71" s="45" t="s">
        <v>169</v>
      </c>
      <c r="C71" s="46" t="str">
        <f>HYPERLINK("https://au.indeed.com/viewjob?jk=c100fd1e78f883f5","Cloud Ops Database Administrator - Weekend Shift")</f>
        <v>Cloud Ops Database Administrator - Weekend Shift</v>
      </c>
      <c r="D71" s="45" t="s">
        <v>382</v>
      </c>
      <c r="E71" s="48">
        <v>44186.022407407407</v>
      </c>
      <c r="F71" s="45" t="s">
        <v>171</v>
      </c>
    </row>
    <row r="72" spans="1:6" ht="14.25">
      <c r="A72" s="45"/>
      <c r="B72" s="45" t="s">
        <v>169</v>
      </c>
      <c r="C72" s="46" t="str">
        <f>HYPERLINK("https://au.indeed.com/viewjob?jk=83628084b3b2447a","Azure Cloud Engineer")</f>
        <v>Azure Cloud Engineer</v>
      </c>
      <c r="D72" s="45" t="s">
        <v>392</v>
      </c>
      <c r="E72" s="48">
        <v>44186.022476851853</v>
      </c>
      <c r="F72" s="45" t="s">
        <v>171</v>
      </c>
    </row>
    <row r="73" spans="1:6" ht="14.25">
      <c r="A73" s="45"/>
      <c r="B73" s="45" t="s">
        <v>169</v>
      </c>
      <c r="C73" s="46" t="str">
        <f>HYPERLINK("https://au.indeed.com/viewjob?jk=8681d65bdc40680b","APAC Cloud Centre of Excellence - Enterprise Architect")</f>
        <v>APAC Cloud Centre of Excellence - Enterprise Architect</v>
      </c>
      <c r="D73" s="45" t="s">
        <v>393</v>
      </c>
      <c r="E73" s="48">
        <v>44186.022534722222</v>
      </c>
      <c r="F73" s="45" t="s">
        <v>171</v>
      </c>
    </row>
    <row r="74" spans="1:6" ht="14.25">
      <c r="A74" s="45"/>
      <c r="B74" s="45" t="s">
        <v>169</v>
      </c>
      <c r="C74" s="46" t="str">
        <f>HYPERLINK("https://au.indeed.com/viewjob?jk=a89712ebd138f8b6","Manager - Cloud Data Engineer")</f>
        <v>Manager - Cloud Data Engineer</v>
      </c>
      <c r="D74" s="45" t="s">
        <v>385</v>
      </c>
      <c r="E74" s="48">
        <v>44186.022615740738</v>
      </c>
      <c r="F74" s="45" t="s">
        <v>171</v>
      </c>
    </row>
    <row r="75" spans="1:6" ht="14.25">
      <c r="A75" s="45"/>
      <c r="B75" s="45" t="s">
        <v>169</v>
      </c>
      <c r="C75" s="46" t="str">
        <f>HYPERLINK("https://au.indeed.com/viewjob?jk=0b5741d6677fc1da","Google Cloud Architect")</f>
        <v>Google Cloud Architect</v>
      </c>
      <c r="D75" s="45" t="s">
        <v>394</v>
      </c>
      <c r="E75" s="48">
        <v>44186.022719907407</v>
      </c>
      <c r="F75" s="45" t="s">
        <v>171</v>
      </c>
    </row>
    <row r="76" spans="1:6" ht="14.25">
      <c r="A76" s="45"/>
      <c r="B76" s="45" t="s">
        <v>169</v>
      </c>
      <c r="C76" s="46" t="str">
        <f>HYPERLINK("https://au.indeed.com/viewjob?jk=439cfe9810c4201c","Director, Education Cloud Industry Solutions, APAC")</f>
        <v>Director, Education Cloud Industry Solutions, APAC</v>
      </c>
      <c r="D76" s="45" t="s">
        <v>381</v>
      </c>
      <c r="E76" s="48">
        <v>44186.022777777776</v>
      </c>
      <c r="F76" s="45" t="s">
        <v>171</v>
      </c>
    </row>
    <row r="77" spans="1:6" ht="14.25">
      <c r="A77" s="45"/>
      <c r="B77" s="45" t="s">
        <v>169</v>
      </c>
      <c r="C77" s="46" t="str">
        <f>HYPERLINK("https://au.indeed.com/viewjob?jk=69b0bae89f138b1e","Strategic Cloud Engineer, Cloud Professional Services")</f>
        <v>Strategic Cloud Engineer, Cloud Professional Services</v>
      </c>
      <c r="D77" s="45" t="s">
        <v>358</v>
      </c>
      <c r="E77" s="48">
        <v>44186.022870370369</v>
      </c>
      <c r="F77" s="45" t="s">
        <v>171</v>
      </c>
    </row>
    <row r="78" spans="1:6" ht="14.25">
      <c r="A78" s="45"/>
      <c r="B78" s="45" t="s">
        <v>169</v>
      </c>
      <c r="C78" s="46" t="str">
        <f>HYPERLINK("https://au.indeed.com/viewjob?jk=bf600287c90f774a","Principal Strategy Consultant - Cloud Platforms")</f>
        <v>Principal Strategy Consultant - Cloud Platforms</v>
      </c>
      <c r="D78" s="45" t="s">
        <v>384</v>
      </c>
      <c r="E78" s="48">
        <v>44186.022939814815</v>
      </c>
      <c r="F78" s="45" t="s">
        <v>171</v>
      </c>
    </row>
    <row r="79" spans="1:6" ht="14.25">
      <c r="A79" s="45"/>
      <c r="B79" s="45" t="s">
        <v>169</v>
      </c>
      <c r="C79" s="46" t="str">
        <f>HYPERLINK("https://au.indeed.com/viewjob?jk=633bdbb8d0cb6a5a","Consultant - Cloud Data Engineer")</f>
        <v>Consultant - Cloud Data Engineer</v>
      </c>
      <c r="D79" s="45" t="s">
        <v>385</v>
      </c>
      <c r="E79" s="48">
        <v>44186.022997685184</v>
      </c>
      <c r="F79" s="45" t="s">
        <v>171</v>
      </c>
    </row>
    <row r="80" spans="1:6" ht="14.25">
      <c r="A80" s="45"/>
      <c r="B80" s="45" t="s">
        <v>169</v>
      </c>
      <c r="C80" s="46" t="str">
        <f>HYPERLINK("https://au.indeed.com/viewjob?jk=0fec1e79011928bb","Cloud Systems Administrator")</f>
        <v>Cloud Systems Administrator</v>
      </c>
      <c r="D80" s="45" t="s">
        <v>373</v>
      </c>
      <c r="E80" s="48">
        <v>44186.023055555554</v>
      </c>
      <c r="F80" s="45" t="s">
        <v>171</v>
      </c>
    </row>
    <row r="81" spans="1:6" ht="14.25">
      <c r="A81" s="45"/>
      <c r="B81" s="45" t="s">
        <v>169</v>
      </c>
      <c r="C81" s="46" t="str">
        <f>HYPERLINK("https://au.indeed.com/viewjob?jk=7a84f61e55835474","Cloud Engineer")</f>
        <v>Cloud Engineer</v>
      </c>
      <c r="D81" s="45" t="s">
        <v>395</v>
      </c>
      <c r="E81" s="48">
        <v>44186.023125</v>
      </c>
      <c r="F81" s="45" t="s">
        <v>171</v>
      </c>
    </row>
    <row r="82" spans="1:6" ht="14.25">
      <c r="A82" s="45"/>
      <c r="B82" s="45" t="s">
        <v>169</v>
      </c>
      <c r="C82" s="46" t="str">
        <f>HYPERLINK("https://au.indeed.com/viewjob?jk=6fa80790834fe063","Engineering Manager, Site Reliability Engineering, Google Cloud Storage")</f>
        <v>Engineering Manager, Site Reliability Engineering, Google Cloud Storage</v>
      </c>
      <c r="D82" s="45" t="s">
        <v>358</v>
      </c>
      <c r="E82" s="48">
        <v>44186.023182870369</v>
      </c>
      <c r="F82" s="45" t="s">
        <v>171</v>
      </c>
    </row>
    <row r="83" spans="1:6" ht="14.25">
      <c r="A83" s="45"/>
      <c r="B83" s="45" t="s">
        <v>169</v>
      </c>
      <c r="C83" s="46" t="str">
        <f>HYPERLINK("https://au.indeed.com/viewjob?jk=330eeec5b8b19d57","Engineering Manager, Cloud Migrations Platform")</f>
        <v>Engineering Manager, Cloud Migrations Platform</v>
      </c>
      <c r="D83" s="45" t="s">
        <v>380</v>
      </c>
      <c r="E83" s="48">
        <v>44186.023240740738</v>
      </c>
      <c r="F83" s="45" t="s">
        <v>171</v>
      </c>
    </row>
    <row r="84" spans="1:6" ht="14.25">
      <c r="A84" s="45"/>
      <c r="B84" s="45" t="s">
        <v>169</v>
      </c>
      <c r="C84" s="46" t="str">
        <f>HYPERLINK("https://au.indeed.com/viewjob?jk=77b94b24b008b461","Cloud Ops Database Administrator")</f>
        <v>Cloud Ops Database Administrator</v>
      </c>
      <c r="D84" s="45" t="s">
        <v>382</v>
      </c>
      <c r="E84" s="48">
        <v>44186.023333333331</v>
      </c>
      <c r="F84" s="45" t="s">
        <v>171</v>
      </c>
    </row>
    <row r="85" spans="1:6" ht="14.25">
      <c r="A85" s="45"/>
      <c r="B85" s="45" t="s">
        <v>169</v>
      </c>
      <c r="C85" s="46" t="str">
        <f>HYPERLINK("https://au.indeed.com/viewjob?jk=241ec18e297d1bff","Account Executive (Growth), Marketing Cloud | Australia")</f>
        <v>Account Executive (Growth), Marketing Cloud | Australia</v>
      </c>
      <c r="D85" s="45" t="s">
        <v>381</v>
      </c>
      <c r="E85" s="48">
        <v>44186.023402777777</v>
      </c>
      <c r="F85" s="45" t="s">
        <v>171</v>
      </c>
    </row>
    <row r="86" spans="1:6" ht="14.25">
      <c r="A86" s="45"/>
      <c r="B86" s="45" t="s">
        <v>169</v>
      </c>
      <c r="C86" s="46" t="str">
        <f>HYPERLINK("https://au.indeed.com/viewjob?jk=1721f9e838c8e969","Cloud Accounting Consultant")</f>
        <v>Cloud Accounting Consultant</v>
      </c>
      <c r="D86" s="45" t="s">
        <v>396</v>
      </c>
      <c r="E86" s="48">
        <v>44186.023657407408</v>
      </c>
      <c r="F86" s="45" t="s">
        <v>171</v>
      </c>
    </row>
    <row r="87" spans="1:6" ht="14.25">
      <c r="A87" s="45"/>
      <c r="B87" s="45" t="s">
        <v>169</v>
      </c>
      <c r="C87" s="46" t="str">
        <f>HYPERLINK("https://au.indeed.com/viewjob?jk=985f0f5b89127414","Multi Cloud Presales Solution Architect")</f>
        <v>Multi Cloud Presales Solution Architect</v>
      </c>
      <c r="D87" s="45" t="s">
        <v>360</v>
      </c>
      <c r="E87" s="48">
        <v>44186.023715277777</v>
      </c>
      <c r="F87" s="45" t="s">
        <v>171</v>
      </c>
    </row>
    <row r="88" spans="1:6" ht="14.25">
      <c r="A88" s="45"/>
      <c r="B88" s="45" t="s">
        <v>169</v>
      </c>
      <c r="C88" s="46" t="str">
        <f>HYPERLINK("https://au.indeed.com/viewjob?jk=196fea2c898da0b1","Technical Lead - Digital Cloud")</f>
        <v>Technical Lead - Digital Cloud</v>
      </c>
      <c r="D88" s="45" t="s">
        <v>377</v>
      </c>
      <c r="E88" s="48">
        <v>44186.023773148147</v>
      </c>
      <c r="F88" s="45" t="s">
        <v>171</v>
      </c>
    </row>
    <row r="89" spans="1:6" ht="14.25">
      <c r="A89" s="45"/>
      <c r="B89" s="45" t="s">
        <v>169</v>
      </c>
      <c r="C89" s="46" t="str">
        <f>HYPERLINK("https://au.indeed.com/viewjob?jk=e02aaf1381b86d79","Enterprise Architect - Cloud &amp; Infrastructure")</f>
        <v>Enterprise Architect - Cloud &amp; Infrastructure</v>
      </c>
      <c r="D89" s="45" t="s">
        <v>397</v>
      </c>
      <c r="E89" s="48">
        <v>44186.023854166669</v>
      </c>
      <c r="F89" s="45" t="s">
        <v>171</v>
      </c>
    </row>
    <row r="90" spans="1:6" ht="14.25">
      <c r="A90" s="45"/>
      <c r="B90" s="45" t="s">
        <v>169</v>
      </c>
      <c r="C90" s="46" t="str">
        <f>HYPERLINK("https://au.indeed.com/viewjob?jk=d13ef9df552ee837","Cloud Solution Architect (Azure Infra)")</f>
        <v>Cloud Solution Architect (Azure Infra)</v>
      </c>
      <c r="D90" s="45" t="s">
        <v>363</v>
      </c>
      <c r="E90" s="48">
        <v>44186.023912037039</v>
      </c>
      <c r="F90" s="45" t="s">
        <v>171</v>
      </c>
    </row>
    <row r="91" spans="1:6" ht="14.25">
      <c r="A91" s="45"/>
      <c r="B91" s="45" t="s">
        <v>169</v>
      </c>
      <c r="C91" s="46" t="str">
        <f>HYPERLINK("https://au.indeed.com/viewjob?jk=112cff55f76167f0","Cloud Assurance Manager")</f>
        <v>Cloud Assurance Manager</v>
      </c>
      <c r="D91" s="45" t="s">
        <v>398</v>
      </c>
      <c r="E91" s="48">
        <v>44186.023969907408</v>
      </c>
      <c r="F91" s="45" t="s">
        <v>171</v>
      </c>
    </row>
    <row r="92" spans="1:6" ht="14.25">
      <c r="A92" s="45"/>
      <c r="B92" s="45" t="s">
        <v>169</v>
      </c>
      <c r="C92" s="46" t="str">
        <f>HYPERLINK("https://au.indeed.com/viewjob?jk=4e1d7e8cd834a606","Cloud Security Solutions Architect")</f>
        <v>Cloud Security Solutions Architect</v>
      </c>
      <c r="D92" s="45" t="s">
        <v>399</v>
      </c>
      <c r="E92" s="48">
        <v>44186.024027777778</v>
      </c>
      <c r="F92" s="45" t="s">
        <v>171</v>
      </c>
    </row>
    <row r="93" spans="1:6" ht="14.25">
      <c r="A93" s="45"/>
      <c r="B93" s="45" t="s">
        <v>169</v>
      </c>
      <c r="C93" s="46" t="str">
        <f>HYPERLINK("https://au.indeed.com/viewjob?jk=3937956cb2a84e6a","Technical Account Manager, Google Cloud Professional Services")</f>
        <v>Technical Account Manager, Google Cloud Professional Services</v>
      </c>
      <c r="D93" s="45" t="s">
        <v>358</v>
      </c>
      <c r="E93" s="48">
        <v>44186.024131944447</v>
      </c>
      <c r="F93" s="45" t="s">
        <v>171</v>
      </c>
    </row>
    <row r="94" spans="1:6" ht="14.25">
      <c r="A94" s="45"/>
      <c r="B94" s="45" t="s">
        <v>169</v>
      </c>
      <c r="C94" s="46" t="str">
        <f>HYPERLINK("https://au.indeed.com/viewjob?jk=e97cdc76bb554dc2","Senior Consultant - Oracle EPM Cloud")</f>
        <v>Senior Consultant - Oracle EPM Cloud</v>
      </c>
      <c r="D94" s="45" t="s">
        <v>372</v>
      </c>
      <c r="E94" s="48">
        <v>44186.024224537039</v>
      </c>
      <c r="F94" s="45" t="s">
        <v>171</v>
      </c>
    </row>
    <row r="95" spans="1:6" ht="14.25">
      <c r="A95" s="45"/>
      <c r="B95" s="45" t="s">
        <v>169</v>
      </c>
      <c r="C95" s="46" t="str">
        <f>HYPERLINK("https://au.indeed.com/viewjob?jk=f95430f5a195c07e","Senior Consultant - Cloud Data Engineer")</f>
        <v>Senior Consultant - Cloud Data Engineer</v>
      </c>
      <c r="D95" s="45" t="s">
        <v>385</v>
      </c>
      <c r="E95" s="48">
        <v>44186.024293981478</v>
      </c>
      <c r="F95" s="45" t="s">
        <v>171</v>
      </c>
    </row>
    <row r="96" spans="1:6" ht="14.25">
      <c r="A96" s="45"/>
      <c r="B96" s="45" t="s">
        <v>169</v>
      </c>
      <c r="C96" s="46" t="str">
        <f>HYPERLINK("https://au.indeed.com/viewjob?jk=cb02a19b19705024","Cloud Transformation and Migration Consultant")</f>
        <v>Cloud Transformation and Migration Consultant</v>
      </c>
      <c r="D96" s="45" t="s">
        <v>394</v>
      </c>
      <c r="E96" s="48">
        <v>44186.024351851855</v>
      </c>
      <c r="F96" s="45" t="s">
        <v>171</v>
      </c>
    </row>
    <row r="97" spans="1:6" ht="14.25">
      <c r="A97" s="45"/>
      <c r="B97" s="45" t="s">
        <v>169</v>
      </c>
      <c r="C97" s="46" t="str">
        <f>HYPERLINK("https://au.indeed.com/viewjob?jk=ff6bc09b0cd5a74d","Operations/DevOps Engineer (Cloud)")</f>
        <v>Operations/DevOps Engineer (Cloud)</v>
      </c>
      <c r="D97" s="45" t="s">
        <v>400</v>
      </c>
      <c r="E97" s="48">
        <v>44186.024409722224</v>
      </c>
      <c r="F97" s="45" t="s">
        <v>171</v>
      </c>
    </row>
    <row r="98" spans="1:6" ht="14.25">
      <c r="A98" s="45"/>
      <c r="B98" s="45" t="s">
        <v>169</v>
      </c>
      <c r="C98" s="46" t="str">
        <f>HYPERLINK("https://au.indeed.com/viewjob?jk=db6bb5dd1a5828dc","Cloud Solution Architect")</f>
        <v>Cloud Solution Architect</v>
      </c>
      <c r="D98" s="45" t="s">
        <v>394</v>
      </c>
      <c r="E98" s="48">
        <v>44186.02447916667</v>
      </c>
      <c r="F98" s="45" t="s">
        <v>171</v>
      </c>
    </row>
    <row r="99" spans="1:6" ht="14.25">
      <c r="A99" s="45"/>
      <c r="B99" s="45" t="s">
        <v>169</v>
      </c>
      <c r="C99" s="46" t="str">
        <f>HYPERLINK("https://au.indeed.com/viewjob?jk=53b714ae2d648580","Technical Solution Architect/Cloud Architect")</f>
        <v>Technical Solution Architect/Cloud Architect</v>
      </c>
      <c r="D99" s="45" t="s">
        <v>385</v>
      </c>
      <c r="E99" s="48">
        <v>44186.024537037039</v>
      </c>
      <c r="F99" s="45" t="s">
        <v>171</v>
      </c>
    </row>
    <row r="100" spans="1:6" ht="14.25">
      <c r="A100" s="45"/>
      <c r="B100" s="45" t="s">
        <v>169</v>
      </c>
      <c r="C100" s="46" t="str">
        <f>HYPERLINK("https://au.indeed.com/viewjob?jk=663e5588d6284c9f","Cloud Solutions Architect")</f>
        <v>Cloud Solutions Architect</v>
      </c>
      <c r="D100" s="45" t="s">
        <v>401</v>
      </c>
      <c r="E100" s="48">
        <v>44186.024594907409</v>
      </c>
      <c r="F100" s="45" t="s">
        <v>171</v>
      </c>
    </row>
    <row r="101" spans="1:6" ht="14.25">
      <c r="A101" s="45"/>
      <c r="B101" s="45" t="s">
        <v>169</v>
      </c>
      <c r="C101" s="46" t="str">
        <f>HYPERLINK("https://au.indeed.com/viewjob?jk=1a00825a2c72f6ff","Service Cloud, Account Executive")</f>
        <v>Service Cloud, Account Executive</v>
      </c>
      <c r="D101" s="45" t="s">
        <v>381</v>
      </c>
      <c r="E101" s="48">
        <v>44186.024664351855</v>
      </c>
      <c r="F101" s="45" t="s">
        <v>171</v>
      </c>
    </row>
    <row r="102" spans="1:6" ht="14.25">
      <c r="A102" s="45"/>
      <c r="B102" s="45" t="s">
        <v>169</v>
      </c>
      <c r="C102" s="46" t="str">
        <f>HYPERLINK("https://au.indeed.com/viewjob?jk=a004ceb8dabbfc97","Cloud &amp; Automation Architect")</f>
        <v>Cloud &amp; Automation Architect</v>
      </c>
      <c r="D102" s="45" t="s">
        <v>402</v>
      </c>
      <c r="E102" s="48">
        <v>44186.024722222224</v>
      </c>
      <c r="F102" s="45" t="s">
        <v>171</v>
      </c>
    </row>
    <row r="103" spans="1:6" ht="14.25">
      <c r="A103" s="45"/>
      <c r="B103" s="45" t="s">
        <v>169</v>
      </c>
      <c r="C103" s="46" t="str">
        <f>HYPERLINK("https://au.indeed.com/viewjob?jk=b72547c9376a6060","Cloud Engineer")</f>
        <v>Cloud Engineer</v>
      </c>
      <c r="D103" s="45" t="s">
        <v>379</v>
      </c>
      <c r="E103" s="48">
        <v>44186.024780092594</v>
      </c>
      <c r="F103" s="45" t="s">
        <v>171</v>
      </c>
    </row>
    <row r="104" spans="1:6" ht="14.25">
      <c r="A104" s="45"/>
      <c r="B104" s="45" t="s">
        <v>169</v>
      </c>
      <c r="C104" s="46" t="str">
        <f>HYPERLINK("https://au.indeed.com/viewjob?jk=393d97fb72735a9e","Network Security Engineer - Cloud Proxy")</f>
        <v>Network Security Engineer - Cloud Proxy</v>
      </c>
      <c r="D104" s="45" t="s">
        <v>375</v>
      </c>
      <c r="E104" s="48">
        <v>44186.024872685186</v>
      </c>
      <c r="F104" s="45" t="s">
        <v>171</v>
      </c>
    </row>
    <row r="105" spans="1:6" ht="14.25">
      <c r="A105" s="45"/>
      <c r="B105" s="45" t="s">
        <v>169</v>
      </c>
      <c r="C105" s="46" t="str">
        <f>HYPERLINK("https://au.indeed.com/viewjob?jk=f39e57eab99654bd","Senior Cloud Engineer")</f>
        <v>Senior Cloud Engineer</v>
      </c>
      <c r="D105" s="45" t="s">
        <v>380</v>
      </c>
      <c r="E105" s="48">
        <v>44186.024930555555</v>
      </c>
      <c r="F105" s="45" t="s">
        <v>171</v>
      </c>
    </row>
    <row r="106" spans="1:6" ht="14.25">
      <c r="A106" s="45"/>
      <c r="B106" s="45" t="s">
        <v>169</v>
      </c>
      <c r="C106" s="46" t="str">
        <f>HYPERLINK("https://au.indeed.com/viewjob?jk=5fc0cb81e135ac5e","Sr. Cloud Service Manager")</f>
        <v>Sr. Cloud Service Manager</v>
      </c>
      <c r="D106" s="45" t="s">
        <v>403</v>
      </c>
      <c r="E106" s="48">
        <v>44186.024988425925</v>
      </c>
      <c r="F106" s="45" t="s">
        <v>171</v>
      </c>
    </row>
    <row r="107" spans="1:6" ht="14.25">
      <c r="A107" s="45"/>
      <c r="B107" s="45" t="s">
        <v>169</v>
      </c>
      <c r="C107" s="46" t="str">
        <f>HYPERLINK("https://au.indeed.com/viewjob?jk=0a06aba591bf14c8","Azure Cloud Solution Architect - Customer Acquisiton")</f>
        <v>Azure Cloud Solution Architect - Customer Acquisiton</v>
      </c>
      <c r="D107" s="45" t="s">
        <v>363</v>
      </c>
      <c r="E107" s="48">
        <v>44186.025057870371</v>
      </c>
      <c r="F107" s="45" t="s">
        <v>171</v>
      </c>
    </row>
    <row r="108" spans="1:6" ht="14.25">
      <c r="A108" s="45"/>
      <c r="B108" s="45" t="s">
        <v>169</v>
      </c>
      <c r="C108" s="46" t="str">
        <f>HYPERLINK("https://au.indeed.com/viewjob?jk=9e8b91de82550b24","Cloud Deployment Engineer")</f>
        <v>Cloud Deployment Engineer</v>
      </c>
      <c r="D108" s="45" t="s">
        <v>404</v>
      </c>
      <c r="E108" s="48">
        <v>44186.025127314817</v>
      </c>
      <c r="F108" s="45" t="s">
        <v>171</v>
      </c>
    </row>
    <row r="109" spans="1:6" ht="14.25">
      <c r="A109" s="45"/>
      <c r="B109" s="45" t="s">
        <v>169</v>
      </c>
      <c r="C109" s="46" t="str">
        <f>HYPERLINK("https://au.indeed.com/viewjob?jk=d366b755877963c8","SimCorp Dimension - Infrastructure and Cloud Services")</f>
        <v>SimCorp Dimension - Infrastructure and Cloud Services</v>
      </c>
      <c r="D109" s="45" t="s">
        <v>405</v>
      </c>
      <c r="E109" s="48">
        <v>44186.025185185186</v>
      </c>
      <c r="F109" s="45" t="s">
        <v>171</v>
      </c>
    </row>
    <row r="110" spans="1:6" ht="14.25">
      <c r="A110" s="45"/>
      <c r="B110" s="45" t="s">
        <v>169</v>
      </c>
      <c r="C110" s="46" t="str">
        <f>HYPERLINK("https://au.indeed.com/viewjob?jk=eaac059c1c386c96","Cloud Engineer- Senior Associate|12mth FTC")</f>
        <v>Cloud Engineer- Senior Associate|12mth FTC</v>
      </c>
      <c r="D110" s="45" t="s">
        <v>406</v>
      </c>
      <c r="E110" s="48">
        <v>44186.025243055556</v>
      </c>
      <c r="F110" s="45" t="s">
        <v>171</v>
      </c>
    </row>
    <row r="111" spans="1:6" ht="14.25">
      <c r="A111" s="45"/>
      <c r="B111" s="45" t="s">
        <v>169</v>
      </c>
      <c r="C111" s="46" t="str">
        <f>HYPERLINK("https://au.indeed.com/viewjob?jk=981e591fa429a749","Cloud Engineer| 12 months FTC")</f>
        <v>Cloud Engineer| 12 months FTC</v>
      </c>
      <c r="D111" s="45" t="s">
        <v>406</v>
      </c>
      <c r="E111" s="48">
        <v>44186.025300925925</v>
      </c>
      <c r="F111" s="45" t="s">
        <v>171</v>
      </c>
    </row>
    <row r="112" spans="1:6" ht="14.25">
      <c r="A112" s="45"/>
      <c r="B112" s="45" t="s">
        <v>169</v>
      </c>
      <c r="C112" s="46" t="str">
        <f>HYPERLINK("https://au.indeed.com/viewjob?jk=14121d139929be23","Cloud &amp; Infra Ops Engineer")</f>
        <v>Cloud &amp; Infra Ops Engineer</v>
      </c>
      <c r="D112" s="45" t="s">
        <v>407</v>
      </c>
      <c r="E112" s="48">
        <v>44186.025358796294</v>
      </c>
      <c r="F112" s="45" t="s">
        <v>171</v>
      </c>
    </row>
    <row r="113" spans="1:6" ht="14.25">
      <c r="A113" s="45"/>
      <c r="B113" s="45" t="s">
        <v>169</v>
      </c>
      <c r="C113" s="46" t="str">
        <f>HYPERLINK("https://au.indeed.com/viewjob?jk=463cd031a8832514","Azure Cloud &amp; Devops")</f>
        <v>Azure Cloud &amp; Devops</v>
      </c>
      <c r="D113" s="45" t="s">
        <v>372</v>
      </c>
      <c r="E113" s="48">
        <v>44186.02542824074</v>
      </c>
      <c r="F113" s="45" t="s">
        <v>171</v>
      </c>
    </row>
    <row r="114" spans="1:6" ht="14.25">
      <c r="A114" s="45"/>
      <c r="B114" s="45" t="s">
        <v>169</v>
      </c>
      <c r="C114" s="46" t="str">
        <f>HYPERLINK("https://au.indeed.com/viewjob?jk=02a209b621f1a728","Cloud Specialist")</f>
        <v>Cloud Specialist</v>
      </c>
      <c r="D114" s="45" t="s">
        <v>408</v>
      </c>
      <c r="E114" s="48">
        <v>44186.025509259256</v>
      </c>
      <c r="F114" s="45" t="s">
        <v>171</v>
      </c>
    </row>
    <row r="115" spans="1:6" ht="14.25">
      <c r="A115" s="45"/>
      <c r="B115" s="45" t="s">
        <v>169</v>
      </c>
      <c r="C115" s="46" t="str">
        <f>HYPERLINK("https://au.indeed.com/viewjob?jk=a79b7bf0790b2832","Senior Cloud Engineer Consultant (AWS)")</f>
        <v>Senior Cloud Engineer Consultant (AWS)</v>
      </c>
      <c r="D115" s="45" t="s">
        <v>409</v>
      </c>
      <c r="E115" s="48">
        <v>44186.025578703702</v>
      </c>
      <c r="F115" s="45" t="s">
        <v>171</v>
      </c>
    </row>
    <row r="116" spans="1:6" ht="14.25">
      <c r="A116" s="45"/>
      <c r="B116" s="45" t="s">
        <v>169</v>
      </c>
      <c r="C116" s="46" t="str">
        <f>HYPERLINK("https://au.indeed.com/viewjob?jk=fd3e261a178fd964","Cloud Sales Specialist, Oracle VMware solution Sydney, New South Wales")</f>
        <v>Cloud Sales Specialist, Oracle VMware solution Sydney, New South Wales</v>
      </c>
      <c r="D116" s="45" t="s">
        <v>410</v>
      </c>
      <c r="E116" s="48">
        <v>44186.025636574072</v>
      </c>
      <c r="F116" s="45" t="s">
        <v>171</v>
      </c>
    </row>
    <row r="117" spans="1:6" ht="14.25">
      <c r="A117" s="45"/>
      <c r="B117" s="45" t="s">
        <v>169</v>
      </c>
      <c r="C117" s="46" t="str">
        <f>HYPERLINK("https://au.indeed.com/viewjob?jk=d569ab4f36be65a3","Business Development Manager, Hybrid Cloud (VMware Cloud on AWS)")</f>
        <v>Business Development Manager, Hybrid Cloud (VMware Cloud on AWS)</v>
      </c>
      <c r="D117" s="45" t="s">
        <v>369</v>
      </c>
      <c r="E117" s="48">
        <v>44186.025706018518</v>
      </c>
      <c r="F117" s="45" t="s">
        <v>171</v>
      </c>
    </row>
    <row r="118" spans="1:6" ht="14.25">
      <c r="A118" s="45"/>
      <c r="B118" s="45" t="s">
        <v>169</v>
      </c>
      <c r="C118" s="46" t="str">
        <f>HYPERLINK("https://au.indeed.com/viewjob?jk=9abaf593cb345457","Cloud Solution Specialist")</f>
        <v>Cloud Solution Specialist</v>
      </c>
      <c r="D118" s="45" t="s">
        <v>391</v>
      </c>
      <c r="E118" s="48">
        <v>44186.025763888887</v>
      </c>
      <c r="F118" s="45" t="s">
        <v>171</v>
      </c>
    </row>
    <row r="119" spans="1:6" ht="14.25">
      <c r="A119" s="45"/>
      <c r="B119" s="45" t="s">
        <v>169</v>
      </c>
      <c r="C119" s="46" t="str">
        <f>HYPERLINK("https://au.indeed.com/viewjob?jk=660f49dac2325b1f","Cloud Platform Lead (Azure)")</f>
        <v>Cloud Platform Lead (Azure)</v>
      </c>
      <c r="D119" s="45" t="s">
        <v>411</v>
      </c>
      <c r="E119" s="48">
        <v>44186.025821759256</v>
      </c>
      <c r="F119" s="45" t="s">
        <v>171</v>
      </c>
    </row>
    <row r="120" spans="1:6" ht="14.25">
      <c r="A120" s="45"/>
      <c r="B120" s="45" t="s">
        <v>169</v>
      </c>
      <c r="C120" s="46" t="str">
        <f>HYPERLINK("https://au.indeed.com/viewjob?jk=2d1653a8a1d00d55","Oracle Fusion ERP Cloud Project Manager")</f>
        <v>Oracle Fusion ERP Cloud Project Manager</v>
      </c>
      <c r="D120" s="45" t="s">
        <v>379</v>
      </c>
      <c r="E120" s="48">
        <v>44186.025879629633</v>
      </c>
      <c r="F120" s="45" t="s">
        <v>171</v>
      </c>
    </row>
    <row r="121" spans="1:6" ht="14.25">
      <c r="A121" s="45"/>
      <c r="B121" s="45" t="s">
        <v>169</v>
      </c>
      <c r="C121" s="46" t="str">
        <f>HYPERLINK("https://au.indeed.com/viewjob?jk=530d228594ac27ef","Cloud Architect &amp; Engineer")</f>
        <v>Cloud Architect &amp; Engineer</v>
      </c>
      <c r="D121" s="45" t="s">
        <v>412</v>
      </c>
      <c r="E121" s="48">
        <v>44186.025949074072</v>
      </c>
      <c r="F121" s="45" t="s">
        <v>171</v>
      </c>
    </row>
    <row r="122" spans="1:6" ht="14.25">
      <c r="A122" s="45"/>
      <c r="B122" s="45" t="s">
        <v>169</v>
      </c>
      <c r="C122" s="46" t="str">
        <f>HYPERLINK("https://au.indeed.com/viewjob?jk=cd647a1acf58405f","Marketing Cloud Consultant")</f>
        <v>Marketing Cloud Consultant</v>
      </c>
      <c r="D122" s="45"/>
      <c r="E122" s="48">
        <v>44186.026018518518</v>
      </c>
      <c r="F122" s="45" t="s">
        <v>171</v>
      </c>
    </row>
    <row r="123" spans="1:6" ht="14.25">
      <c r="A123" s="45"/>
      <c r="B123" s="45" t="s">
        <v>169</v>
      </c>
      <c r="C123" s="46" t="str">
        <f>HYPERLINK("https://au.indeed.com/viewjob?jk=aec0ce493a1c9292","Senior Cloud Engineers")</f>
        <v>Senior Cloud Engineers</v>
      </c>
      <c r="D123" s="45" t="s">
        <v>413</v>
      </c>
      <c r="E123" s="48">
        <v>44186.026076388887</v>
      </c>
      <c r="F123" s="45" t="s">
        <v>171</v>
      </c>
    </row>
    <row r="124" spans="1:6" ht="14.25">
      <c r="A124" s="45"/>
      <c r="B124" s="45" t="s">
        <v>165</v>
      </c>
      <c r="C124" s="46" t="str">
        <f>HYPERLINK("https://au.indeed.com/viewjob?jk=9ac01c142b59da26","Senior Mechanical Engineer - Data Centre")</f>
        <v>Senior Mechanical Engineer - Data Centre</v>
      </c>
      <c r="D124" s="45" t="s">
        <v>356</v>
      </c>
      <c r="E124" s="48">
        <v>44186.558229166665</v>
      </c>
      <c r="F124" s="45" t="s">
        <v>164</v>
      </c>
    </row>
    <row r="125" spans="1:6" ht="14.25">
      <c r="A125" s="45"/>
      <c r="B125" s="45" t="s">
        <v>165</v>
      </c>
      <c r="C125" s="46" t="str">
        <f>HYPERLINK("https://au.indeed.com/viewjob?jk=2d346696011626ca","Senior Rolling Stock Engineer - Mechanical")</f>
        <v>Senior Rolling Stock Engineer - Mechanical</v>
      </c>
      <c r="D125" s="45" t="s">
        <v>353</v>
      </c>
      <c r="E125" s="48">
        <v>44186.558634259258</v>
      </c>
      <c r="F125" s="45" t="s">
        <v>164</v>
      </c>
    </row>
    <row r="126" spans="1:6" ht="14.25">
      <c r="A126" s="45"/>
      <c r="B126" s="45" t="s">
        <v>165</v>
      </c>
      <c r="C126" s="46" t="str">
        <f>HYPERLINK("https://au.indeed.com/viewjob?jk=56d366757d33198c","Lead Mechanical Engineer")</f>
        <v>Lead Mechanical Engineer</v>
      </c>
      <c r="D126" s="45" t="s">
        <v>414</v>
      </c>
      <c r="E126" s="48">
        <v>44186.558668981481</v>
      </c>
      <c r="F126" s="45" t="s">
        <v>164</v>
      </c>
    </row>
    <row r="127" spans="1:6" ht="14.25">
      <c r="A127" s="45"/>
      <c r="B127" s="45" t="s">
        <v>165</v>
      </c>
      <c r="C127" s="46" t="str">
        <f>HYPERLINK("https://au.indeed.com/viewjob?jk=5b52a616acecf56c","Senior Mechanical Engineer")</f>
        <v>Senior Mechanical Engineer</v>
      </c>
      <c r="D127" s="45" t="s">
        <v>354</v>
      </c>
      <c r="E127" s="48">
        <v>44186.559074074074</v>
      </c>
      <c r="F127" s="45" t="s">
        <v>164</v>
      </c>
    </row>
    <row r="128" spans="1:6" ht="14.25">
      <c r="A128" s="45"/>
      <c r="B128" s="45" t="s">
        <v>165</v>
      </c>
      <c r="C128" s="46" t="str">
        <f>HYPERLINK("https://au.indeed.com/viewjob?jk=d1d94ff1023acd90","Lead Mechanical Engineer")</f>
        <v>Lead Mechanical Engineer</v>
      </c>
      <c r="D128" s="45" t="s">
        <v>414</v>
      </c>
      <c r="E128" s="48">
        <v>44186.559976851851</v>
      </c>
      <c r="F128" s="45" t="s">
        <v>164</v>
      </c>
    </row>
    <row r="129" spans="1:6" ht="14.25">
      <c r="A129" s="45"/>
      <c r="B129" s="45" t="s">
        <v>165</v>
      </c>
      <c r="C129" s="46" t="str">
        <f>HYPERLINK("https://au.indeed.com/viewjob?jk=510101d27ddc52a8","Mechanical Design Engineer - Data Centers")</f>
        <v>Mechanical Design Engineer - Data Centers</v>
      </c>
      <c r="D129" s="45" t="s">
        <v>369</v>
      </c>
      <c r="E129" s="48">
        <v>44186.560011574074</v>
      </c>
      <c r="F129" s="45" t="s">
        <v>164</v>
      </c>
    </row>
    <row r="130" spans="1:6" ht="14.25">
      <c r="A130" s="45"/>
      <c r="B130" s="45" t="s">
        <v>165</v>
      </c>
      <c r="C130" s="46" t="str">
        <f>HYPERLINK("https://au.indeed.com/viewjob?jk=6e2405da587ebd04","Mechanical Engineer")</f>
        <v>Mechanical Engineer</v>
      </c>
      <c r="D130" s="45" t="s">
        <v>415</v>
      </c>
      <c r="E130" s="48">
        <v>44186.560069444444</v>
      </c>
      <c r="F130" s="45" t="s">
        <v>164</v>
      </c>
    </row>
    <row r="131" spans="1:6" ht="14.25">
      <c r="A131" s="45"/>
      <c r="B131" s="45" t="s">
        <v>165</v>
      </c>
      <c r="C131" s="46" t="str">
        <f>HYPERLINK("https://au.indeed.com/viewjob?jk=ce45184e67dfa91d","Fitter General / Mechanical Engineer")</f>
        <v>Fitter General / Mechanical Engineer</v>
      </c>
      <c r="D131" s="45" t="s">
        <v>416</v>
      </c>
      <c r="E131" s="48">
        <v>44186.560104166667</v>
      </c>
      <c r="F131" s="45" t="s">
        <v>164</v>
      </c>
    </row>
    <row r="132" spans="1:6" ht="14.25">
      <c r="A132" s="45"/>
      <c r="B132" s="45" t="s">
        <v>165</v>
      </c>
      <c r="C132" s="46" t="str">
        <f>HYPERLINK("https://au.indeed.com/viewjob?jk=e0d32840cde15c11","Senior Mechanical Engineer")</f>
        <v>Senior Mechanical Engineer</v>
      </c>
      <c r="D132" s="45" t="s">
        <v>417</v>
      </c>
      <c r="E132" s="48">
        <v>44186.560150462959</v>
      </c>
      <c r="F132" s="45" t="s">
        <v>164</v>
      </c>
    </row>
    <row r="133" spans="1:6" ht="14.25">
      <c r="A133" s="45"/>
      <c r="B133" s="45" t="s">
        <v>165</v>
      </c>
      <c r="C133" s="46" t="str">
        <f>HYPERLINK("https://au.indeed.com/viewjob?jk=7048c1fc4f314e7e","Mechanical Engineer")</f>
        <v>Mechanical Engineer</v>
      </c>
      <c r="D133" s="45" t="s">
        <v>418</v>
      </c>
      <c r="E133" s="48">
        <v>44186.560208333336</v>
      </c>
      <c r="F133" s="45" t="s">
        <v>164</v>
      </c>
    </row>
    <row r="134" spans="1:6" ht="14.25">
      <c r="A134" s="45"/>
      <c r="B134" s="45" t="s">
        <v>162</v>
      </c>
      <c r="C134" s="46" t="str">
        <f>HYPERLINK("https://au.indeed.com/viewjob?jk=263e383291c9bd50","Senior Civil Design Engineer")</f>
        <v>Senior Civil Design Engineer</v>
      </c>
      <c r="D134" s="45" t="s">
        <v>391</v>
      </c>
      <c r="E134" s="48">
        <v>44186.561493055553</v>
      </c>
      <c r="F134" s="45" t="s">
        <v>164</v>
      </c>
    </row>
    <row r="135" spans="1:6" ht="14.25">
      <c r="A135" s="45"/>
      <c r="B135" s="45" t="s">
        <v>162</v>
      </c>
      <c r="C135" s="46" t="str">
        <f>HYPERLINK("https://au.indeed.com/viewjob?jk=0de2ee31524ba72b","Civil Design Engineer")</f>
        <v>Civil Design Engineer</v>
      </c>
      <c r="D135" s="45" t="s">
        <v>419</v>
      </c>
      <c r="E135" s="48">
        <v>44186.561539351853</v>
      </c>
      <c r="F135" s="45" t="s">
        <v>164</v>
      </c>
    </row>
    <row r="136" spans="1:6" ht="14.25">
      <c r="A136" s="45"/>
      <c r="B136" s="45" t="s">
        <v>162</v>
      </c>
      <c r="C136" s="46" t="str">
        <f>HYPERLINK("https://au.indeed.com/viewjob?jk=78425ca1d035c26c","Electrical Design Engineer - Data Centers")</f>
        <v>Electrical Design Engineer - Data Centers</v>
      </c>
      <c r="D136" s="45" t="s">
        <v>369</v>
      </c>
      <c r="E136" s="48">
        <v>44186.561585648145</v>
      </c>
      <c r="F136" s="45" t="s">
        <v>164</v>
      </c>
    </row>
    <row r="137" spans="1:6" ht="14.25">
      <c r="A137" s="45"/>
      <c r="B137" s="45" t="s">
        <v>162</v>
      </c>
      <c r="C137" s="46" t="str">
        <f>HYPERLINK("https://au.indeed.com/viewjob?jk=46b97aab8ab1e49f","Mechanical Design Engineer")</f>
        <v>Mechanical Design Engineer</v>
      </c>
      <c r="D137" s="45" t="s">
        <v>414</v>
      </c>
      <c r="E137" s="48">
        <v>44186.561631944445</v>
      </c>
      <c r="F137" s="45" t="s">
        <v>164</v>
      </c>
    </row>
    <row r="138" spans="1:6" ht="14.25">
      <c r="A138" s="45"/>
      <c r="B138" s="45" t="s">
        <v>162</v>
      </c>
      <c r="C138" s="46" t="str">
        <f>HYPERLINK("https://au.indeed.com/viewjob?jk=f1dea5d9081f1b58","Senior Design Engineer")</f>
        <v>Senior Design Engineer</v>
      </c>
      <c r="D138" s="45" t="s">
        <v>420</v>
      </c>
      <c r="E138" s="48">
        <v>44186.561886574076</v>
      </c>
      <c r="F138" s="45" t="s">
        <v>164</v>
      </c>
    </row>
    <row r="139" spans="1:6" ht="14.25">
      <c r="A139" s="45"/>
      <c r="B139" s="45" t="s">
        <v>162</v>
      </c>
      <c r="C139" s="46" t="str">
        <f>HYPERLINK("https://au.indeed.com/viewjob?jk=2c8a5cd5378079bd","Senior Engineer - Electrical Design (Lines)")</f>
        <v>Senior Engineer - Electrical Design (Lines)</v>
      </c>
      <c r="D139" s="45" t="s">
        <v>421</v>
      </c>
      <c r="E139" s="48">
        <v>44186.561967592592</v>
      </c>
      <c r="F139" s="45" t="s">
        <v>164</v>
      </c>
    </row>
    <row r="140" spans="1:6" ht="14.25">
      <c r="A140" s="45"/>
      <c r="B140" s="45" t="s">
        <v>162</v>
      </c>
      <c r="C140" s="46" t="str">
        <f>HYPERLINK("https://au.indeed.com/viewjob?jk=cc888c13f17ac8b0","Civil Design Engineer")</f>
        <v>Civil Design Engineer</v>
      </c>
      <c r="D140" s="45" t="s">
        <v>419</v>
      </c>
      <c r="E140" s="48">
        <v>44186.562002314815</v>
      </c>
      <c r="F140" s="45" t="s">
        <v>164</v>
      </c>
    </row>
    <row r="141" spans="1:6" ht="14.25">
      <c r="A141" s="45"/>
      <c r="B141" s="45" t="s">
        <v>162</v>
      </c>
      <c r="C141" s="46" t="str">
        <f>HYPERLINK("https://au.indeed.com/viewjob?jk=ea616289f0650c7c","Product Design Engineer")</f>
        <v>Product Design Engineer</v>
      </c>
      <c r="D141" s="45" t="s">
        <v>414</v>
      </c>
      <c r="E141" s="48">
        <v>44186.562048611115</v>
      </c>
      <c r="F141" s="45" t="s">
        <v>164</v>
      </c>
    </row>
    <row r="142" spans="1:6" ht="14.25">
      <c r="A142" s="45"/>
      <c r="B142" s="45" t="s">
        <v>162</v>
      </c>
      <c r="C142" s="46" t="str">
        <f>HYPERLINK("https://au.indeed.com/viewjob?jk=9a6d19a899dcc1fd","Mechanical Design Engineer")</f>
        <v>Mechanical Design Engineer</v>
      </c>
      <c r="D142" s="45" t="s">
        <v>414</v>
      </c>
      <c r="E142" s="48">
        <v>44186.5625</v>
      </c>
      <c r="F142" s="45" t="s">
        <v>164</v>
      </c>
    </row>
    <row r="143" spans="1:6" ht="14.25">
      <c r="A143" s="45"/>
      <c r="B143" s="45" t="s">
        <v>162</v>
      </c>
      <c r="C143" s="46" t="str">
        <f>HYPERLINK("https://au.indeed.com/viewjob?jk=f746f35929b560d0","Senior Storage &amp; Cloud Design Engineer")</f>
        <v>Senior Storage &amp; Cloud Design Engineer</v>
      </c>
      <c r="D143" s="45" t="s">
        <v>375</v>
      </c>
      <c r="E143" s="48">
        <v>44186.562974537039</v>
      </c>
      <c r="F143" s="45" t="s">
        <v>164</v>
      </c>
    </row>
    <row r="144" spans="1:6" ht="14.25">
      <c r="A144" s="45"/>
      <c r="B144" s="45" t="s">
        <v>162</v>
      </c>
      <c r="C144" s="46" t="str">
        <f>HYPERLINK("https://au.indeed.com/viewjob?jk=a49f06da90992981","Civil Design Engineer")</f>
        <v>Civil Design Engineer</v>
      </c>
      <c r="D144" s="45" t="s">
        <v>422</v>
      </c>
      <c r="E144" s="48">
        <v>44186.563020833331</v>
      </c>
      <c r="F144" s="45" t="s">
        <v>164</v>
      </c>
    </row>
    <row r="145" spans="1:6" ht="14.25">
      <c r="A145" s="45"/>
      <c r="B145" s="45" t="s">
        <v>162</v>
      </c>
      <c r="C145" s="46" t="str">
        <f>HYPERLINK("https://au.indeed.com/viewjob?jk=26ccc82b0b6887f8","Product Design Engineer")</f>
        <v>Product Design Engineer</v>
      </c>
      <c r="D145" s="45" t="s">
        <v>414</v>
      </c>
      <c r="E145" s="48">
        <v>44186.563402777778</v>
      </c>
      <c r="F145" s="45" t="s">
        <v>164</v>
      </c>
    </row>
    <row r="146" spans="1:6" ht="14.25">
      <c r="A146" s="45"/>
      <c r="B146" s="45" t="s">
        <v>162</v>
      </c>
      <c r="C146" s="46" t="str">
        <f>HYPERLINK("https://au.indeed.com/viewjob?jk=4305d5d4cce88bbd","Electrical Design Engineer - Data Centers")</f>
        <v>Electrical Design Engineer - Data Centers</v>
      </c>
      <c r="D146" s="45" t="s">
        <v>423</v>
      </c>
      <c r="E146" s="48">
        <v>44186.564236111109</v>
      </c>
      <c r="F146" s="45" t="s">
        <v>164</v>
      </c>
    </row>
    <row r="147" spans="1:6" ht="14.25">
      <c r="A147" s="45"/>
      <c r="B147" s="45" t="s">
        <v>162</v>
      </c>
      <c r="C147" s="46" t="str">
        <f>HYPERLINK("https://au.indeed.com/viewjob?jk=4c3f0bd1b7c6272d","Senior Civil Design Engineer (Stormwater)")</f>
        <v>Senior Civil Design Engineer (Stormwater)</v>
      </c>
      <c r="D147" s="45" t="s">
        <v>214</v>
      </c>
      <c r="E147" s="48">
        <v>44186.564282407409</v>
      </c>
      <c r="F147" s="45" t="s">
        <v>164</v>
      </c>
    </row>
    <row r="148" spans="1:6" ht="14.25">
      <c r="A148" s="45"/>
      <c r="B148" s="45" t="s">
        <v>162</v>
      </c>
      <c r="C148" s="46" t="str">
        <f>HYPERLINK("https://au.indeed.com/viewjob?jk=6b36bc3dd24a6c9a","Senior Product Design Engineer")</f>
        <v>Senior Product Design Engineer</v>
      </c>
      <c r="D148" s="45" t="s">
        <v>424</v>
      </c>
      <c r="E148" s="48">
        <v>44186.564351851855</v>
      </c>
      <c r="F148" s="45" t="s">
        <v>164</v>
      </c>
    </row>
    <row r="149" spans="1:6" ht="14.25">
      <c r="A149" s="45"/>
      <c r="B149" s="45" t="s">
        <v>162</v>
      </c>
      <c r="C149" s="46" t="str">
        <f>HYPERLINK("https://au.indeed.com/viewjob?jk=510101d27ddc52a8","Mechanical Design Engineer - Data Centers")</f>
        <v>Mechanical Design Engineer - Data Centers</v>
      </c>
      <c r="D149" s="45" t="s">
        <v>369</v>
      </c>
      <c r="E149" s="48">
        <v>44186.564386574071</v>
      </c>
      <c r="F149" s="45" t="s">
        <v>164</v>
      </c>
    </row>
    <row r="150" spans="1:6" ht="14.25">
      <c r="A150" s="45"/>
      <c r="B150" s="45" t="s">
        <v>162</v>
      </c>
      <c r="C150" s="46" t="str">
        <f>HYPERLINK("https://au.indeed.com/viewjob?jk=4673b7a4b2ffd2e9","Software Design Engineer - Graphics Simulation (Sydney Australia)")</f>
        <v>Software Design Engineer - Graphics Simulation (Sydney Australia)</v>
      </c>
      <c r="D150" s="45" t="s">
        <v>425</v>
      </c>
      <c r="E150" s="48">
        <v>44186.564432870371</v>
      </c>
      <c r="F150" s="45" t="s">
        <v>164</v>
      </c>
    </row>
    <row r="151" spans="1:6" ht="14.25">
      <c r="A151" s="45"/>
      <c r="B151" s="45" t="s">
        <v>162</v>
      </c>
      <c r="C151" s="46" t="str">
        <f>HYPERLINK("https://au.indeed.com/viewjob?jk=9004b81ca99f6d3b","SENIOR SIGNALING DESIGN ENGINEER")</f>
        <v>SENIOR SIGNALING DESIGN ENGINEER</v>
      </c>
      <c r="D151" s="45" t="s">
        <v>426</v>
      </c>
      <c r="E151" s="48">
        <v>44186.564467592594</v>
      </c>
      <c r="F151" s="45" t="s">
        <v>164</v>
      </c>
    </row>
    <row r="152" spans="1:6" ht="14.25">
      <c r="A152" s="45"/>
      <c r="B152" s="45" t="s">
        <v>162</v>
      </c>
      <c r="C152" s="46" t="str">
        <f>HYPERLINK("https://au.indeed.com/viewjob?jk=c4f03d7878cf71c6","DC Design Engineer")</f>
        <v>DC Design Engineer</v>
      </c>
      <c r="D152" s="45" t="s">
        <v>427</v>
      </c>
      <c r="E152" s="48">
        <v>44186.564513888887</v>
      </c>
      <c r="F152" s="45" t="s">
        <v>164</v>
      </c>
    </row>
    <row r="153" spans="1:6" ht="14.25">
      <c r="A153" s="45"/>
      <c r="B153" s="45" t="s">
        <v>162</v>
      </c>
      <c r="C153" s="46" t="str">
        <f>HYPERLINK("https://au.indeed.com/viewjob?jk=bcf1cbd50bad870f","Biomedical Design Engineer")</f>
        <v>Biomedical Design Engineer</v>
      </c>
      <c r="D153" s="45" t="s">
        <v>428</v>
      </c>
      <c r="E153" s="48">
        <v>44186.564560185187</v>
      </c>
      <c r="F153" s="45" t="s">
        <v>164</v>
      </c>
    </row>
    <row r="154" spans="1:6" ht="14.25">
      <c r="A154" s="45"/>
      <c r="B154" s="45" t="s">
        <v>186</v>
      </c>
      <c r="C154" s="46" t="str">
        <f>HYPERLINK("https://au.indeed.com/viewjob?jk=9daffd5a8ac52b71","Software Development Engineer (Load Balancing)")</f>
        <v>Software Development Engineer (Load Balancing)</v>
      </c>
      <c r="D154" s="45" t="s">
        <v>429</v>
      </c>
      <c r="E154" s="48">
        <v>44186.564629629633</v>
      </c>
      <c r="F154" s="45" t="s">
        <v>164</v>
      </c>
    </row>
    <row r="155" spans="1:6" ht="14.25">
      <c r="A155" s="45"/>
      <c r="B155" s="45" t="s">
        <v>186</v>
      </c>
      <c r="C155" s="46" t="str">
        <f>HYPERLINK("https://au.indeed.com/viewjob?jk=57707e51a636dfd5","Systems Development Engineer – Data Center Operations")</f>
        <v>Systems Development Engineer – Data Center Operations</v>
      </c>
      <c r="D155" s="45" t="s">
        <v>423</v>
      </c>
      <c r="E155" s="48">
        <v>44186.564664351848</v>
      </c>
      <c r="F155" s="45" t="s">
        <v>164</v>
      </c>
    </row>
    <row r="156" spans="1:6" ht="14.25">
      <c r="A156" s="45"/>
      <c r="B156" s="45" t="s">
        <v>186</v>
      </c>
      <c r="C156" s="46" t="str">
        <f>HYPERLINK("https://au.indeed.com/viewjob?jk=4395564a68a2ab5c","Software Development Engineer - AWS Redshift")</f>
        <v>Software Development Engineer - AWS Redshift</v>
      </c>
      <c r="D156" s="45" t="s">
        <v>369</v>
      </c>
      <c r="E156" s="48">
        <v>44186.564710648148</v>
      </c>
      <c r="F156" s="45" t="s">
        <v>164</v>
      </c>
    </row>
    <row r="157" spans="1:6" ht="14.25">
      <c r="A157" s="45"/>
      <c r="B157" s="45" t="s">
        <v>186</v>
      </c>
      <c r="C157" s="46" t="str">
        <f>HYPERLINK("https://au.indeed.com/viewjob?jk=f8bb51e4b12c7026","Software Development Engineer - AWS")</f>
        <v>Software Development Engineer - AWS</v>
      </c>
      <c r="D157" s="45" t="s">
        <v>369</v>
      </c>
      <c r="E157" s="48">
        <v>44186.564756944441</v>
      </c>
      <c r="F157" s="45" t="s">
        <v>164</v>
      </c>
    </row>
    <row r="158" spans="1:6" ht="14.25">
      <c r="A158" s="45"/>
      <c r="B158" s="45" t="s">
        <v>186</v>
      </c>
      <c r="C158" s="46" t="str">
        <f>HYPERLINK("https://au.indeed.com/viewjob?jk=7941c9ce4d606127","Sr. System Development Engineer")</f>
        <v>Sr. System Development Engineer</v>
      </c>
      <c r="D158" s="45" t="s">
        <v>429</v>
      </c>
      <c r="E158" s="48">
        <v>44186.564791666664</v>
      </c>
      <c r="F158" s="45" t="s">
        <v>164</v>
      </c>
    </row>
    <row r="159" spans="1:6" ht="14.25">
      <c r="A159" s="45"/>
      <c r="B159" s="45" t="s">
        <v>186</v>
      </c>
      <c r="C159" s="46" t="str">
        <f>HYPERLINK("https://au.indeed.com/viewjob?jk=58774d5dfa61c6c4","Software Development Engineer - AWS - Networking")</f>
        <v>Software Development Engineer - AWS - Networking</v>
      </c>
      <c r="D159" s="45" t="s">
        <v>423</v>
      </c>
      <c r="E159" s="48">
        <v>44186.564837962964</v>
      </c>
      <c r="F159" s="45" t="s">
        <v>164</v>
      </c>
    </row>
    <row r="160" spans="1:6" ht="14.25">
      <c r="A160" s="45"/>
      <c r="B160" s="45" t="s">
        <v>186</v>
      </c>
      <c r="C160" s="46" t="str">
        <f>HYPERLINK("https://au.indeed.com/viewjob?jk=70939e1725eb08af","Software Development Engineer - AWS Redshift")</f>
        <v>Software Development Engineer - AWS Redshift</v>
      </c>
      <c r="D160" s="45" t="s">
        <v>369</v>
      </c>
      <c r="E160" s="48">
        <v>44186.564884259256</v>
      </c>
      <c r="F160" s="45" t="s">
        <v>164</v>
      </c>
    </row>
    <row r="161" spans="1:6" ht="14.25">
      <c r="A161" s="45"/>
      <c r="B161" s="45" t="s">
        <v>186</v>
      </c>
      <c r="C161" s="46" t="str">
        <f>HYPERLINK("https://au.indeed.com/viewjob?jk=ee8fa3942396be0a","Quality Development Engineer (Lab)")</f>
        <v>Quality Development Engineer (Lab)</v>
      </c>
      <c r="D161" s="45" t="s">
        <v>430</v>
      </c>
      <c r="E161" s="48">
        <v>44186.565370370372</v>
      </c>
      <c r="F161" s="45" t="s">
        <v>164</v>
      </c>
    </row>
    <row r="162" spans="1:6" ht="14.25">
      <c r="A162" s="45"/>
      <c r="B162" s="45" t="s">
        <v>186</v>
      </c>
      <c r="C162" s="46" t="str">
        <f>HYPERLINK("https://au.indeed.com/viewjob?jk=d564e8b662a6617e","Software Development Engineer - New AWS Service")</f>
        <v>Software Development Engineer - New AWS Service</v>
      </c>
      <c r="D162" s="45" t="s">
        <v>429</v>
      </c>
      <c r="E162" s="48">
        <v>44186.565416666665</v>
      </c>
      <c r="F162" s="45" t="s">
        <v>164</v>
      </c>
    </row>
    <row r="163" spans="1:6" ht="14.25">
      <c r="A163" s="45"/>
      <c r="B163" s="45" t="s">
        <v>186</v>
      </c>
      <c r="C163" s="46" t="str">
        <f>HYPERLINK("https://au.indeed.com/viewjob?jk=7a725a34a5380131","Network Development Engineer")</f>
        <v>Network Development Engineer</v>
      </c>
      <c r="D163" s="45" t="s">
        <v>423</v>
      </c>
      <c r="E163" s="48">
        <v>44186.565486111111</v>
      </c>
      <c r="F163" s="45" t="s">
        <v>164</v>
      </c>
    </row>
    <row r="164" spans="1:6" ht="14.25">
      <c r="A164" s="45"/>
      <c r="B164" s="45" t="s">
        <v>186</v>
      </c>
      <c r="C164" s="46" t="str">
        <f>HYPERLINK("https://au.indeed.com/viewjob?jk=cf2ac76317e95663","Senior Civil Engineer Land Development $155x - $140k")</f>
        <v>Senior Civil Engineer Land Development $155x - $140k</v>
      </c>
      <c r="D164" s="45" t="s">
        <v>431</v>
      </c>
      <c r="E164" s="48">
        <v>44186.565937500003</v>
      </c>
      <c r="F164" s="45" t="s">
        <v>164</v>
      </c>
    </row>
    <row r="165" spans="1:6" ht="14.25">
      <c r="A165" s="45"/>
      <c r="B165" s="45" t="s">
        <v>186</v>
      </c>
      <c r="C165" s="46" t="str">
        <f>HYPERLINK("https://au.indeed.com/viewjob?jk=70e20bd48cb3fcb6","Network Development Engineer")</f>
        <v>Network Development Engineer</v>
      </c>
      <c r="D165" s="45" t="s">
        <v>423</v>
      </c>
      <c r="E165" s="48">
        <v>44186.565983796296</v>
      </c>
      <c r="F165" s="45" t="s">
        <v>164</v>
      </c>
    </row>
    <row r="166" spans="1:6" ht="14.25">
      <c r="A166" s="45"/>
      <c r="B166" s="45" t="s">
        <v>186</v>
      </c>
      <c r="C166" s="46" t="str">
        <f>HYPERLINK("https://au.indeed.com/viewjob?jk=db9208499a5cb5e6","Software Development Engineer - AWS Redshift")</f>
        <v>Software Development Engineer - AWS Redshift</v>
      </c>
      <c r="D166" s="45" t="s">
        <v>369</v>
      </c>
      <c r="E166" s="48">
        <v>44186.566030092596</v>
      </c>
      <c r="F166" s="45" t="s">
        <v>164</v>
      </c>
    </row>
    <row r="167" spans="1:6" ht="14.25">
      <c r="A167" s="45"/>
      <c r="B167" s="45" t="s">
        <v>186</v>
      </c>
      <c r="C167" s="46" t="str">
        <f>HYPERLINK("https://au.indeed.com/viewjob?jk=2bfdcedd34946d79","Network Development Engineer")</f>
        <v>Network Development Engineer</v>
      </c>
      <c r="D167" s="45" t="s">
        <v>423</v>
      </c>
      <c r="E167" s="48">
        <v>44186.566064814811</v>
      </c>
      <c r="F167" s="45" t="s">
        <v>164</v>
      </c>
    </row>
    <row r="168" spans="1:6" ht="14.25">
      <c r="A168" s="45"/>
      <c r="B168" s="45" t="s">
        <v>186</v>
      </c>
      <c r="C168" s="46" t="str">
        <f>HYPERLINK("https://au.indeed.com/viewjob?jk=c9035e6c25f942e8","Network Development Engineer - Core Networks - Automation")</f>
        <v>Network Development Engineer - Core Networks - Automation</v>
      </c>
      <c r="D168" s="45" t="s">
        <v>423</v>
      </c>
      <c r="E168" s="48">
        <v>44186.566111111111</v>
      </c>
      <c r="F168" s="45" t="s">
        <v>164</v>
      </c>
    </row>
    <row r="169" spans="1:6" ht="14.25">
      <c r="A169" s="45"/>
      <c r="B169" s="45" t="s">
        <v>186</v>
      </c>
      <c r="C169" s="46" t="str">
        <f>HYPERLINK("https://au.indeed.com/viewjob?jk=b3f9e219bb6a4af8","Sr. Network Development Engineer")</f>
        <v>Sr. Network Development Engineer</v>
      </c>
      <c r="D169" s="45" t="s">
        <v>423</v>
      </c>
      <c r="E169" s="48">
        <v>44186.566180555557</v>
      </c>
      <c r="F169" s="45" t="s">
        <v>164</v>
      </c>
    </row>
    <row r="170" spans="1:6" ht="14.25">
      <c r="A170" s="45"/>
      <c r="B170" s="45" t="s">
        <v>186</v>
      </c>
      <c r="C170" s="46" t="str">
        <f>HYPERLINK("https://au.indeed.com/viewjob?jk=fe23a35e11ff9fec","Sr. Software Development Engineer")</f>
        <v>Sr. Software Development Engineer</v>
      </c>
      <c r="D170" s="45" t="s">
        <v>369</v>
      </c>
      <c r="E170" s="48">
        <v>44186.56622685185</v>
      </c>
      <c r="F170" s="45" t="s">
        <v>164</v>
      </c>
    </row>
    <row r="171" spans="1:6" ht="14.25">
      <c r="A171" s="45"/>
      <c r="B171" s="45" t="s">
        <v>186</v>
      </c>
      <c r="C171" s="46" t="str">
        <f>HYPERLINK("https://au.indeed.com/viewjob?jk=d306b019690b274c","Network Development Engineer")</f>
        <v>Network Development Engineer</v>
      </c>
      <c r="D171" s="45" t="s">
        <v>423</v>
      </c>
      <c r="E171" s="48">
        <v>44186.56627314815</v>
      </c>
      <c r="F171" s="45" t="s">
        <v>164</v>
      </c>
    </row>
    <row r="172" spans="1:6" ht="14.25">
      <c r="A172" s="45"/>
      <c r="B172" s="45" t="s">
        <v>186</v>
      </c>
      <c r="C172" s="46" t="str">
        <f>HYPERLINK("https://au.indeed.com/viewjob?jk=8b33a457c2965004","Senior Systems Development Engineer")</f>
        <v>Senior Systems Development Engineer</v>
      </c>
      <c r="D172" s="45" t="s">
        <v>369</v>
      </c>
      <c r="E172" s="48">
        <v>44186.566319444442</v>
      </c>
      <c r="F172" s="45" t="s">
        <v>164</v>
      </c>
    </row>
    <row r="173" spans="1:6" ht="14.25">
      <c r="A173" s="45"/>
      <c r="B173" s="45" t="s">
        <v>186</v>
      </c>
      <c r="C173" s="46" t="str">
        <f>HYPERLINK("https://au.indeed.com/viewjob?jk=89304a16a3929ee9","Senior Software Development Engineer in Test")</f>
        <v>Senior Software Development Engineer in Test</v>
      </c>
      <c r="D173" s="45" t="s">
        <v>187</v>
      </c>
      <c r="E173" s="48">
        <v>44186.566423611112</v>
      </c>
      <c r="F173" s="45" t="s">
        <v>164</v>
      </c>
    </row>
    <row r="174" spans="1:6" ht="14.25">
      <c r="A174" s="45"/>
      <c r="B174" s="45" t="s">
        <v>186</v>
      </c>
      <c r="C174" s="46" t="str">
        <f>HYPERLINK("https://au.indeed.com/viewjob?jk=7a6b7e451095607c","Network Development Engineer - Direct Connect")</f>
        <v>Network Development Engineer - Direct Connect</v>
      </c>
      <c r="D174" s="45" t="s">
        <v>423</v>
      </c>
      <c r="E174" s="48">
        <v>44186.566469907404</v>
      </c>
      <c r="F174" s="45" t="s">
        <v>164</v>
      </c>
    </row>
    <row r="175" spans="1:6" ht="14.25">
      <c r="A175" s="45"/>
      <c r="B175" s="45" t="s">
        <v>186</v>
      </c>
      <c r="C175" s="46" t="str">
        <f>HYPERLINK("https://au.indeed.com/viewjob?jk=439ae44f99274363","System Development Engineer")</f>
        <v>System Development Engineer</v>
      </c>
      <c r="D175" s="45" t="s">
        <v>429</v>
      </c>
      <c r="E175" s="48">
        <v>44186.566516203704</v>
      </c>
      <c r="F175" s="45" t="s">
        <v>164</v>
      </c>
    </row>
    <row r="176" spans="1:6" ht="14.25">
      <c r="A176" s="45"/>
      <c r="B176" s="45" t="s">
        <v>186</v>
      </c>
      <c r="C176" s="46" t="str">
        <f>HYPERLINK("https://au.indeed.com/viewjob?jk=2757151eba00ffea","Systems Development Engineer")</f>
        <v>Systems Development Engineer</v>
      </c>
      <c r="D176" s="45" t="s">
        <v>369</v>
      </c>
      <c r="E176" s="48">
        <v>44186.566562499997</v>
      </c>
      <c r="F176" s="45" t="s">
        <v>164</v>
      </c>
    </row>
    <row r="177" spans="1:6" ht="14.25">
      <c r="A177" s="45"/>
      <c r="B177" s="45" t="s">
        <v>186</v>
      </c>
      <c r="C177" s="46" t="str">
        <f>HYPERLINK("https://au.indeed.com/viewjob?jk=de10751bcf455db8","Network Development Engineer")</f>
        <v>Network Development Engineer</v>
      </c>
      <c r="D177" s="45" t="s">
        <v>423</v>
      </c>
      <c r="E177" s="48">
        <v>44186.56659722222</v>
      </c>
      <c r="F177" s="45" t="s">
        <v>164</v>
      </c>
    </row>
    <row r="178" spans="1:6" ht="14.25">
      <c r="A178" s="45"/>
      <c r="B178" s="45" t="s">
        <v>167</v>
      </c>
      <c r="C178" s="46" t="str">
        <f>HYPERLINK("https://au.indeed.com/viewjob?jk=8510f12f7b8f2e06","Senior Infrastructure Engineer")</f>
        <v>Senior Infrastructure Engineer</v>
      </c>
      <c r="D178" s="45" t="s">
        <v>432</v>
      </c>
      <c r="E178" s="48">
        <v>44186.566701388889</v>
      </c>
      <c r="F178" s="45" t="s">
        <v>164</v>
      </c>
    </row>
    <row r="179" spans="1:6" ht="14.25">
      <c r="A179" s="45"/>
      <c r="B179" s="45" t="s">
        <v>167</v>
      </c>
      <c r="C179" s="46" t="str">
        <f>HYPERLINK("https://au.indeed.com/viewjob?jk=578c85626f503e10","Security &amp; Infrastructure Engineer")</f>
        <v>Security &amp; Infrastructure Engineer</v>
      </c>
      <c r="D179" s="45" t="s">
        <v>433</v>
      </c>
      <c r="E179" s="48">
        <v>44186.566747685189</v>
      </c>
      <c r="F179" s="45" t="s">
        <v>164</v>
      </c>
    </row>
    <row r="180" spans="1:6" ht="14.25">
      <c r="A180" s="45"/>
      <c r="B180" s="45" t="s">
        <v>167</v>
      </c>
      <c r="C180" s="46" t="str">
        <f>HYPERLINK("https://au.indeed.com/viewjob?jk=49ec23c9cee7739a","Senior Infrastructure Engineer")</f>
        <v>Senior Infrastructure Engineer</v>
      </c>
      <c r="D180" s="45" t="s">
        <v>412</v>
      </c>
      <c r="E180" s="48">
        <v>44186.566793981481</v>
      </c>
      <c r="F180" s="45" t="s">
        <v>164</v>
      </c>
    </row>
    <row r="181" spans="1:6" ht="14.25">
      <c r="A181" s="45"/>
      <c r="B181" s="45" t="s">
        <v>167</v>
      </c>
      <c r="C181" s="46" t="str">
        <f>HYPERLINK("https://au.indeed.com/viewjob?jk=3c9898f57b914c99","Infrastructure Engineer")</f>
        <v>Infrastructure Engineer</v>
      </c>
      <c r="D181" s="45" t="s">
        <v>434</v>
      </c>
      <c r="E181" s="48">
        <v>44186.566840277781</v>
      </c>
      <c r="F181" s="45" t="s">
        <v>164</v>
      </c>
    </row>
    <row r="182" spans="1:6" ht="14.25">
      <c r="A182" s="45"/>
      <c r="B182" s="45" t="s">
        <v>167</v>
      </c>
      <c r="C182" s="46" t="str">
        <f>HYPERLINK("https://au.indeed.com/viewjob?jk=f29121690d193e2b","IT Infrastructure Engineer")</f>
        <v>IT Infrastructure Engineer</v>
      </c>
      <c r="D182" s="45" t="s">
        <v>435</v>
      </c>
      <c r="E182" s="48">
        <v>44186.566886574074</v>
      </c>
      <c r="F182" s="45" t="s">
        <v>164</v>
      </c>
    </row>
    <row r="183" spans="1:6" ht="14.25">
      <c r="A183" s="45"/>
      <c r="B183" s="45" t="s">
        <v>167</v>
      </c>
      <c r="C183" s="46" t="str">
        <f>HYPERLINK("https://au.indeed.com/viewjob?jk=05b2eb83610f608b","Infrastructure Engineer")</f>
        <v>Infrastructure Engineer</v>
      </c>
      <c r="D183" s="45" t="s">
        <v>436</v>
      </c>
      <c r="E183" s="48">
        <v>44186.566932870373</v>
      </c>
      <c r="F183" s="45" t="s">
        <v>164</v>
      </c>
    </row>
    <row r="184" spans="1:6" ht="14.25">
      <c r="A184" s="45"/>
      <c r="B184" s="45" t="s">
        <v>167</v>
      </c>
      <c r="C184" s="46" t="str">
        <f>HYPERLINK("https://au.indeed.com/viewjob?jk=e2d265fbbfdc37c0","Principle Infrastructure Engineer Cloud and DevOps")</f>
        <v>Principle Infrastructure Engineer Cloud and DevOps</v>
      </c>
      <c r="D184" s="45" t="s">
        <v>432</v>
      </c>
      <c r="E184" s="48">
        <v>44186.567384259259</v>
      </c>
      <c r="F184" s="45" t="s">
        <v>164</v>
      </c>
    </row>
    <row r="185" spans="1:6" ht="14.25">
      <c r="A185" s="45"/>
      <c r="B185" s="45" t="s">
        <v>167</v>
      </c>
      <c r="C185" s="46" t="str">
        <f>HYPERLINK("https://au.indeed.com/viewjob?jk=59d679cbf57b4ab4","Flood / Storm water Infrastructure Engineer")</f>
        <v>Flood / Storm water Infrastructure Engineer</v>
      </c>
      <c r="D185" s="45" t="s">
        <v>437</v>
      </c>
      <c r="E185" s="48">
        <v>44186.567430555559</v>
      </c>
      <c r="F185" s="45" t="s">
        <v>164</v>
      </c>
    </row>
    <row r="186" spans="1:6" ht="14.25">
      <c r="A186" s="45"/>
      <c r="B186" s="45" t="s">
        <v>167</v>
      </c>
      <c r="C186" s="46" t="str">
        <f>HYPERLINK("https://au.indeed.com/viewjob?jk=7f9ba3811420828d","Senior Lead Infrastructure Engineer/ Specialist")</f>
        <v>Senior Lead Infrastructure Engineer/ Specialist</v>
      </c>
      <c r="D186" s="45" t="s">
        <v>432</v>
      </c>
      <c r="E186" s="48">
        <v>44186.567465277774</v>
      </c>
      <c r="F186" s="45" t="s">
        <v>164</v>
      </c>
    </row>
    <row r="187" spans="1:6" ht="14.25">
      <c r="A187" s="45"/>
      <c r="B187" s="45" t="s">
        <v>167</v>
      </c>
      <c r="C187" s="46" t="str">
        <f>HYPERLINK("https://au.indeed.com/viewjob?jk=5f1222c4b0115bc1","Infrastructure Engineer")</f>
        <v>Infrastructure Engineer</v>
      </c>
      <c r="D187" s="45" t="s">
        <v>438</v>
      </c>
      <c r="E187" s="48">
        <v>44186.56753472222</v>
      </c>
      <c r="F187" s="45" t="s">
        <v>164</v>
      </c>
    </row>
    <row r="188" spans="1:6" ht="14.25">
      <c r="A188" s="45"/>
      <c r="B188" s="45" t="s">
        <v>167</v>
      </c>
      <c r="C188" s="46" t="str">
        <f>HYPERLINK("https://au.indeed.com/viewjob?jk=c2443e051126216e","Infrastructure Engineer")</f>
        <v>Infrastructure Engineer</v>
      </c>
      <c r="D188" s="45" t="s">
        <v>439</v>
      </c>
      <c r="E188" s="48">
        <v>44186.567777777775</v>
      </c>
      <c r="F188" s="45" t="s">
        <v>164</v>
      </c>
    </row>
    <row r="189" spans="1:6" ht="14.25">
      <c r="A189" s="45"/>
      <c r="B189" s="45" t="s">
        <v>167</v>
      </c>
      <c r="C189" s="46" t="str">
        <f>HYPERLINK("https://au.indeed.com/viewjob?jk=e60796b4ad78aa24","Infrastructure Engineer")</f>
        <v>Infrastructure Engineer</v>
      </c>
      <c r="D189" s="45" t="s">
        <v>440</v>
      </c>
      <c r="E189" s="48">
        <v>44186.567824074074</v>
      </c>
      <c r="F189" s="45" t="s">
        <v>164</v>
      </c>
    </row>
    <row r="190" spans="1:6" ht="14.25">
      <c r="A190" s="45"/>
      <c r="B190" s="45" t="s">
        <v>167</v>
      </c>
      <c r="C190" s="46" t="str">
        <f>HYPERLINK("https://au.indeed.com/viewjob?jk=dd4208e5a3efdeb2","Principle DevOps Infrastructure Engineer")</f>
        <v>Principle DevOps Infrastructure Engineer</v>
      </c>
      <c r="D190" s="45" t="s">
        <v>432</v>
      </c>
      <c r="E190" s="48">
        <v>44186.568229166667</v>
      </c>
      <c r="F190" s="45" t="s">
        <v>164</v>
      </c>
    </row>
    <row r="191" spans="1:6" ht="14.25">
      <c r="A191" s="45"/>
      <c r="B191" s="45" t="s">
        <v>190</v>
      </c>
      <c r="C191" s="46" t="str">
        <f>HYPERLINK("https://au.indeed.com/viewjob?jk=8fb3a46cd5941dc2","Aircraft Maintenance Engineer")</f>
        <v>Aircraft Maintenance Engineer</v>
      </c>
      <c r="D191" s="45" t="s">
        <v>441</v>
      </c>
      <c r="E191" s="48">
        <v>44186.568715277775</v>
      </c>
      <c r="F191" s="45" t="s">
        <v>164</v>
      </c>
    </row>
    <row r="192" spans="1:6" ht="14.25">
      <c r="A192" s="45"/>
      <c r="B192" s="45" t="s">
        <v>442</v>
      </c>
      <c r="C192" s="46" t="str">
        <f>HYPERLINK("https://au.indeed.com/viewjob?jk=bbad94caf16a24c8","Manufacturing Engineer - Wetherill Park")</f>
        <v>Manufacturing Engineer - Wetherill Park</v>
      </c>
      <c r="D192" s="45" t="s">
        <v>443</v>
      </c>
      <c r="E192" s="48">
        <v>44186.569189814814</v>
      </c>
      <c r="F192" s="45" t="s">
        <v>164</v>
      </c>
    </row>
    <row r="193" spans="1:6" ht="14.25">
      <c r="A193" s="45"/>
      <c r="B193" s="45" t="s">
        <v>442</v>
      </c>
      <c r="C193" s="46" t="str">
        <f>HYPERLINK("https://au.indeed.com/viewjob?jk=a468f1c84718058e","Electrical Manufacturing Engineer")</f>
        <v>Electrical Manufacturing Engineer</v>
      </c>
      <c r="D193" s="45" t="s">
        <v>444</v>
      </c>
      <c r="E193" s="48">
        <v>44186.569236111114</v>
      </c>
      <c r="F193" s="45" t="s">
        <v>164</v>
      </c>
    </row>
    <row r="194" spans="1:6" ht="14.25">
      <c r="A194" s="45"/>
      <c r="B194" s="45" t="s">
        <v>442</v>
      </c>
      <c r="C194" s="46" t="str">
        <f>HYPERLINK("https://au.indeed.com/viewjob?jk=8d6db923e6c89e48","Manufacturing Engineer")</f>
        <v>Manufacturing Engineer</v>
      </c>
      <c r="D194" s="45" t="s">
        <v>391</v>
      </c>
      <c r="E194" s="48">
        <v>44186.569282407407</v>
      </c>
      <c r="F194" s="45" t="s">
        <v>164</v>
      </c>
    </row>
    <row r="195" spans="1:6" ht="14.25">
      <c r="A195" s="45"/>
      <c r="B195" s="45" t="s">
        <v>223</v>
      </c>
      <c r="C195" s="46" t="str">
        <f>HYPERLINK("https://au.indeed.com/viewjob?jk=a554cc564c5ecf2b","RPA Process Engineer")</f>
        <v>RPA Process Engineer</v>
      </c>
      <c r="D195" s="45" t="s">
        <v>412</v>
      </c>
      <c r="E195" s="48">
        <v>44186.569386574076</v>
      </c>
      <c r="F195" s="45" t="s">
        <v>164</v>
      </c>
    </row>
    <row r="196" spans="1:6" ht="14.25">
      <c r="A196" s="45"/>
      <c r="B196" s="45" t="s">
        <v>223</v>
      </c>
      <c r="C196" s="46" t="str">
        <f>HYPERLINK("https://au.indeed.com/viewjob?jk=d7c523534e02dbff","Undergraduate Process Engineer")</f>
        <v>Undergraduate Process Engineer</v>
      </c>
      <c r="D196" s="45" t="s">
        <v>391</v>
      </c>
      <c r="E196" s="48">
        <v>44186.569432870368</v>
      </c>
      <c r="F196" s="45" t="s">
        <v>164</v>
      </c>
    </row>
    <row r="197" spans="1:6" ht="14.25">
      <c r="A197" s="45"/>
      <c r="B197" s="45" t="s">
        <v>223</v>
      </c>
      <c r="C197" s="46" t="str">
        <f>HYPERLINK("https://au.indeed.com/viewjob?jk=25e3cfed7af683f7","Process Engineer")</f>
        <v>Process Engineer</v>
      </c>
      <c r="D197" s="45" t="s">
        <v>419</v>
      </c>
      <c r="E197" s="48">
        <v>44186.569479166668</v>
      </c>
      <c r="F197" s="45" t="s">
        <v>164</v>
      </c>
    </row>
    <row r="198" spans="1:6" ht="14.25">
      <c r="A198" s="45"/>
      <c r="B198" s="45" t="s">
        <v>192</v>
      </c>
      <c r="C198" s="46" t="str">
        <f>HYPERLINK("https://au.indeed.com/viewjob?jk=a50adc8f58d2c3f6","Production Engineer Sydney, Australia")</f>
        <v>Production Engineer Sydney, Australia</v>
      </c>
      <c r="D198" s="45" t="s">
        <v>445</v>
      </c>
      <c r="E198" s="48">
        <v>44186.570300925923</v>
      </c>
      <c r="F198" s="45" t="s">
        <v>164</v>
      </c>
    </row>
    <row r="199" spans="1:6" ht="14.25">
      <c r="A199" s="45"/>
      <c r="B199" s="45" t="s">
        <v>446</v>
      </c>
      <c r="C199" s="46" t="str">
        <f>HYPERLINK("https://au.indeed.com/viewjob?jk=19cc96020fb5262f","Project Controls Engineer, Transport")</f>
        <v>Project Controls Engineer, Transport</v>
      </c>
      <c r="D199" s="45" t="s">
        <v>447</v>
      </c>
      <c r="E199" s="48">
        <v>44186.570381944446</v>
      </c>
      <c r="F199" s="45" t="s">
        <v>164</v>
      </c>
    </row>
    <row r="200" spans="1:6" ht="14.25">
      <c r="A200" s="45"/>
      <c r="B200" s="45" t="s">
        <v>446</v>
      </c>
      <c r="C200" s="46" t="str">
        <f>HYPERLINK("https://au.indeed.com/viewjob?jk=3f145679a164cc21","Project Controls Engineer")</f>
        <v>Project Controls Engineer</v>
      </c>
      <c r="D200" s="45" t="s">
        <v>448</v>
      </c>
      <c r="E200" s="48">
        <v>44186.570428240739</v>
      </c>
      <c r="F200" s="45" t="s">
        <v>164</v>
      </c>
    </row>
    <row r="201" spans="1:6" ht="14.25">
      <c r="A201" s="45"/>
      <c r="B201" s="45" t="s">
        <v>176</v>
      </c>
      <c r="C201" s="46" t="str">
        <f>HYPERLINK("https://au.indeed.com/viewjob?jk=4b308ba4982f4fca","Project Engineer")</f>
        <v>Project Engineer</v>
      </c>
      <c r="D201" s="45" t="s">
        <v>449</v>
      </c>
      <c r="E201" s="48">
        <v>44186.570520833331</v>
      </c>
      <c r="F201" s="45" t="s">
        <v>164</v>
      </c>
    </row>
    <row r="202" spans="1:6" ht="14.25">
      <c r="A202" s="45"/>
      <c r="B202" s="45" t="s">
        <v>176</v>
      </c>
      <c r="C202" s="46" t="str">
        <f>HYPERLINK("https://au.indeed.com/viewjob?jk=9b85566fd21786d2","Senior Project Engineer (Utilities)")</f>
        <v>Senior Project Engineer (Utilities)</v>
      </c>
      <c r="D202" s="45" t="s">
        <v>450</v>
      </c>
      <c r="E202" s="48">
        <v>44186.570567129631</v>
      </c>
      <c r="F202" s="45" t="s">
        <v>164</v>
      </c>
    </row>
    <row r="203" spans="1:6" ht="14.25">
      <c r="A203" s="45"/>
      <c r="B203" s="45" t="s">
        <v>176</v>
      </c>
      <c r="C203" s="46" t="str">
        <f>HYPERLINK("https://au.indeed.com/viewjob?jk=33588361a3123230","Project Engineer Civil")</f>
        <v>Project Engineer Civil</v>
      </c>
      <c r="D203" s="45" t="s">
        <v>448</v>
      </c>
      <c r="E203" s="48">
        <v>44186.571527777778</v>
      </c>
      <c r="F203" s="45" t="s">
        <v>164</v>
      </c>
    </row>
    <row r="204" spans="1:6" ht="14.25">
      <c r="A204" s="45"/>
      <c r="B204" s="45" t="s">
        <v>176</v>
      </c>
      <c r="C204" s="46" t="str">
        <f>HYPERLINK("https://au.indeed.com/viewjob?jk=fdeec6085ff415df","Civil Project Engineer")</f>
        <v>Civil Project Engineer</v>
      </c>
      <c r="D204" s="45" t="s">
        <v>448</v>
      </c>
      <c r="E204" s="48">
        <v>44186.571979166663</v>
      </c>
      <c r="F204" s="45" t="s">
        <v>164</v>
      </c>
    </row>
    <row r="205" spans="1:6" ht="14.25">
      <c r="A205" s="45"/>
      <c r="B205" s="45" t="s">
        <v>176</v>
      </c>
      <c r="C205" s="46" t="str">
        <f>HYPERLINK("https://au.indeed.com/viewjob?jk=326fe651d7eefab7","Project Engineer")</f>
        <v>Project Engineer</v>
      </c>
      <c r="D205" s="45" t="s">
        <v>451</v>
      </c>
      <c r="E205" s="48">
        <v>44186.572800925926</v>
      </c>
      <c r="F205" s="45" t="s">
        <v>164</v>
      </c>
    </row>
    <row r="206" spans="1:6" ht="14.25">
      <c r="A206" s="45"/>
      <c r="B206" s="45" t="s">
        <v>176</v>
      </c>
      <c r="C206" s="46" t="str">
        <f>HYPERLINK("https://au.indeed.com/viewjob?jk=1dfa7484f80e1b48","Project Engineer - Cranes &amp; Hoists")</f>
        <v>Project Engineer - Cranes &amp; Hoists</v>
      </c>
      <c r="D206" s="45" t="s">
        <v>452</v>
      </c>
      <c r="E206" s="48">
        <v>44186.572858796295</v>
      </c>
      <c r="F206" s="45" t="s">
        <v>164</v>
      </c>
    </row>
    <row r="207" spans="1:6" ht="14.25">
      <c r="A207" s="45"/>
      <c r="B207" s="45" t="s">
        <v>176</v>
      </c>
      <c r="C207" s="46" t="str">
        <f>HYPERLINK("https://au.indeed.com/viewjob?jk=e54a3306521fc1e1","Software Project Engineer")</f>
        <v>Software Project Engineer</v>
      </c>
      <c r="D207" s="45" t="s">
        <v>453</v>
      </c>
      <c r="E207" s="48">
        <v>44186.572905092595</v>
      </c>
      <c r="F207" s="45" t="s">
        <v>164</v>
      </c>
    </row>
    <row r="208" spans="1:6" ht="14.25">
      <c r="A208" s="45"/>
      <c r="B208" s="45" t="s">
        <v>176</v>
      </c>
      <c r="C208" s="46" t="str">
        <f>HYPERLINK("https://au.indeed.com/viewjob?jk=68c55df1c2a889b1","Project Engineers")</f>
        <v>Project Engineers</v>
      </c>
      <c r="D208" s="45" t="s">
        <v>454</v>
      </c>
      <c r="E208" s="48">
        <v>44186.573344907411</v>
      </c>
      <c r="F208" s="45" t="s">
        <v>164</v>
      </c>
    </row>
    <row r="209" spans="1:6" ht="14.25">
      <c r="A209" s="45"/>
      <c r="B209" s="45" t="s">
        <v>176</v>
      </c>
      <c r="C209" s="46" t="str">
        <f>HYPERLINK("https://au.indeed.com/viewjob?jk=e802137947bec24a","Project Engineer")</f>
        <v>Project Engineer</v>
      </c>
      <c r="D209" s="45" t="s">
        <v>455</v>
      </c>
      <c r="E209" s="48">
        <v>44186.573807870373</v>
      </c>
      <c r="F209" s="45" t="s">
        <v>164</v>
      </c>
    </row>
    <row r="210" spans="1:6" ht="14.25">
      <c r="A210" s="45"/>
      <c r="B210" s="45" t="s">
        <v>176</v>
      </c>
      <c r="C210" s="46" t="str">
        <f>HYPERLINK("https://au.indeed.com/viewjob?jk=480e7938e80b145c","Senior Project Engineer (Water/Pipelines)")</f>
        <v>Senior Project Engineer (Water/Pipelines)</v>
      </c>
      <c r="D210" s="45" t="s">
        <v>450</v>
      </c>
      <c r="E210" s="48">
        <v>44186.574328703704</v>
      </c>
      <c r="F210" s="45" t="s">
        <v>164</v>
      </c>
    </row>
    <row r="211" spans="1:6" ht="14.25">
      <c r="A211" s="45"/>
      <c r="B211" s="45" t="s">
        <v>176</v>
      </c>
      <c r="C211" s="46" t="str">
        <f>HYPERLINK("https://au.indeed.com/viewjob?jk=18315e68c7718de3","Senior Project Engineer")</f>
        <v>Senior Project Engineer</v>
      </c>
      <c r="D211" s="45" t="s">
        <v>456</v>
      </c>
      <c r="E211" s="48">
        <v>44186.574374999997</v>
      </c>
      <c r="F211" s="45" t="s">
        <v>164</v>
      </c>
    </row>
    <row r="212" spans="1:6" ht="14.25">
      <c r="A212" s="45"/>
      <c r="B212" s="45" t="s">
        <v>176</v>
      </c>
      <c r="C212" s="46" t="str">
        <f>HYPERLINK("https://au.indeed.com/viewjob?jk=ae654bbb34246b97","Project Engineer")</f>
        <v>Project Engineer</v>
      </c>
      <c r="D212" s="45" t="s">
        <v>457</v>
      </c>
      <c r="E212" s="48">
        <v>44186.57440972222</v>
      </c>
      <c r="F212" s="45" t="s">
        <v>164</v>
      </c>
    </row>
    <row r="213" spans="1:6" ht="14.25">
      <c r="A213" s="45"/>
      <c r="B213" s="45" t="s">
        <v>176</v>
      </c>
      <c r="C213" s="46" t="str">
        <f>HYPERLINK("https://au.indeed.com/viewjob?jk=fea116918cc7284b","Project Engineer")</f>
        <v>Project Engineer</v>
      </c>
      <c r="D213" s="45" t="s">
        <v>458</v>
      </c>
      <c r="E213" s="48">
        <v>44186.574456018519</v>
      </c>
      <c r="F213" s="45" t="s">
        <v>164</v>
      </c>
    </row>
    <row r="214" spans="1:6" ht="14.25">
      <c r="A214" s="45"/>
      <c r="B214" s="45" t="s">
        <v>176</v>
      </c>
      <c r="C214" s="46" t="str">
        <f>HYPERLINK("https://au.indeed.com/viewjob?jk=e0695c1aade40875","Project Engineer")</f>
        <v>Project Engineer</v>
      </c>
      <c r="D214" s="45" t="s">
        <v>459</v>
      </c>
      <c r="E214" s="48">
        <v>44186.574502314812</v>
      </c>
      <c r="F214" s="45" t="s">
        <v>164</v>
      </c>
    </row>
    <row r="215" spans="1:6" ht="14.25">
      <c r="A215" s="45"/>
      <c r="B215" s="45" t="s">
        <v>176</v>
      </c>
      <c r="C215" s="46" t="str">
        <f>HYPERLINK("https://au.indeed.com/viewjob?jk=0193dd0b40e63196","Project Engineer")</f>
        <v>Project Engineer</v>
      </c>
      <c r="D215" s="45" t="s">
        <v>457</v>
      </c>
      <c r="E215" s="48">
        <v>44186.574548611112</v>
      </c>
      <c r="F215" s="45" t="s">
        <v>164</v>
      </c>
    </row>
    <row r="216" spans="1:6" ht="14.25">
      <c r="A216" s="45"/>
      <c r="B216" s="45" t="s">
        <v>176</v>
      </c>
      <c r="C216" s="46" t="str">
        <f>HYPERLINK("https://au.indeed.com/viewjob?jk=571a060e52f6e81d","Project Engineer")</f>
        <v>Project Engineer</v>
      </c>
      <c r="D216" s="45" t="s">
        <v>456</v>
      </c>
      <c r="E216" s="48">
        <v>44186.574594907404</v>
      </c>
      <c r="F216" s="45" t="s">
        <v>164</v>
      </c>
    </row>
    <row r="217" spans="1:6" ht="14.25">
      <c r="A217" s="45"/>
      <c r="B217" s="45" t="s">
        <v>176</v>
      </c>
      <c r="C217" s="46" t="str">
        <f>HYPERLINK("https://au.indeed.com/viewjob?jk=ad8828d56ccbe6bc","Senior Project Engineer")</f>
        <v>Senior Project Engineer</v>
      </c>
      <c r="D217" s="45" t="s">
        <v>460</v>
      </c>
      <c r="E217" s="48">
        <v>44186.574641203704</v>
      </c>
      <c r="F217" s="45" t="s">
        <v>164</v>
      </c>
    </row>
    <row r="218" spans="1:6" ht="14.25">
      <c r="A218" s="45"/>
      <c r="B218" s="45" t="s">
        <v>176</v>
      </c>
      <c r="C218" s="46" t="str">
        <f>HYPERLINK("https://au.indeed.com/viewjob?jk=95f6cafacfd6310a","Senior Project Engineer")</f>
        <v>Senior Project Engineer</v>
      </c>
      <c r="D218" s="45" t="s">
        <v>461</v>
      </c>
      <c r="E218" s="48">
        <v>44186.57471064815</v>
      </c>
      <c r="F218" s="45" t="s">
        <v>164</v>
      </c>
    </row>
    <row r="219" spans="1:6" ht="14.25">
      <c r="A219" s="45"/>
      <c r="B219" s="45" t="s">
        <v>176</v>
      </c>
      <c r="C219" s="46" t="str">
        <f>HYPERLINK("https://au.indeed.com/viewjob?jk=b52388bdec501ccd","Project Engineer")</f>
        <v>Project Engineer</v>
      </c>
      <c r="D219" s="45" t="s">
        <v>462</v>
      </c>
      <c r="E219" s="48">
        <v>44186.574756944443</v>
      </c>
      <c r="F219" s="45" t="s">
        <v>164</v>
      </c>
    </row>
    <row r="220" spans="1:6" ht="14.25">
      <c r="A220" s="45"/>
      <c r="B220" s="45" t="s">
        <v>176</v>
      </c>
      <c r="C220" s="46" t="str">
        <f>HYPERLINK("https://au.indeed.com/viewjob?jk=3ae1e05a57d2f428","Project Engineer - Cross River Rail")</f>
        <v>Project Engineer - Cross River Rail</v>
      </c>
      <c r="D220" s="45" t="s">
        <v>463</v>
      </c>
      <c r="E220" s="48">
        <v>44186.574791666666</v>
      </c>
      <c r="F220" s="45" t="s">
        <v>164</v>
      </c>
    </row>
    <row r="221" spans="1:6" ht="14.25">
      <c r="A221" s="45"/>
      <c r="B221" s="45" t="s">
        <v>176</v>
      </c>
      <c r="C221" s="46" t="str">
        <f>HYPERLINK("https://au.indeed.com/viewjob?jk=ef3d5eff2b709b44","Project Engineer")</f>
        <v>Project Engineer</v>
      </c>
      <c r="D221" s="45" t="s">
        <v>464</v>
      </c>
      <c r="E221" s="48">
        <v>44186.574837962966</v>
      </c>
      <c r="F221" s="45" t="s">
        <v>164</v>
      </c>
    </row>
    <row r="222" spans="1:6" ht="14.25">
      <c r="A222" s="45"/>
      <c r="B222" s="45" t="s">
        <v>176</v>
      </c>
      <c r="C222" s="46" t="str">
        <f>HYPERLINK("https://au.indeed.com/viewjob?jk=e0950cf5c0b8482b","Project Engineer")</f>
        <v>Project Engineer</v>
      </c>
      <c r="D222" s="45" t="s">
        <v>418</v>
      </c>
      <c r="E222" s="48">
        <v>44186.574884259258</v>
      </c>
      <c r="F222" s="45" t="s">
        <v>164</v>
      </c>
    </row>
    <row r="223" spans="1:6" ht="14.25">
      <c r="A223" s="45"/>
      <c r="B223" s="45" t="s">
        <v>176</v>
      </c>
      <c r="C223" s="46" t="str">
        <f>HYPERLINK("https://au.indeed.com/viewjob?jk=10d33bbd692e8dfc","Project Engineer / Lead")</f>
        <v>Project Engineer / Lead</v>
      </c>
      <c r="D223" s="45" t="s">
        <v>465</v>
      </c>
      <c r="E223" s="48">
        <v>44186.574930555558</v>
      </c>
      <c r="F223" s="45" t="s">
        <v>164</v>
      </c>
    </row>
    <row r="224" spans="1:6" ht="14.25">
      <c r="A224" s="45"/>
      <c r="B224" s="45" t="s">
        <v>176</v>
      </c>
      <c r="C224" s="46" t="str">
        <f>HYPERLINK("https://au.indeed.com/viewjob?jk=5e22d9c99a10c34e","Civil Infrastructure – Project Engineer")</f>
        <v>Civil Infrastructure – Project Engineer</v>
      </c>
      <c r="D224" s="45" t="s">
        <v>460</v>
      </c>
      <c r="E224" s="48">
        <v>44186.574965277781</v>
      </c>
      <c r="F224" s="45" t="s">
        <v>164</v>
      </c>
    </row>
    <row r="225" spans="1:6" ht="14.25">
      <c r="A225" s="45"/>
      <c r="B225" s="45" t="s">
        <v>176</v>
      </c>
      <c r="C225" s="46" t="str">
        <f>HYPERLINK("https://au.indeed.com/viewjob?jk=3538e335821d9ac8","Expressions of Interest | Project Engineers, Water")</f>
        <v>Expressions of Interest | Project Engineers, Water</v>
      </c>
      <c r="D225" s="45" t="s">
        <v>356</v>
      </c>
      <c r="E225" s="48">
        <v>44186.57539351852</v>
      </c>
      <c r="F225" s="45" t="s">
        <v>164</v>
      </c>
    </row>
    <row r="226" spans="1:6" ht="14.25">
      <c r="A226" s="45"/>
      <c r="B226" s="45" t="s">
        <v>176</v>
      </c>
      <c r="C226" s="46" t="str">
        <f>HYPERLINK("https://au.indeed.com/viewjob?jk=013dd81125672d36","Electrical Project Engineer - Confluence Water")</f>
        <v>Electrical Project Engineer - Confluence Water</v>
      </c>
      <c r="D226" s="45" t="s">
        <v>456</v>
      </c>
      <c r="E226" s="48">
        <v>44186.576701388891</v>
      </c>
      <c r="F226" s="45" t="s">
        <v>164</v>
      </c>
    </row>
    <row r="227" spans="1:6" ht="14.25">
      <c r="A227" s="45"/>
      <c r="B227" s="45" t="s">
        <v>176</v>
      </c>
      <c r="C227" s="46" t="str">
        <f>HYPERLINK("https://au.indeed.com/viewjob?jk=7c3b08401cd9c67d","Project Engineer - Wastewater Treatment Plants")</f>
        <v>Project Engineer - Wastewater Treatment Plants</v>
      </c>
      <c r="D227" s="45" t="s">
        <v>456</v>
      </c>
      <c r="E227" s="48">
        <v>44186.577557870369</v>
      </c>
      <c r="F227" s="45" t="s">
        <v>164</v>
      </c>
    </row>
    <row r="228" spans="1:6" ht="14.25">
      <c r="A228" s="45"/>
      <c r="B228" s="45" t="s">
        <v>176</v>
      </c>
      <c r="C228" s="46" t="str">
        <f>HYPERLINK("https://au.indeed.com/viewjob?jk=6b2ae4305744563b","Project Engineer")</f>
        <v>Project Engineer</v>
      </c>
      <c r="D228" s="45" t="s">
        <v>466</v>
      </c>
      <c r="E228" s="48">
        <v>44186.577604166669</v>
      </c>
      <c r="F228" s="45" t="s">
        <v>164</v>
      </c>
    </row>
    <row r="229" spans="1:6" ht="14.25">
      <c r="A229" s="45"/>
      <c r="B229" s="45" t="s">
        <v>176</v>
      </c>
      <c r="C229" s="46" t="str">
        <f>HYPERLINK("https://au.indeed.com/viewjob?jk=bb1b0ecf442ecaf9","Service Project Engineer")</f>
        <v>Service Project Engineer</v>
      </c>
      <c r="D229" s="45" t="s">
        <v>467</v>
      </c>
      <c r="E229" s="48">
        <v>44186.577638888892</v>
      </c>
      <c r="F229" s="45" t="s">
        <v>164</v>
      </c>
    </row>
    <row r="230" spans="1:6" ht="14.25">
      <c r="A230" s="45"/>
      <c r="B230" s="45" t="s">
        <v>176</v>
      </c>
      <c r="C230" s="46" t="str">
        <f>HYPERLINK("https://au.indeed.com/viewjob?jk=4ab351466ed76779","Senior Project Network Engineer")</f>
        <v>Senior Project Network Engineer</v>
      </c>
      <c r="D230" s="45" t="s">
        <v>468</v>
      </c>
      <c r="E230" s="48">
        <v>44186.578900462962</v>
      </c>
      <c r="F230" s="45" t="s">
        <v>164</v>
      </c>
    </row>
    <row r="231" spans="1:6" ht="14.25">
      <c r="A231" s="45"/>
      <c r="B231" s="45" t="s">
        <v>176</v>
      </c>
      <c r="C231" s="46" t="str">
        <f>HYPERLINK("https://au.indeed.com/viewjob?jk=10d33bbd692e8dfc","Project Engineer / Lead")</f>
        <v>Project Engineer / Lead</v>
      </c>
      <c r="D231" s="45" t="s">
        <v>465</v>
      </c>
      <c r="E231" s="48">
        <v>44186.578946759262</v>
      </c>
      <c r="F231" s="45" t="s">
        <v>164</v>
      </c>
    </row>
    <row r="232" spans="1:6" ht="14.25">
      <c r="A232" s="45"/>
      <c r="B232" s="45" t="s">
        <v>176</v>
      </c>
      <c r="C232" s="46" t="str">
        <f>HYPERLINK("https://au.indeed.com/viewjob?jk=cb1cd4dbedac69d2","Senior Project Engineer - Concrete / FRP")</f>
        <v>Senior Project Engineer - Concrete / FRP</v>
      </c>
      <c r="D232" s="45" t="s">
        <v>462</v>
      </c>
      <c r="E232" s="48">
        <v>44186.579016203701</v>
      </c>
      <c r="F232" s="45" t="s">
        <v>164</v>
      </c>
    </row>
    <row r="233" spans="1:6" ht="14.25">
      <c r="A233" s="45"/>
      <c r="B233" s="45" t="s">
        <v>176</v>
      </c>
      <c r="C233" s="46" t="str">
        <f>HYPERLINK("https://au.indeed.com/viewjob?jk=d2f6c944143332f2","Chief Project Engineer")</f>
        <v>Chief Project Engineer</v>
      </c>
      <c r="D233" s="45" t="s">
        <v>469</v>
      </c>
      <c r="E233" s="48">
        <v>44186.579675925925</v>
      </c>
      <c r="F233" s="45" t="s">
        <v>164</v>
      </c>
    </row>
    <row r="234" spans="1:6" ht="14.25">
      <c r="A234" s="45"/>
      <c r="B234" s="45" t="s">
        <v>176</v>
      </c>
      <c r="C234" s="46" t="str">
        <f>HYPERLINK("https://au.indeed.com/viewjob?jk=1aab41e11ccfb55a","Senior Project Engineer – Civil")</f>
        <v>Senior Project Engineer – Civil</v>
      </c>
      <c r="D234" s="45" t="s">
        <v>470</v>
      </c>
      <c r="E234" s="48">
        <v>44186.58017361111</v>
      </c>
      <c r="F234" s="45" t="s">
        <v>164</v>
      </c>
    </row>
    <row r="235" spans="1:6" ht="14.25">
      <c r="A235" s="45"/>
      <c r="B235" s="45" t="s">
        <v>176</v>
      </c>
      <c r="C235" s="46" t="str">
        <f>HYPERLINK("https://au.indeed.com/viewjob?jk=7d720e2c8c4a67b8","Senior Project Engineer - Concrete / FRP")</f>
        <v>Senior Project Engineer - Concrete / FRP</v>
      </c>
      <c r="D235" s="45" t="s">
        <v>471</v>
      </c>
      <c r="E235" s="48">
        <v>44186.580393518518</v>
      </c>
      <c r="F235" s="45" t="s">
        <v>164</v>
      </c>
    </row>
    <row r="236" spans="1:6" ht="14.25">
      <c r="A236" s="45"/>
      <c r="B236" s="45" t="s">
        <v>176</v>
      </c>
      <c r="C236" s="46" t="str">
        <f>HYPERLINK("https://au.indeed.com/viewjob?jk=e8a04ba003777a80","Senior Project Engineer - Electrical")</f>
        <v>Senior Project Engineer - Electrical</v>
      </c>
      <c r="D236" s="45" t="s">
        <v>457</v>
      </c>
      <c r="E236" s="48">
        <v>44186.580810185187</v>
      </c>
      <c r="F236" s="45" t="s">
        <v>164</v>
      </c>
    </row>
    <row r="237" spans="1:6" ht="14.25">
      <c r="A237" s="45"/>
      <c r="B237" s="45" t="s">
        <v>176</v>
      </c>
      <c r="C237" s="46" t="str">
        <f>HYPERLINK("https://au.indeed.com/viewjob?jk=4d0272e022b96afe","Senior Project Engineer")</f>
        <v>Senior Project Engineer</v>
      </c>
      <c r="D237" s="45" t="s">
        <v>472</v>
      </c>
      <c r="E237" s="48">
        <v>44186.581284722219</v>
      </c>
      <c r="F237" s="45" t="s">
        <v>164</v>
      </c>
    </row>
    <row r="238" spans="1:6" ht="14.25">
      <c r="A238" s="45"/>
      <c r="B238" s="45" t="s">
        <v>176</v>
      </c>
      <c r="C238" s="46" t="str">
        <f>HYPERLINK("https://au.indeed.com/viewjob?jk=ab314ac19350bdb6","BMS Project Engineer")</f>
        <v>BMS Project Engineer</v>
      </c>
      <c r="D238" s="45" t="s">
        <v>473</v>
      </c>
      <c r="E238" s="48">
        <v>44186.581354166665</v>
      </c>
      <c r="F238" s="45" t="s">
        <v>164</v>
      </c>
    </row>
    <row r="239" spans="1:6" ht="14.25">
      <c r="A239" s="45"/>
      <c r="B239" s="45" t="s">
        <v>176</v>
      </c>
      <c r="C239" s="46" t="str">
        <f>HYPERLINK("https://au.indeed.com/viewjob?jk=37642472cfb0e3b7","Project Engineer")</f>
        <v>Project Engineer</v>
      </c>
      <c r="D239" s="45" t="s">
        <v>431</v>
      </c>
      <c r="E239" s="48">
        <v>44186.582627314812</v>
      </c>
      <c r="F239" s="45" t="s">
        <v>164</v>
      </c>
    </row>
    <row r="240" spans="1:6" ht="14.25">
      <c r="A240" s="45"/>
      <c r="B240" s="45" t="s">
        <v>176</v>
      </c>
      <c r="C240" s="46" t="str">
        <f>HYPERLINK("https://au.indeed.com/viewjob?jk=e2382c678f96a77a","Junior Project Engineer")</f>
        <v>Junior Project Engineer</v>
      </c>
      <c r="D240" s="45" t="s">
        <v>474</v>
      </c>
      <c r="E240" s="48">
        <v>44186.582673611112</v>
      </c>
      <c r="F240" s="45" t="s">
        <v>164</v>
      </c>
    </row>
    <row r="241" spans="1:6" ht="14.25">
      <c r="A241" s="45"/>
      <c r="B241" s="45" t="s">
        <v>176</v>
      </c>
      <c r="C241" s="46" t="str">
        <f>HYPERLINK("https://au.indeed.com/viewjob?jk=d6628d30482699da","Project Engineer")</f>
        <v>Project Engineer</v>
      </c>
      <c r="D241" s="45" t="s">
        <v>471</v>
      </c>
      <c r="E241" s="48">
        <v>44186.582719907405</v>
      </c>
      <c r="F241" s="45" t="s">
        <v>164</v>
      </c>
    </row>
    <row r="242" spans="1:6" ht="14.25">
      <c r="A242" s="45"/>
      <c r="B242" s="45" t="s">
        <v>176</v>
      </c>
      <c r="C242" s="46" t="str">
        <f>HYPERLINK("https://au.indeed.com/viewjob?jk=0a7886f2703bdeb1","Project Engineer")</f>
        <v>Project Engineer</v>
      </c>
      <c r="D242" s="45" t="s">
        <v>469</v>
      </c>
      <c r="E242" s="48">
        <v>44186.58320601852</v>
      </c>
      <c r="F242" s="45" t="s">
        <v>164</v>
      </c>
    </row>
    <row r="243" spans="1:6" ht="14.25">
      <c r="A243" s="45"/>
      <c r="B243" s="45" t="s">
        <v>176</v>
      </c>
      <c r="C243" s="46" t="str">
        <f>HYPERLINK("https://au.indeed.com/viewjob?jk=e3e1d22d35a851fa","Senior Project Engineer")</f>
        <v>Senior Project Engineer</v>
      </c>
      <c r="D243" s="45" t="s">
        <v>475</v>
      </c>
      <c r="E243" s="48">
        <v>44186.583252314813</v>
      </c>
      <c r="F243" s="45" t="s">
        <v>164</v>
      </c>
    </row>
    <row r="244" spans="1:6" ht="14.25">
      <c r="A244" s="45"/>
      <c r="B244" s="45" t="s">
        <v>202</v>
      </c>
      <c r="C244" s="46" t="str">
        <f>HYPERLINK("https://au.indeed.com/viewjob?jk=959bad1c6e015189","Site Reliability Engineer - Core Engineering")</f>
        <v>Site Reliability Engineer - Core Engineering</v>
      </c>
      <c r="D244" s="45" t="s">
        <v>476</v>
      </c>
      <c r="E244" s="48">
        <v>44186.583333333336</v>
      </c>
      <c r="F244" s="45" t="s">
        <v>164</v>
      </c>
    </row>
    <row r="245" spans="1:6" ht="14.25">
      <c r="A245" s="45"/>
      <c r="B245" s="45" t="s">
        <v>202</v>
      </c>
      <c r="C245" s="46" t="str">
        <f>HYPERLINK("https://au.indeed.com/viewjob?jk=335ef7e22af903e2","Site Reliability Engineer")</f>
        <v>Site Reliability Engineer</v>
      </c>
      <c r="D245" s="45" t="s">
        <v>413</v>
      </c>
      <c r="E245" s="48">
        <v>44186.583379629628</v>
      </c>
      <c r="F245" s="45" t="s">
        <v>164</v>
      </c>
    </row>
    <row r="246" spans="1:6" ht="14.25">
      <c r="A246" s="45"/>
      <c r="B246" s="45" t="s">
        <v>202</v>
      </c>
      <c r="C246" s="46" t="str">
        <f>HYPERLINK("https://au.indeed.com/viewjob?jk=829f9a6cfb9e0fb7","Site Reliability Engineer")</f>
        <v>Site Reliability Engineer</v>
      </c>
      <c r="D246" s="45" t="s">
        <v>477</v>
      </c>
      <c r="E246" s="48">
        <v>44186.583958333336</v>
      </c>
      <c r="F246" s="45" t="s">
        <v>164</v>
      </c>
    </row>
    <row r="247" spans="1:6" ht="14.25">
      <c r="A247" s="45"/>
      <c r="B247" s="45" t="s">
        <v>202</v>
      </c>
      <c r="C247" s="46" t="str">
        <f>HYPERLINK("https://au.indeed.com/viewjob?jk=01e5e022f31530c3","Site Reliability Engineer - Networking")</f>
        <v>Site Reliability Engineer - Networking</v>
      </c>
      <c r="D247" s="45" t="s">
        <v>423</v>
      </c>
      <c r="E247" s="48">
        <v>44186.584004629629</v>
      </c>
      <c r="F247" s="45" t="s">
        <v>164</v>
      </c>
    </row>
    <row r="248" spans="1:6" ht="14.25">
      <c r="A248" s="45"/>
      <c r="B248" s="45" t="s">
        <v>202</v>
      </c>
      <c r="C248" s="46" t="str">
        <f>HYPERLINK("https://au.indeed.com/viewjob?jk=03f2617303fd4cf4","Site Reliability Engineer - Managed Services")</f>
        <v>Site Reliability Engineer - Managed Services</v>
      </c>
      <c r="D248" s="45" t="s">
        <v>369</v>
      </c>
      <c r="E248" s="48">
        <v>44186.584050925929</v>
      </c>
      <c r="F248" s="45" t="s">
        <v>164</v>
      </c>
    </row>
    <row r="249" spans="1:6" ht="14.25">
      <c r="A249" s="45"/>
      <c r="B249" s="45" t="s">
        <v>202</v>
      </c>
      <c r="C249" s="46" t="str">
        <f>HYPERLINK("https://au.indeed.com/viewjob?jk=72419708d2feb41f","Staff Site Reliability Engineer - Federal")</f>
        <v>Staff Site Reliability Engineer - Federal</v>
      </c>
      <c r="D249" s="45" t="s">
        <v>478</v>
      </c>
      <c r="E249" s="48">
        <v>44186.584097222221</v>
      </c>
      <c r="F249" s="45" t="s">
        <v>164</v>
      </c>
    </row>
    <row r="250" spans="1:6" ht="14.25">
      <c r="A250" s="45"/>
      <c r="B250" s="45" t="s">
        <v>202</v>
      </c>
      <c r="C250" s="46" t="str">
        <f>HYPERLINK("https://au.indeed.com/viewjob?jk=b00717181e04d23a","Systems Reliability Engineer")</f>
        <v>Systems Reliability Engineer</v>
      </c>
      <c r="D250" s="45" t="s">
        <v>365</v>
      </c>
      <c r="E250" s="48">
        <v>44186.585347222222</v>
      </c>
      <c r="F250" s="45" t="s">
        <v>164</v>
      </c>
    </row>
    <row r="251" spans="1:6" ht="14.25">
      <c r="A251" s="45"/>
      <c r="B251" s="45" t="s">
        <v>202</v>
      </c>
      <c r="C251" s="46" t="str">
        <f>HYPERLINK("https://au.indeed.com/viewjob?jk=643234569ba2582a","Cloud Data Services Site Reliability Engineer")</f>
        <v>Cloud Data Services Site Reliability Engineer</v>
      </c>
      <c r="D251" s="45" t="s">
        <v>384</v>
      </c>
      <c r="E251" s="48">
        <v>44186.585462962961</v>
      </c>
      <c r="F251" s="45" t="s">
        <v>164</v>
      </c>
    </row>
    <row r="252" spans="1:6" ht="14.25">
      <c r="A252" s="45"/>
      <c r="B252" s="45" t="s">
        <v>202</v>
      </c>
      <c r="C252" s="46" t="str">
        <f>HYPERLINK("https://au.indeed.com/viewjob?jk=3eb4e4de00f79bfa","Site Reliability Engineer")</f>
        <v>Site Reliability Engineer</v>
      </c>
      <c r="D252" s="45" t="s">
        <v>479</v>
      </c>
      <c r="E252" s="48">
        <v>44186.585509259261</v>
      </c>
      <c r="F252" s="45" t="s">
        <v>164</v>
      </c>
    </row>
    <row r="253" spans="1:6" ht="14.25">
      <c r="A253" s="45"/>
      <c r="B253" s="45" t="s">
        <v>202</v>
      </c>
      <c r="C253" s="46" t="str">
        <f>HYPERLINK("https://au.indeed.com/viewjob?jk=45955d2763b6181c","Site Reliability Engineer - Core Engineering")</f>
        <v>Site Reliability Engineer - Core Engineering</v>
      </c>
      <c r="D253" s="45" t="s">
        <v>476</v>
      </c>
      <c r="E253" s="48">
        <v>44186.58556712963</v>
      </c>
      <c r="F253" s="45" t="s">
        <v>164</v>
      </c>
    </row>
    <row r="254" spans="1:6" ht="14.25">
      <c r="A254" s="45"/>
      <c r="B254" s="45" t="s">
        <v>202</v>
      </c>
      <c r="C254" s="46" t="str">
        <f>HYPERLINK("https://au.indeed.com/viewjob?jk=63e51356ddfa1c4a","Site Reliability Engineer (Remote, AUS)")</f>
        <v>Site Reliability Engineer (Remote, AUS)</v>
      </c>
      <c r="D254" s="45" t="s">
        <v>480</v>
      </c>
      <c r="E254" s="48">
        <v>44186.585613425923</v>
      </c>
      <c r="F254" s="45" t="s">
        <v>164</v>
      </c>
    </row>
    <row r="255" spans="1:6" ht="14.25">
      <c r="A255" s="45"/>
      <c r="B255" s="45" t="s">
        <v>202</v>
      </c>
      <c r="C255" s="46" t="str">
        <f>HYPERLINK("https://au.indeed.com/viewjob?jk=58dd89da4197a434","Site Reliability Engineer (Investment Data)")</f>
        <v>Site Reliability Engineer (Investment Data)</v>
      </c>
      <c r="D255" s="45" t="s">
        <v>481</v>
      </c>
      <c r="E255" s="48">
        <v>44186.586053240739</v>
      </c>
      <c r="F255" s="45" t="s">
        <v>164</v>
      </c>
    </row>
    <row r="256" spans="1:6" ht="14.25">
      <c r="A256" s="45"/>
      <c r="B256" s="45" t="s">
        <v>202</v>
      </c>
      <c r="C256" s="46" t="str">
        <f>HYPERLINK("https://au.indeed.com/viewjob?jk=6183cefe84d34954","Site Reliability Engineer (Jira Cloud)")</f>
        <v>Site Reliability Engineer (Jira Cloud)</v>
      </c>
      <c r="D256" s="45" t="s">
        <v>380</v>
      </c>
      <c r="E256" s="48">
        <v>44186.586527777778</v>
      </c>
      <c r="F256" s="45" t="s">
        <v>164</v>
      </c>
    </row>
    <row r="257" spans="1:6" ht="14.25">
      <c r="A257" s="45"/>
      <c r="B257" s="45" t="s">
        <v>202</v>
      </c>
      <c r="C257" s="46" t="str">
        <f>HYPERLINK("https://au.indeed.com/viewjob?jk=12178f2cb06800df","Reliability Engineer")</f>
        <v>Reliability Engineer</v>
      </c>
      <c r="D257" s="45" t="s">
        <v>391</v>
      </c>
      <c r="E257" s="48">
        <v>44186.586574074077</v>
      </c>
      <c r="F257" s="45" t="s">
        <v>164</v>
      </c>
    </row>
    <row r="258" spans="1:6" ht="14.25">
      <c r="A258" s="45"/>
      <c r="B258" s="45" t="s">
        <v>202</v>
      </c>
      <c r="C258" s="46" t="str">
        <f>HYPERLINK("https://au.indeed.com/viewjob?jk=7997686a763d16f6","Graduate Site Reliability Engineer")</f>
        <v>Graduate Site Reliability Engineer</v>
      </c>
      <c r="D258" s="45" t="s">
        <v>482</v>
      </c>
      <c r="E258" s="48">
        <v>44186.58662037037</v>
      </c>
      <c r="F258" s="45" t="s">
        <v>164</v>
      </c>
    </row>
    <row r="259" spans="1:6" ht="14.25">
      <c r="A259" s="45"/>
      <c r="B259" s="45" t="s">
        <v>202</v>
      </c>
      <c r="C259" s="46" t="str">
        <f>HYPERLINK("https://au.indeed.com/viewjob?jk=619d7fe0db91d1e1","Senior Site Reliability Engineer (Fully Remote)")</f>
        <v>Senior Site Reliability Engineer (Fully Remote)</v>
      </c>
      <c r="D259" s="45" t="s">
        <v>483</v>
      </c>
      <c r="E259" s="48">
        <v>44186.587083333332</v>
      </c>
      <c r="F259" s="45" t="s">
        <v>164</v>
      </c>
    </row>
    <row r="260" spans="1:6" ht="14.25">
      <c r="A260" s="45"/>
      <c r="B260" s="45" t="s">
        <v>202</v>
      </c>
      <c r="C260" s="46" t="str">
        <f>HYPERLINK("https://au.indeed.com/viewjob?jk=59c0de8b51eb78f6","Site Reliability Engineer")</f>
        <v>Site Reliability Engineer</v>
      </c>
      <c r="D260" s="45" t="s">
        <v>406</v>
      </c>
      <c r="E260" s="48">
        <v>44186.587129629632</v>
      </c>
      <c r="F260" s="45" t="s">
        <v>164</v>
      </c>
    </row>
    <row r="261" spans="1:6" ht="14.25">
      <c r="A261" s="45"/>
      <c r="B261" s="45" t="s">
        <v>202</v>
      </c>
      <c r="C261" s="46" t="str">
        <f>HYPERLINK("https://au.indeed.com/viewjob?jk=6bdb159386e828c8","Site Reliability Engineer")</f>
        <v>Site Reliability Engineer</v>
      </c>
      <c r="D261" s="45" t="s">
        <v>482</v>
      </c>
      <c r="E261" s="48">
        <v>44186.587210648147</v>
      </c>
      <c r="F261" s="45" t="s">
        <v>164</v>
      </c>
    </row>
    <row r="262" spans="1:6" ht="14.25">
      <c r="A262" s="45"/>
      <c r="B262" s="45" t="s">
        <v>202</v>
      </c>
      <c r="C262" s="46" t="str">
        <f>HYPERLINK("https://au.indeed.com/viewjob?jk=75ba22a6cdbc9ad9","Site Reliability Engineer")</f>
        <v>Site Reliability Engineer</v>
      </c>
      <c r="D262" s="45" t="s">
        <v>482</v>
      </c>
      <c r="E262" s="48">
        <v>44186.587256944447</v>
      </c>
      <c r="F262" s="45" t="s">
        <v>164</v>
      </c>
    </row>
    <row r="263" spans="1:6" ht="14.25">
      <c r="A263" s="45"/>
      <c r="B263" s="45" t="s">
        <v>202</v>
      </c>
      <c r="C263" s="46" t="str">
        <f>HYPERLINK("https://au.indeed.com/viewjob?jk=0ccee39bcfef7cc8","Site Reliability Engineer - Managed Services")</f>
        <v>Site Reliability Engineer - Managed Services</v>
      </c>
      <c r="D263" s="45" t="s">
        <v>369</v>
      </c>
      <c r="E263" s="48">
        <v>44186.587314814817</v>
      </c>
      <c r="F263" s="45" t="s">
        <v>164</v>
      </c>
    </row>
    <row r="264" spans="1:6" ht="14.25">
      <c r="A264" s="45"/>
      <c r="B264" s="45" t="s">
        <v>202</v>
      </c>
      <c r="C264" s="46" t="str">
        <f>HYPERLINK("https://au.indeed.com/viewjob?jk=4fea98d66d899308","Site Reliability Engineer")</f>
        <v>Site Reliability Engineer</v>
      </c>
      <c r="D264" s="45" t="s">
        <v>484</v>
      </c>
      <c r="E264" s="48">
        <v>44186.587361111109</v>
      </c>
      <c r="F264" s="45" t="s">
        <v>164</v>
      </c>
    </row>
    <row r="265" spans="1:6" ht="14.25">
      <c r="A265" s="45"/>
      <c r="B265" s="45" t="s">
        <v>202</v>
      </c>
      <c r="C265" s="46" t="str">
        <f>HYPERLINK("https://au.indeed.com/viewjob?jk=dd2ab6ac8a4f5280","DevOps Engineer/Site Reliability Engineer")</f>
        <v>DevOps Engineer/Site Reliability Engineer</v>
      </c>
      <c r="D265" s="45" t="s">
        <v>485</v>
      </c>
      <c r="E265" s="48">
        <v>44186.587418981479</v>
      </c>
      <c r="F265" s="45" t="s">
        <v>164</v>
      </c>
    </row>
    <row r="266" spans="1:6" ht="14.25">
      <c r="A266" s="45"/>
      <c r="B266" s="45" t="s">
        <v>202</v>
      </c>
      <c r="C266" s="46" t="str">
        <f>HYPERLINK("https://au.indeed.com/viewjob?jk=af69ec11b2694557","Site Reliability Engineer")</f>
        <v>Site Reliability Engineer</v>
      </c>
      <c r="D266" s="45"/>
      <c r="E266" s="48">
        <v>44186.587881944448</v>
      </c>
      <c r="F266" s="45" t="s">
        <v>164</v>
      </c>
    </row>
    <row r="267" spans="1:6" ht="14.25">
      <c r="A267" s="45"/>
      <c r="B267" s="45" t="s">
        <v>202</v>
      </c>
      <c r="C267" s="46" t="str">
        <f>HYPERLINK("https://au.indeed.com/viewjob?jk=2a9aa74fd7a8e08d","Site Reliability Engineer (remote)")</f>
        <v>Site Reliability Engineer (remote)</v>
      </c>
      <c r="D267" s="45" t="s">
        <v>486</v>
      </c>
      <c r="E267" s="48">
        <v>44186.58834490741</v>
      </c>
      <c r="F267" s="45" t="s">
        <v>164</v>
      </c>
    </row>
    <row r="268" spans="1:6" ht="14.25">
      <c r="A268" s="45"/>
      <c r="B268" s="45" t="s">
        <v>209</v>
      </c>
      <c r="C268" s="46" t="str">
        <f>HYPERLINK("https://au.indeed.com/viewjob?jk=3ee9f9d45f789dcd","Data Center Services Engineer")</f>
        <v>Data Center Services Engineer</v>
      </c>
      <c r="D268" s="45" t="s">
        <v>487</v>
      </c>
      <c r="E268" s="48">
        <v>44186.58965277778</v>
      </c>
      <c r="F268" s="45" t="s">
        <v>164</v>
      </c>
    </row>
    <row r="269" spans="1:6" ht="14.25">
      <c r="A269" s="45"/>
      <c r="B269" s="45" t="s">
        <v>213</v>
      </c>
      <c r="C269" s="46" t="str">
        <f>HYPERLINK("https://au.indeed.com/viewjob?jk=35a8005e8e907ed2","Site Engineer")</f>
        <v>Site Engineer</v>
      </c>
      <c r="D269" s="45" t="s">
        <v>455</v>
      </c>
      <c r="E269" s="48">
        <v>44186.590578703705</v>
      </c>
      <c r="F269" s="45" t="s">
        <v>164</v>
      </c>
    </row>
    <row r="270" spans="1:6" ht="14.25">
      <c r="A270" s="45"/>
      <c r="B270" s="45" t="s">
        <v>213</v>
      </c>
      <c r="C270" s="46" t="str">
        <f>HYPERLINK("https://au.indeed.com/viewjob?jk=a34e02ac8ff47efb","Site Engineer")</f>
        <v>Site Engineer</v>
      </c>
      <c r="D270" s="45" t="s">
        <v>214</v>
      </c>
      <c r="E270" s="48">
        <v>44186.591458333336</v>
      </c>
      <c r="F270" s="45" t="s">
        <v>164</v>
      </c>
    </row>
    <row r="271" spans="1:6" ht="14.25">
      <c r="A271" s="45"/>
      <c r="B271" s="45" t="s">
        <v>213</v>
      </c>
      <c r="C271" s="46" t="str">
        <f>HYPERLINK("https://au.indeed.com/viewjob?jk=254f9b20ec022576","Site Engineer")</f>
        <v>Site Engineer</v>
      </c>
      <c r="D271" s="45" t="s">
        <v>419</v>
      </c>
      <c r="E271" s="48">
        <v>44186.591504629629</v>
      </c>
      <c r="F271" s="45" t="s">
        <v>164</v>
      </c>
    </row>
    <row r="272" spans="1:6" ht="14.25">
      <c r="A272" s="45"/>
      <c r="B272" s="45" t="s">
        <v>213</v>
      </c>
      <c r="C272" s="46" t="str">
        <f>HYPERLINK("https://au.indeed.com/viewjob?jk=a5a1f8b31271bba4","Civil Infrastructure – Site Engineer")</f>
        <v>Civil Infrastructure – Site Engineer</v>
      </c>
      <c r="D272" s="45" t="s">
        <v>460</v>
      </c>
      <c r="E272" s="48">
        <v>44186.592858796299</v>
      </c>
      <c r="F272" s="45" t="s">
        <v>164</v>
      </c>
    </row>
    <row r="273" spans="1:6" ht="14.25">
      <c r="A273" s="45"/>
      <c r="B273" s="45" t="s">
        <v>347</v>
      </c>
      <c r="C273" s="46" t="str">
        <f>HYPERLINK("https://au.indeed.com/viewjob?jk=29616298127a7084","Principal Product Engineer")</f>
        <v>Principal Product Engineer</v>
      </c>
      <c r="D273" s="45" t="s">
        <v>488</v>
      </c>
      <c r="E273" s="48">
        <v>44186.592951388891</v>
      </c>
      <c r="F273" s="45" t="s">
        <v>164</v>
      </c>
    </row>
    <row r="274" spans="1:6" ht="14.25">
      <c r="A274" s="45"/>
      <c r="B274" s="45" t="s">
        <v>347</v>
      </c>
      <c r="C274" s="46" t="str">
        <f>HYPERLINK("https://au.indeed.com/viewjob?jk=fd275adb012f8df3","DevOps/Product Engineer/Developer")</f>
        <v>DevOps/Product Engineer/Developer</v>
      </c>
      <c r="D274" s="45" t="s">
        <v>489</v>
      </c>
      <c r="E274" s="48">
        <v>44186.592997685184</v>
      </c>
      <c r="F274" s="45" t="s">
        <v>164</v>
      </c>
    </row>
    <row r="275" spans="1:6" ht="14.25">
      <c r="A275" s="45"/>
      <c r="B275" s="45" t="s">
        <v>347</v>
      </c>
      <c r="C275" s="46" t="str">
        <f>HYPERLINK("https://au.indeed.com/viewjob?jk=0f94254268ad1e39","Technical Product Engineer")</f>
        <v>Technical Product Engineer</v>
      </c>
      <c r="D275" s="45" t="s">
        <v>490</v>
      </c>
      <c r="E275" s="48">
        <v>44186.593043981484</v>
      </c>
      <c r="F275" s="45" t="s">
        <v>164</v>
      </c>
    </row>
    <row r="276" spans="1:6" ht="14.25">
      <c r="A276" s="45"/>
      <c r="B276" s="45" t="s">
        <v>347</v>
      </c>
      <c r="C276" s="46" t="str">
        <f>HYPERLINK("https://au.indeed.com/viewjob?jk=c2ea7c7c59717a98","Principal Product Engineer")</f>
        <v>Principal Product Engineer</v>
      </c>
      <c r="D276" s="45" t="s">
        <v>488</v>
      </c>
      <c r="E276" s="48">
        <v>44186.593090277776</v>
      </c>
      <c r="F276" s="45" t="s">
        <v>164</v>
      </c>
    </row>
    <row r="277" spans="1:6" ht="14.25">
      <c r="A277" s="45"/>
      <c r="B277" s="45" t="s">
        <v>347</v>
      </c>
      <c r="C277" s="46" t="str">
        <f>HYPERLINK("https://au.indeed.com/viewjob?jk=1cf18b3a9c1a693e","Senior Product Engineer")</f>
        <v>Senior Product Engineer</v>
      </c>
      <c r="D277" s="45" t="s">
        <v>488</v>
      </c>
      <c r="E277" s="48">
        <v>44186.593148148146</v>
      </c>
      <c r="F277" s="45" t="s">
        <v>164</v>
      </c>
    </row>
    <row r="278" spans="1:6" ht="14.25">
      <c r="A278" s="45"/>
      <c r="B278" s="45" t="s">
        <v>165</v>
      </c>
      <c r="C278" s="46" t="str">
        <f>HYPERLINK("https://au.indeed.com/viewjob?jk=9ac01c142b59da26","Senior Mechanical Engineer - Data Centre")</f>
        <v>Senior Mechanical Engineer - Data Centre</v>
      </c>
      <c r="D278" s="45" t="s">
        <v>356</v>
      </c>
      <c r="E278" s="48">
        <v>44186.616979166669</v>
      </c>
      <c r="F278" s="45" t="s">
        <v>164</v>
      </c>
    </row>
    <row r="279" spans="1:6" ht="14.25">
      <c r="A279" s="45"/>
      <c r="B279" s="45" t="s">
        <v>165</v>
      </c>
      <c r="C279" s="46" t="str">
        <f>HYPERLINK("https://au.indeed.com/viewjob?jk=2d346696011626ca","Senior Rolling Stock Engineer - Mechanical")</f>
        <v>Senior Rolling Stock Engineer - Mechanical</v>
      </c>
      <c r="D279" s="45" t="s">
        <v>353</v>
      </c>
      <c r="E279" s="48">
        <v>44186.617349537039</v>
      </c>
      <c r="F279" s="45" t="s">
        <v>164</v>
      </c>
    </row>
    <row r="280" spans="1:6" ht="14.25">
      <c r="A280" s="45"/>
      <c r="B280" s="45" t="s">
        <v>165</v>
      </c>
      <c r="C280" s="46" t="str">
        <f>HYPERLINK("https://au.indeed.com/viewjob?jk=56d366757d33198c","Lead Mechanical Engineer")</f>
        <v>Lead Mechanical Engineer</v>
      </c>
      <c r="D280" s="45" t="s">
        <v>414</v>
      </c>
      <c r="E280" s="48">
        <v>44186.617384259262</v>
      </c>
      <c r="F280" s="45" t="s">
        <v>164</v>
      </c>
    </row>
    <row r="281" spans="1:6" ht="14.25">
      <c r="A281" s="45"/>
      <c r="B281" s="45" t="s">
        <v>165</v>
      </c>
      <c r="C281" s="46" t="str">
        <f>HYPERLINK("https://au.indeed.com/viewjob?jk=5b52a616acecf56c","Senior Mechanical Engineer")</f>
        <v>Senior Mechanical Engineer</v>
      </c>
      <c r="D281" s="45" t="s">
        <v>354</v>
      </c>
      <c r="E281" s="48">
        <v>44186.6174537037</v>
      </c>
      <c r="F281" s="45" t="s">
        <v>164</v>
      </c>
    </row>
    <row r="282" spans="1:6" ht="14.25">
      <c r="A282" s="45"/>
      <c r="B282" s="45" t="s">
        <v>165</v>
      </c>
      <c r="C282" s="46" t="str">
        <f>HYPERLINK("https://au.indeed.com/viewjob?jk=d1d94ff1023acd90","Lead Mechanical Engineer")</f>
        <v>Lead Mechanical Engineer</v>
      </c>
      <c r="D282" s="45" t="s">
        <v>414</v>
      </c>
      <c r="E282" s="48">
        <v>44186.617523148147</v>
      </c>
      <c r="F282" s="45" t="s">
        <v>164</v>
      </c>
    </row>
    <row r="283" spans="1:6" ht="14.25">
      <c r="A283" s="45"/>
      <c r="B283" s="45" t="s">
        <v>165</v>
      </c>
      <c r="C283" s="46" t="str">
        <f>HYPERLINK("https://au.indeed.com/viewjob?jk=510101d27ddc52a8","Mechanical Design Engineer - Data Centers")</f>
        <v>Mechanical Design Engineer - Data Centers</v>
      </c>
      <c r="D283" s="45" t="s">
        <v>369</v>
      </c>
      <c r="E283" s="48">
        <v>44186.617569444446</v>
      </c>
      <c r="F283" s="45" t="s">
        <v>164</v>
      </c>
    </row>
    <row r="284" spans="1:6" ht="14.25">
      <c r="A284" s="45"/>
      <c r="B284" s="45" t="s">
        <v>165</v>
      </c>
      <c r="C284" s="46" t="str">
        <f>HYPERLINK("https://au.indeed.com/viewjob?jk=ce45184e67dfa91d","Fitter General / Mechanical Engineer")</f>
        <v>Fitter General / Mechanical Engineer</v>
      </c>
      <c r="D284" s="45" t="s">
        <v>416</v>
      </c>
      <c r="E284" s="48">
        <v>44186.617615740739</v>
      </c>
      <c r="F284" s="45" t="s">
        <v>164</v>
      </c>
    </row>
    <row r="285" spans="1:6" ht="14.25">
      <c r="A285" s="45"/>
      <c r="B285" s="45" t="s">
        <v>165</v>
      </c>
      <c r="C285" s="46" t="str">
        <f>HYPERLINK("https://au.indeed.com/viewjob?jk=6e2405da587ebd04","Mechanical Engineer")</f>
        <v>Mechanical Engineer</v>
      </c>
      <c r="D285" s="45" t="s">
        <v>415</v>
      </c>
      <c r="E285" s="48">
        <v>44186.617662037039</v>
      </c>
      <c r="F285" s="45" t="s">
        <v>164</v>
      </c>
    </row>
    <row r="286" spans="1:6" ht="14.25">
      <c r="A286" s="45"/>
      <c r="B286" s="45" t="s">
        <v>165</v>
      </c>
      <c r="C286" s="46" t="str">
        <f>HYPERLINK("https://au.indeed.com/viewjob?jk=e0d32840cde15c11","Senior Mechanical Engineer")</f>
        <v>Senior Mechanical Engineer</v>
      </c>
      <c r="D286" s="45" t="s">
        <v>417</v>
      </c>
      <c r="E286" s="48">
        <v>44186.617696759262</v>
      </c>
      <c r="F286" s="45" t="s">
        <v>164</v>
      </c>
    </row>
    <row r="287" spans="1:6" ht="14.25">
      <c r="A287" s="45"/>
      <c r="B287" s="45" t="s">
        <v>165</v>
      </c>
      <c r="C287" s="46" t="str">
        <f>HYPERLINK("https://au.indeed.com/viewjob?jk=7048c1fc4f314e7e","Mechanical Engineer")</f>
        <v>Mechanical Engineer</v>
      </c>
      <c r="D287" s="45" t="s">
        <v>418</v>
      </c>
      <c r="E287" s="48">
        <v>44186.617743055554</v>
      </c>
      <c r="F287" s="45" t="s">
        <v>164</v>
      </c>
    </row>
    <row r="288" spans="1:6" ht="14.25">
      <c r="A288" s="45"/>
      <c r="B288" s="45" t="s">
        <v>162</v>
      </c>
      <c r="C288" s="46" t="str">
        <f>HYPERLINK("https://au.indeed.com/viewjob?jk=263e383291c9bd50","Senior Civil Design Engineer")</f>
        <v>Senior Civil Design Engineer</v>
      </c>
      <c r="D288" s="45" t="s">
        <v>391</v>
      </c>
      <c r="E288" s="48">
        <v>44186.61855324074</v>
      </c>
      <c r="F288" s="45" t="s">
        <v>164</v>
      </c>
    </row>
    <row r="289" spans="1:6" ht="14.25">
      <c r="A289" s="45"/>
      <c r="B289" s="45" t="s">
        <v>162</v>
      </c>
      <c r="C289" s="46" t="str">
        <f>HYPERLINK("https://au.indeed.com/viewjob?jk=0de2ee31524ba72b","Civil Design Engineer")</f>
        <v>Civil Design Engineer</v>
      </c>
      <c r="D289" s="45" t="s">
        <v>419</v>
      </c>
      <c r="E289" s="48">
        <v>44186.61859953704</v>
      </c>
      <c r="F289" s="45" t="s">
        <v>164</v>
      </c>
    </row>
    <row r="290" spans="1:6" ht="14.25">
      <c r="A290" s="45"/>
      <c r="B290" s="45" t="s">
        <v>162</v>
      </c>
      <c r="C290" s="46" t="str">
        <f>HYPERLINK("https://au.indeed.com/viewjob?jk=78425ca1d035c26c","Electrical Design Engineer - Data Centers")</f>
        <v>Electrical Design Engineer - Data Centers</v>
      </c>
      <c r="D290" s="45" t="s">
        <v>369</v>
      </c>
      <c r="E290" s="48">
        <v>44186.618634259263</v>
      </c>
      <c r="F290" s="45" t="s">
        <v>164</v>
      </c>
    </row>
    <row r="291" spans="1:6" ht="14.25">
      <c r="A291" s="45"/>
      <c r="B291" s="45" t="s">
        <v>162</v>
      </c>
      <c r="C291" s="46" t="str">
        <f>HYPERLINK("https://au.indeed.com/viewjob?jk=46b97aab8ab1e49f","Mechanical Design Engineer")</f>
        <v>Mechanical Design Engineer</v>
      </c>
      <c r="D291" s="45" t="s">
        <v>414</v>
      </c>
      <c r="E291" s="48">
        <v>44186.618692129632</v>
      </c>
      <c r="F291" s="45" t="s">
        <v>164</v>
      </c>
    </row>
    <row r="292" spans="1:6" ht="14.25">
      <c r="A292" s="45"/>
      <c r="B292" s="45" t="s">
        <v>162</v>
      </c>
      <c r="C292" s="46" t="str">
        <f>HYPERLINK("https://au.indeed.com/viewjob?jk=f1dea5d9081f1b58","Senior Design Engineer")</f>
        <v>Senior Design Engineer</v>
      </c>
      <c r="D292" s="45" t="s">
        <v>420</v>
      </c>
      <c r="E292" s="48">
        <v>44186.618923611109</v>
      </c>
      <c r="F292" s="45" t="s">
        <v>164</v>
      </c>
    </row>
    <row r="293" spans="1:6" ht="14.25">
      <c r="A293" s="45"/>
      <c r="B293" s="45" t="s">
        <v>162</v>
      </c>
      <c r="C293" s="46" t="str">
        <f>HYPERLINK("https://au.indeed.com/viewjob?jk=2c8a5cd5378079bd","Senior Engineer - Electrical Design (Lines)")</f>
        <v>Senior Engineer - Electrical Design (Lines)</v>
      </c>
      <c r="D293" s="45" t="s">
        <v>421</v>
      </c>
      <c r="E293" s="48">
        <v>44186.618993055556</v>
      </c>
      <c r="F293" s="45" t="s">
        <v>164</v>
      </c>
    </row>
    <row r="294" spans="1:6" ht="14.25">
      <c r="A294" s="45"/>
      <c r="B294" s="45" t="s">
        <v>162</v>
      </c>
      <c r="C294" s="46" t="str">
        <f>HYPERLINK("https://au.indeed.com/viewjob?jk=cc888c13f17ac8b0","Civil Design Engineer")</f>
        <v>Civil Design Engineer</v>
      </c>
      <c r="D294" s="45" t="s">
        <v>419</v>
      </c>
      <c r="E294" s="48">
        <v>44186.619027777779</v>
      </c>
      <c r="F294" s="45" t="s">
        <v>164</v>
      </c>
    </row>
    <row r="295" spans="1:6" ht="14.25">
      <c r="A295" s="45"/>
      <c r="B295" s="45" t="s">
        <v>162</v>
      </c>
      <c r="C295" s="46" t="str">
        <f>HYPERLINK("https://au.indeed.com/viewjob?jk=ea616289f0650c7c","Product Design Engineer")</f>
        <v>Product Design Engineer</v>
      </c>
      <c r="D295" s="45" t="s">
        <v>414</v>
      </c>
      <c r="E295" s="48">
        <v>44186.619074074071</v>
      </c>
      <c r="F295" s="45" t="s">
        <v>164</v>
      </c>
    </row>
    <row r="296" spans="1:6" ht="14.25">
      <c r="A296" s="45"/>
      <c r="B296" s="45" t="s">
        <v>162</v>
      </c>
      <c r="C296" s="46" t="str">
        <f>HYPERLINK("https://au.indeed.com/viewjob?jk=9a6d19a899dcc1fd","Mechanical Design Engineer")</f>
        <v>Mechanical Design Engineer</v>
      </c>
      <c r="D296" s="45" t="s">
        <v>414</v>
      </c>
      <c r="E296" s="48">
        <v>44186.619120370371</v>
      </c>
      <c r="F296" s="45" t="s">
        <v>164</v>
      </c>
    </row>
    <row r="297" spans="1:6" ht="14.25">
      <c r="A297" s="45"/>
      <c r="B297" s="45" t="s">
        <v>162</v>
      </c>
      <c r="C297" s="46" t="str">
        <f>HYPERLINK("https://au.indeed.com/viewjob?jk=f746f35929b560d0","Senior Storage &amp; Cloud Design Engineer")</f>
        <v>Senior Storage &amp; Cloud Design Engineer</v>
      </c>
      <c r="D297" s="45" t="s">
        <v>375</v>
      </c>
      <c r="E297" s="48">
        <v>44186.619502314818</v>
      </c>
      <c r="F297" s="45" t="s">
        <v>164</v>
      </c>
    </row>
    <row r="298" spans="1:6" ht="14.25">
      <c r="A298" s="45"/>
      <c r="B298" s="45" t="s">
        <v>162</v>
      </c>
      <c r="C298" s="46" t="str">
        <f>HYPERLINK("https://au.indeed.com/viewjob?jk=a49f06da90992981","Civil Design Engineer")</f>
        <v>Civil Design Engineer</v>
      </c>
      <c r="D298" s="45" t="s">
        <v>422</v>
      </c>
      <c r="E298" s="48">
        <v>44186.61954861111</v>
      </c>
      <c r="F298" s="45" t="s">
        <v>164</v>
      </c>
    </row>
    <row r="299" spans="1:6" ht="14.25">
      <c r="A299" s="45"/>
      <c r="B299" s="45" t="s">
        <v>162</v>
      </c>
      <c r="C299" s="46" t="str">
        <f>HYPERLINK("https://au.indeed.com/viewjob?jk=26ccc82b0b6887f8","Product Design Engineer")</f>
        <v>Product Design Engineer</v>
      </c>
      <c r="D299" s="45" t="s">
        <v>414</v>
      </c>
      <c r="E299" s="48">
        <v>44186.619872685187</v>
      </c>
      <c r="F299" s="45" t="s">
        <v>164</v>
      </c>
    </row>
    <row r="300" spans="1:6" ht="14.25">
      <c r="A300" s="45"/>
      <c r="B300" s="45" t="s">
        <v>162</v>
      </c>
      <c r="C300" s="46" t="str">
        <f>HYPERLINK("https://au.indeed.com/viewjob?jk=4305d5d4cce88bbd","Electrical Design Engineer - Data Centers")</f>
        <v>Electrical Design Engineer - Data Centers</v>
      </c>
      <c r="D300" s="45" t="s">
        <v>423</v>
      </c>
      <c r="E300" s="48">
        <v>44186.620219907411</v>
      </c>
      <c r="F300" s="45" t="s">
        <v>164</v>
      </c>
    </row>
    <row r="301" spans="1:6" ht="14.25">
      <c r="A301" s="45"/>
      <c r="B301" s="45" t="s">
        <v>162</v>
      </c>
      <c r="C301" s="46" t="str">
        <f>HYPERLINK("https://au.indeed.com/viewjob?jk=4c3f0bd1b7c6272d","Senior Civil Design Engineer (Stormwater)")</f>
        <v>Senior Civil Design Engineer (Stormwater)</v>
      </c>
      <c r="D301" s="45" t="s">
        <v>214</v>
      </c>
      <c r="E301" s="48">
        <v>44186.620266203703</v>
      </c>
      <c r="F301" s="45" t="s">
        <v>164</v>
      </c>
    </row>
    <row r="302" spans="1:6" ht="14.25">
      <c r="A302" s="45"/>
      <c r="B302" s="45" t="s">
        <v>162</v>
      </c>
      <c r="C302" s="46" t="str">
        <f>HYPERLINK("https://au.indeed.com/viewjob?jk=6b36bc3dd24a6c9a","Senior Product Design Engineer")</f>
        <v>Senior Product Design Engineer</v>
      </c>
      <c r="D302" s="45" t="s">
        <v>424</v>
      </c>
      <c r="E302" s="48">
        <v>44186.620416666665</v>
      </c>
      <c r="F302" s="45" t="s">
        <v>164</v>
      </c>
    </row>
    <row r="303" spans="1:6" ht="14.25">
      <c r="A303" s="45"/>
      <c r="B303" s="45" t="s">
        <v>162</v>
      </c>
      <c r="C303" s="46" t="str">
        <f>HYPERLINK("https://au.indeed.com/viewjob?jk=510101d27ddc52a8","Mechanical Design Engineer - Data Centers")</f>
        <v>Mechanical Design Engineer - Data Centers</v>
      </c>
      <c r="D303" s="45" t="s">
        <v>369</v>
      </c>
      <c r="E303" s="48">
        <v>44186.620451388888</v>
      </c>
      <c r="F303" s="45" t="s">
        <v>164</v>
      </c>
    </row>
    <row r="304" spans="1:6" ht="14.25">
      <c r="A304" s="45"/>
      <c r="B304" s="45" t="s">
        <v>162</v>
      </c>
      <c r="C304" s="46" t="str">
        <f>HYPERLINK("https://au.indeed.com/viewjob?jk=4673b7a4b2ffd2e9","Software Design Engineer - Graphics Simulation (Sydney Australia)")</f>
        <v>Software Design Engineer - Graphics Simulation (Sydney Australia)</v>
      </c>
      <c r="D304" s="45" t="s">
        <v>425</v>
      </c>
      <c r="E304" s="48">
        <v>44186.620497685188</v>
      </c>
      <c r="F304" s="45" t="s">
        <v>164</v>
      </c>
    </row>
    <row r="305" spans="1:6" ht="14.25">
      <c r="A305" s="45"/>
      <c r="B305" s="45" t="s">
        <v>162</v>
      </c>
      <c r="C305" s="46" t="str">
        <f>HYPERLINK("https://au.indeed.com/viewjob?jk=9004b81ca99f6d3b","SENIOR SIGNALING DESIGN ENGINEER")</f>
        <v>SENIOR SIGNALING DESIGN ENGINEER</v>
      </c>
      <c r="D305" s="45" t="s">
        <v>426</v>
      </c>
      <c r="E305" s="48">
        <v>44186.620532407411</v>
      </c>
      <c r="F305" s="45" t="s">
        <v>164</v>
      </c>
    </row>
    <row r="306" spans="1:6" ht="14.25">
      <c r="A306" s="45"/>
      <c r="B306" s="45" t="s">
        <v>162</v>
      </c>
      <c r="C306" s="46" t="str">
        <f>HYPERLINK("https://au.indeed.com/viewjob?jk=c4f03d7878cf71c6","DC Design Engineer")</f>
        <v>DC Design Engineer</v>
      </c>
      <c r="D306" s="45" t="s">
        <v>427</v>
      </c>
      <c r="E306" s="48">
        <v>44186.620578703703</v>
      </c>
      <c r="F306" s="45" t="s">
        <v>164</v>
      </c>
    </row>
    <row r="307" spans="1:6" ht="14.25">
      <c r="A307" s="45"/>
      <c r="B307" s="45" t="s">
        <v>162</v>
      </c>
      <c r="C307" s="46" t="str">
        <f>HYPERLINK("https://au.indeed.com/viewjob?jk=bcf1cbd50bad870f","Biomedical Design Engineer")</f>
        <v>Biomedical Design Engineer</v>
      </c>
      <c r="D307" s="45" t="s">
        <v>428</v>
      </c>
      <c r="E307" s="48">
        <v>44186.620625000003</v>
      </c>
      <c r="F307" s="45" t="s">
        <v>164</v>
      </c>
    </row>
    <row r="308" spans="1:6" ht="14.25">
      <c r="A308" s="45"/>
      <c r="B308" s="45" t="s">
        <v>186</v>
      </c>
      <c r="C308" s="46" t="str">
        <f>HYPERLINK("https://au.indeed.com/viewjob?jk=9daffd5a8ac52b71","Software Development Engineer (Load Balancing)")</f>
        <v>Software Development Engineer (Load Balancing)</v>
      </c>
      <c r="D308" s="45" t="s">
        <v>429</v>
      </c>
      <c r="E308" s="48">
        <v>44186.620682870373</v>
      </c>
      <c r="F308" s="45" t="s">
        <v>164</v>
      </c>
    </row>
    <row r="309" spans="1:6" ht="14.25">
      <c r="A309" s="45"/>
      <c r="B309" s="45" t="s">
        <v>186</v>
      </c>
      <c r="C309" s="46" t="str">
        <f>HYPERLINK("https://au.indeed.com/viewjob?jk=57707e51a636dfd5","Systems Development Engineer – Data Center Operations")</f>
        <v>Systems Development Engineer – Data Center Operations</v>
      </c>
      <c r="D309" s="45" t="s">
        <v>423</v>
      </c>
      <c r="E309" s="48">
        <v>44186.620729166665</v>
      </c>
      <c r="F309" s="45" t="s">
        <v>164</v>
      </c>
    </row>
    <row r="310" spans="1:6" ht="14.25">
      <c r="A310" s="45"/>
      <c r="B310" s="45" t="s">
        <v>186</v>
      </c>
      <c r="C310" s="46" t="str">
        <f>HYPERLINK("https://au.indeed.com/viewjob?jk=4395564a68a2ab5c","Software Development Engineer - AWS Redshift")</f>
        <v>Software Development Engineer - AWS Redshift</v>
      </c>
      <c r="D310" s="45" t="s">
        <v>369</v>
      </c>
      <c r="E310" s="48">
        <v>44186.620775462965</v>
      </c>
      <c r="F310" s="45" t="s">
        <v>164</v>
      </c>
    </row>
    <row r="311" spans="1:6" ht="14.25">
      <c r="A311" s="45"/>
      <c r="B311" s="45" t="s">
        <v>186</v>
      </c>
      <c r="C311" s="46" t="str">
        <f>HYPERLINK("https://au.indeed.com/viewjob?jk=f8bb51e4b12c7026","Software Development Engineer - AWS")</f>
        <v>Software Development Engineer - AWS</v>
      </c>
      <c r="D311" s="45" t="s">
        <v>369</v>
      </c>
      <c r="E311" s="48">
        <v>44186.620810185188</v>
      </c>
      <c r="F311" s="45" t="s">
        <v>164</v>
      </c>
    </row>
    <row r="312" spans="1:6" ht="14.25">
      <c r="A312" s="45"/>
      <c r="B312" s="45" t="s">
        <v>186</v>
      </c>
      <c r="C312" s="46" t="str">
        <f>HYPERLINK("https://au.indeed.com/viewjob?jk=7941c9ce4d606127","Sr. System Development Engineer")</f>
        <v>Sr. System Development Engineer</v>
      </c>
      <c r="D312" s="45" t="s">
        <v>429</v>
      </c>
      <c r="E312" s="48">
        <v>44186.620856481481</v>
      </c>
      <c r="F312" s="45" t="s">
        <v>164</v>
      </c>
    </row>
    <row r="313" spans="1:6" ht="14.25">
      <c r="A313" s="45"/>
      <c r="B313" s="45" t="s">
        <v>186</v>
      </c>
      <c r="C313" s="46" t="str">
        <f>HYPERLINK("https://au.indeed.com/viewjob?jk=58774d5dfa61c6c4","Software Development Engineer - AWS - Networking")</f>
        <v>Software Development Engineer - AWS - Networking</v>
      </c>
      <c r="D313" s="45" t="s">
        <v>423</v>
      </c>
      <c r="E313" s="48">
        <v>44186.620891203704</v>
      </c>
      <c r="F313" s="45" t="s">
        <v>164</v>
      </c>
    </row>
    <row r="314" spans="1:6" ht="14.25">
      <c r="A314" s="45"/>
      <c r="B314" s="45" t="s">
        <v>186</v>
      </c>
      <c r="C314" s="46" t="str">
        <f>HYPERLINK("https://au.indeed.com/viewjob?jk=70939e1725eb08af","Software Development Engineer - AWS Redshift")</f>
        <v>Software Development Engineer - AWS Redshift</v>
      </c>
      <c r="D314" s="45" t="s">
        <v>369</v>
      </c>
      <c r="E314" s="48">
        <v>44186.620937500003</v>
      </c>
      <c r="F314" s="45" t="s">
        <v>164</v>
      </c>
    </row>
    <row r="315" spans="1:6" ht="14.25">
      <c r="A315" s="45"/>
      <c r="B315" s="45" t="s">
        <v>186</v>
      </c>
      <c r="C315" s="46" t="str">
        <f>HYPERLINK("https://au.indeed.com/viewjob?jk=ee8fa3942396be0a","Quality Development Engineer (Lab)")</f>
        <v>Quality Development Engineer (Lab)</v>
      </c>
      <c r="D315" s="45" t="s">
        <v>430</v>
      </c>
      <c r="E315" s="48">
        <v>44186.620983796296</v>
      </c>
      <c r="F315" s="45" t="s">
        <v>164</v>
      </c>
    </row>
    <row r="316" spans="1:6" ht="14.25">
      <c r="A316" s="45"/>
      <c r="B316" s="45" t="s">
        <v>186</v>
      </c>
      <c r="C316" s="46" t="str">
        <f>HYPERLINK("https://au.indeed.com/viewjob?jk=d564e8b662a6617e","Software Development Engineer - New AWS Service")</f>
        <v>Software Development Engineer - New AWS Service</v>
      </c>
      <c r="D316" s="45" t="s">
        <v>429</v>
      </c>
      <c r="E316" s="48">
        <v>44186.621018518519</v>
      </c>
      <c r="F316" s="45" t="s">
        <v>164</v>
      </c>
    </row>
    <row r="317" spans="1:6" ht="14.25">
      <c r="A317" s="45"/>
      <c r="B317" s="45" t="s">
        <v>186</v>
      </c>
      <c r="C317" s="46" t="str">
        <f>HYPERLINK("https://au.indeed.com/viewjob?jk=7a725a34a5380131","Network Development Engineer")</f>
        <v>Network Development Engineer</v>
      </c>
      <c r="D317" s="45" t="s">
        <v>423</v>
      </c>
      <c r="E317" s="48">
        <v>44186.621087962965</v>
      </c>
      <c r="F317" s="45" t="s">
        <v>164</v>
      </c>
    </row>
    <row r="318" spans="1:6" ht="14.25">
      <c r="A318" s="45"/>
      <c r="B318" s="45" t="s">
        <v>186</v>
      </c>
      <c r="C318" s="46" t="str">
        <f>HYPERLINK("https://au.indeed.com/viewjob?jk=cf2ac76317e95663","Senior Civil Engineer Land Development $155x - $140k")</f>
        <v>Senior Civil Engineer Land Development $155x - $140k</v>
      </c>
      <c r="D318" s="45" t="s">
        <v>431</v>
      </c>
      <c r="E318" s="48">
        <v>44186.621134259258</v>
      </c>
      <c r="F318" s="45" t="s">
        <v>164</v>
      </c>
    </row>
    <row r="319" spans="1:6" ht="14.25">
      <c r="A319" s="45"/>
      <c r="B319" s="45" t="s">
        <v>186</v>
      </c>
      <c r="C319" s="46" t="str">
        <f>HYPERLINK("https://au.indeed.com/viewjob?jk=70e20bd48cb3fcb6","Network Development Engineer")</f>
        <v>Network Development Engineer</v>
      </c>
      <c r="D319" s="45" t="s">
        <v>423</v>
      </c>
      <c r="E319" s="48">
        <v>44186.621180555558</v>
      </c>
      <c r="F319" s="45" t="s">
        <v>164</v>
      </c>
    </row>
    <row r="320" spans="1:6" ht="14.25">
      <c r="A320" s="45"/>
      <c r="B320" s="45" t="s">
        <v>186</v>
      </c>
      <c r="C320" s="46" t="str">
        <f>HYPERLINK("https://au.indeed.com/viewjob?jk=db9208499a5cb5e6","Software Development Engineer - AWS Redshift")</f>
        <v>Software Development Engineer - AWS Redshift</v>
      </c>
      <c r="D320" s="45" t="s">
        <v>369</v>
      </c>
      <c r="E320" s="48">
        <v>44186.62122685185</v>
      </c>
      <c r="F320" s="45" t="s">
        <v>164</v>
      </c>
    </row>
    <row r="321" spans="1:6" ht="14.25">
      <c r="A321" s="45"/>
      <c r="B321" s="45" t="s">
        <v>186</v>
      </c>
      <c r="C321" s="46" t="str">
        <f>HYPERLINK("https://au.indeed.com/viewjob?jk=2bfdcedd34946d79","Network Development Engineer")</f>
        <v>Network Development Engineer</v>
      </c>
      <c r="D321" s="45" t="s">
        <v>423</v>
      </c>
      <c r="E321" s="48">
        <v>44186.621261574073</v>
      </c>
      <c r="F321" s="45" t="s">
        <v>164</v>
      </c>
    </row>
    <row r="322" spans="1:6" ht="14.25">
      <c r="A322" s="45"/>
      <c r="B322" s="45" t="s">
        <v>186</v>
      </c>
      <c r="C322" s="46" t="str">
        <f>HYPERLINK("https://au.indeed.com/viewjob?jk=c9035e6c25f942e8","Network Development Engineer - Core Networks - Automation")</f>
        <v>Network Development Engineer - Core Networks - Automation</v>
      </c>
      <c r="D322" s="45" t="s">
        <v>423</v>
      </c>
      <c r="E322" s="48">
        <v>44186.621307870373</v>
      </c>
      <c r="F322" s="45" t="s">
        <v>164</v>
      </c>
    </row>
    <row r="323" spans="1:6" ht="14.25">
      <c r="A323" s="45"/>
      <c r="B323" s="45" t="s">
        <v>186</v>
      </c>
      <c r="C323" s="46" t="str">
        <f>HYPERLINK("https://au.indeed.com/viewjob?jk=b3f9e219bb6a4af8","Sr. Network Development Engineer")</f>
        <v>Sr. Network Development Engineer</v>
      </c>
      <c r="D323" s="45" t="s">
        <v>423</v>
      </c>
      <c r="E323" s="48">
        <v>44186.621388888889</v>
      </c>
      <c r="F323" s="45" t="s">
        <v>164</v>
      </c>
    </row>
    <row r="324" spans="1:6" ht="14.25">
      <c r="A324" s="45"/>
      <c r="B324" s="45" t="s">
        <v>186</v>
      </c>
      <c r="C324" s="46" t="str">
        <f>HYPERLINK("https://au.indeed.com/viewjob?jk=fe23a35e11ff9fec","Sr. Software Development Engineer")</f>
        <v>Sr. Software Development Engineer</v>
      </c>
      <c r="D324" s="45" t="s">
        <v>369</v>
      </c>
      <c r="E324" s="48">
        <v>44186.621423611112</v>
      </c>
      <c r="F324" s="45" t="s">
        <v>164</v>
      </c>
    </row>
    <row r="325" spans="1:6" ht="14.25">
      <c r="A325" s="45"/>
      <c r="B325" s="45" t="s">
        <v>186</v>
      </c>
      <c r="C325" s="46" t="str">
        <f>HYPERLINK("https://au.indeed.com/viewjob?jk=d306b019690b274c","Network Development Engineer")</f>
        <v>Network Development Engineer</v>
      </c>
      <c r="D325" s="45" t="s">
        <v>423</v>
      </c>
      <c r="E325" s="48">
        <v>44186.621469907404</v>
      </c>
      <c r="F325" s="45" t="s">
        <v>164</v>
      </c>
    </row>
    <row r="326" spans="1:6" ht="14.25">
      <c r="A326" s="45"/>
      <c r="B326" s="45" t="s">
        <v>186</v>
      </c>
      <c r="C326" s="46" t="str">
        <f>HYPERLINK("https://au.indeed.com/viewjob?jk=8b33a457c2965004","Senior Systems Development Engineer")</f>
        <v>Senior Systems Development Engineer</v>
      </c>
      <c r="D326" s="45" t="s">
        <v>369</v>
      </c>
      <c r="E326" s="48">
        <v>44186.621504629627</v>
      </c>
      <c r="F326" s="45" t="s">
        <v>164</v>
      </c>
    </row>
    <row r="327" spans="1:6" ht="14.25">
      <c r="A327" s="45"/>
      <c r="B327" s="45" t="s">
        <v>186</v>
      </c>
      <c r="C327" s="46" t="str">
        <f>HYPERLINK("https://au.indeed.com/viewjob?jk=89304a16a3929ee9","Senior Software Development Engineer in Test")</f>
        <v>Senior Software Development Engineer in Test</v>
      </c>
      <c r="D327" s="45" t="s">
        <v>187</v>
      </c>
      <c r="E327" s="48">
        <v>44186.621550925927</v>
      </c>
      <c r="F327" s="45" t="s">
        <v>164</v>
      </c>
    </row>
    <row r="328" spans="1:6" ht="14.25">
      <c r="A328" s="45"/>
      <c r="B328" s="45" t="s">
        <v>186</v>
      </c>
      <c r="C328" s="46" t="str">
        <f>HYPERLINK("https://au.indeed.com/viewjob?jk=7a6b7e451095607c","Network Development Engineer - Direct Connect")</f>
        <v>Network Development Engineer - Direct Connect</v>
      </c>
      <c r="D328" s="45" t="s">
        <v>423</v>
      </c>
      <c r="E328" s="48">
        <v>44186.62159722222</v>
      </c>
      <c r="F328" s="45" t="s">
        <v>164</v>
      </c>
    </row>
    <row r="329" spans="1:6" ht="14.25">
      <c r="A329" s="45"/>
      <c r="B329" s="45" t="s">
        <v>186</v>
      </c>
      <c r="C329" s="46" t="str">
        <f>HYPERLINK("https://au.indeed.com/viewjob?jk=439ae44f99274363","System Development Engineer")</f>
        <v>System Development Engineer</v>
      </c>
      <c r="D329" s="45" t="s">
        <v>429</v>
      </c>
      <c r="E329" s="48">
        <v>44186.62164351852</v>
      </c>
      <c r="F329" s="45" t="s">
        <v>164</v>
      </c>
    </row>
    <row r="330" spans="1:6" ht="14.25">
      <c r="A330" s="45"/>
      <c r="B330" s="45" t="s">
        <v>186</v>
      </c>
      <c r="C330" s="46" t="str">
        <f>HYPERLINK("https://au.indeed.com/viewjob?jk=2757151eba00ffea","Systems Development Engineer")</f>
        <v>Systems Development Engineer</v>
      </c>
      <c r="D330" s="45" t="s">
        <v>369</v>
      </c>
      <c r="E330" s="48">
        <v>44186.621689814812</v>
      </c>
      <c r="F330" s="45" t="s">
        <v>164</v>
      </c>
    </row>
    <row r="331" spans="1:6" ht="14.25">
      <c r="A331" s="45"/>
      <c r="B331" s="45" t="s">
        <v>186</v>
      </c>
      <c r="C331" s="46" t="str">
        <f>HYPERLINK("https://au.indeed.com/viewjob?jk=de10751bcf455db8","Network Development Engineer")</f>
        <v>Network Development Engineer</v>
      </c>
      <c r="D331" s="45" t="s">
        <v>423</v>
      </c>
      <c r="E331" s="48">
        <v>44186.621736111112</v>
      </c>
      <c r="F331" s="45" t="s">
        <v>164</v>
      </c>
    </row>
    <row r="332" spans="1:6" ht="14.25">
      <c r="A332" s="45"/>
      <c r="B332" s="45" t="s">
        <v>167</v>
      </c>
      <c r="C332" s="46" t="str">
        <f>HYPERLINK("https://au.indeed.com/viewjob?jk=8510f12f7b8f2e06","Senior Infrastructure Engineer")</f>
        <v>Senior Infrastructure Engineer</v>
      </c>
      <c r="D332" s="45" t="s">
        <v>432</v>
      </c>
      <c r="E332" s="48">
        <v>44186.621828703705</v>
      </c>
      <c r="F332" s="45" t="s">
        <v>164</v>
      </c>
    </row>
    <row r="333" spans="1:6" ht="14.25">
      <c r="A333" s="45"/>
      <c r="B333" s="45" t="s">
        <v>167</v>
      </c>
      <c r="C333" s="46" t="str">
        <f>HYPERLINK("https://au.indeed.com/viewjob?jk=578c85626f503e10","Security &amp; Infrastructure Engineer")</f>
        <v>Security &amp; Infrastructure Engineer</v>
      </c>
      <c r="D333" s="45" t="s">
        <v>433</v>
      </c>
      <c r="E333" s="48">
        <v>44186.621874999997</v>
      </c>
      <c r="F333" s="45" t="s">
        <v>164</v>
      </c>
    </row>
    <row r="334" spans="1:6" ht="14.25">
      <c r="A334" s="45"/>
      <c r="B334" s="45" t="s">
        <v>167</v>
      </c>
      <c r="C334" s="46" t="str">
        <f>HYPERLINK("https://au.indeed.com/viewjob?jk=49ec23c9cee7739a","Senior Infrastructure Engineer")</f>
        <v>Senior Infrastructure Engineer</v>
      </c>
      <c r="D334" s="45" t="s">
        <v>412</v>
      </c>
      <c r="E334" s="48">
        <v>44186.621921296297</v>
      </c>
      <c r="F334" s="45" t="s">
        <v>164</v>
      </c>
    </row>
    <row r="335" spans="1:6" ht="14.25">
      <c r="A335" s="45"/>
      <c r="B335" s="45" t="s">
        <v>167</v>
      </c>
      <c r="C335" s="46" t="str">
        <f>HYPERLINK("https://au.indeed.com/viewjob?jk=3c9898f57b914c99","Infrastructure Engineer")</f>
        <v>Infrastructure Engineer</v>
      </c>
      <c r="D335" s="45" t="s">
        <v>434</v>
      </c>
      <c r="E335" s="48">
        <v>44186.621967592589</v>
      </c>
      <c r="F335" s="45" t="s">
        <v>164</v>
      </c>
    </row>
    <row r="336" spans="1:6" ht="14.25">
      <c r="A336" s="45"/>
      <c r="B336" s="45" t="s">
        <v>167</v>
      </c>
      <c r="C336" s="46" t="str">
        <f>HYPERLINK("https://au.indeed.com/viewjob?jk=f29121690d193e2b","IT Infrastructure Engineer")</f>
        <v>IT Infrastructure Engineer</v>
      </c>
      <c r="D336" s="45" t="s">
        <v>435</v>
      </c>
      <c r="E336" s="48">
        <v>44186.622002314813</v>
      </c>
      <c r="F336" s="45" t="s">
        <v>164</v>
      </c>
    </row>
    <row r="337" spans="1:6" ht="14.25">
      <c r="A337" s="45"/>
      <c r="B337" s="45" t="s">
        <v>167</v>
      </c>
      <c r="C337" s="46" t="str">
        <f>HYPERLINK("https://au.indeed.com/viewjob?jk=05b2eb83610f608b","Infrastructure Engineer")</f>
        <v>Infrastructure Engineer</v>
      </c>
      <c r="D337" s="45" t="s">
        <v>436</v>
      </c>
      <c r="E337" s="48">
        <v>44186.622048611112</v>
      </c>
      <c r="F337" s="45" t="s">
        <v>164</v>
      </c>
    </row>
    <row r="338" spans="1:6" ht="14.25">
      <c r="A338" s="45"/>
      <c r="B338" s="45" t="s">
        <v>167</v>
      </c>
      <c r="C338" s="46" t="str">
        <f>HYPERLINK("https://au.indeed.com/viewjob?jk=e2d265fbbfdc37c0","Principle Infrastructure Engineer Cloud and DevOps")</f>
        <v>Principle Infrastructure Engineer Cloud and DevOps</v>
      </c>
      <c r="D338" s="45" t="s">
        <v>432</v>
      </c>
      <c r="E338" s="48">
        <v>44186.622094907405</v>
      </c>
      <c r="F338" s="45" t="s">
        <v>164</v>
      </c>
    </row>
    <row r="339" spans="1:6" ht="14.25">
      <c r="A339" s="45"/>
      <c r="B339" s="45" t="s">
        <v>167</v>
      </c>
      <c r="C339" s="46" t="str">
        <f>HYPERLINK("https://au.indeed.com/viewjob?jk=59d679cbf57b4ab4","Flood / Storm water Infrastructure Engineer")</f>
        <v>Flood / Storm water Infrastructure Engineer</v>
      </c>
      <c r="D339" s="45" t="s">
        <v>437</v>
      </c>
      <c r="E339" s="48">
        <v>44186.622141203705</v>
      </c>
      <c r="F339" s="45" t="s">
        <v>164</v>
      </c>
    </row>
    <row r="340" spans="1:6" ht="14.25">
      <c r="A340" s="45"/>
      <c r="B340" s="45" t="s">
        <v>167</v>
      </c>
      <c r="C340" s="46" t="str">
        <f>HYPERLINK("https://au.indeed.com/viewjob?jk=7f9ba3811420828d","Senior Lead Infrastructure Engineer/ Specialist")</f>
        <v>Senior Lead Infrastructure Engineer/ Specialist</v>
      </c>
      <c r="D340" s="45" t="s">
        <v>432</v>
      </c>
      <c r="E340" s="48">
        <v>44186.622175925928</v>
      </c>
      <c r="F340" s="45" t="s">
        <v>164</v>
      </c>
    </row>
    <row r="341" spans="1:6" ht="14.25">
      <c r="A341" s="45"/>
      <c r="B341" s="45" t="s">
        <v>167</v>
      </c>
      <c r="C341" s="46" t="str">
        <f>HYPERLINK("https://au.indeed.com/viewjob?jk=5f1222c4b0115bc1","Infrastructure Engineer")</f>
        <v>Infrastructure Engineer</v>
      </c>
      <c r="D341" s="45" t="s">
        <v>438</v>
      </c>
      <c r="E341" s="48">
        <v>44186.622245370374</v>
      </c>
      <c r="F341" s="45" t="s">
        <v>164</v>
      </c>
    </row>
    <row r="342" spans="1:6" ht="14.25">
      <c r="A342" s="45"/>
      <c r="B342" s="45" t="s">
        <v>167</v>
      </c>
      <c r="C342" s="46" t="str">
        <f>HYPERLINK("https://au.indeed.com/viewjob?jk=c2443e051126216e","Infrastructure Engineer")</f>
        <v>Infrastructure Engineer</v>
      </c>
      <c r="D342" s="45" t="s">
        <v>439</v>
      </c>
      <c r="E342" s="48">
        <v>44186.622488425928</v>
      </c>
      <c r="F342" s="45" t="s">
        <v>164</v>
      </c>
    </row>
    <row r="343" spans="1:6" ht="14.25">
      <c r="A343" s="45"/>
      <c r="B343" s="45" t="s">
        <v>167</v>
      </c>
      <c r="C343" s="46" t="str">
        <f>HYPERLINK("https://au.indeed.com/viewjob?jk=e60796b4ad78aa24","Infrastructure Engineer")</f>
        <v>Infrastructure Engineer</v>
      </c>
      <c r="D343" s="45" t="s">
        <v>440</v>
      </c>
      <c r="E343" s="48">
        <v>44186.622534722221</v>
      </c>
      <c r="F343" s="45" t="s">
        <v>164</v>
      </c>
    </row>
    <row r="344" spans="1:6" ht="14.25">
      <c r="A344" s="45"/>
      <c r="B344" s="45" t="s">
        <v>167</v>
      </c>
      <c r="C344" s="46" t="str">
        <f>HYPERLINK("https://au.indeed.com/viewjob?jk=dd4208e5a3efdeb2","Principle DevOps Infrastructure Engineer")</f>
        <v>Principle DevOps Infrastructure Engineer</v>
      </c>
      <c r="D344" s="45" t="s">
        <v>432</v>
      </c>
      <c r="E344" s="48">
        <v>44186.622847222221</v>
      </c>
      <c r="F344" s="45" t="s">
        <v>164</v>
      </c>
    </row>
    <row r="345" spans="1:6" ht="14.25">
      <c r="A345" s="45"/>
      <c r="B345" s="45" t="s">
        <v>190</v>
      </c>
      <c r="C345" s="46" t="str">
        <f>HYPERLINK("https://au.indeed.com/viewjob?jk=8fb3a46cd5941dc2","Aircraft Maintenance Engineer")</f>
        <v>Aircraft Maintenance Engineer</v>
      </c>
      <c r="D345" s="45" t="s">
        <v>441</v>
      </c>
      <c r="E345" s="48">
        <v>44186.622916666667</v>
      </c>
      <c r="F345" s="45" t="s">
        <v>164</v>
      </c>
    </row>
    <row r="346" spans="1:6" ht="14.25">
      <c r="A346" s="45"/>
      <c r="B346" s="45" t="s">
        <v>442</v>
      </c>
      <c r="C346" s="46" t="str">
        <f>HYPERLINK("https://au.indeed.com/viewjob?jk=bbad94caf16a24c8","Manufacturing Engineer - Wetherill Park")</f>
        <v>Manufacturing Engineer - Wetherill Park</v>
      </c>
      <c r="D346" s="45" t="s">
        <v>443</v>
      </c>
      <c r="E346" s="48">
        <v>44186.622986111113</v>
      </c>
      <c r="F346" s="45" t="s">
        <v>164</v>
      </c>
    </row>
    <row r="347" spans="1:6" ht="14.25">
      <c r="A347" s="45"/>
      <c r="B347" s="45" t="s">
        <v>442</v>
      </c>
      <c r="C347" s="46" t="str">
        <f>HYPERLINK("https://au.indeed.com/viewjob?jk=a468f1c84718058e","Electrical Manufacturing Engineer")</f>
        <v>Electrical Manufacturing Engineer</v>
      </c>
      <c r="D347" s="45" t="s">
        <v>444</v>
      </c>
      <c r="E347" s="48">
        <v>44186.623032407406</v>
      </c>
      <c r="F347" s="45" t="s">
        <v>164</v>
      </c>
    </row>
    <row r="348" spans="1:6" ht="14.25">
      <c r="A348" s="45"/>
      <c r="B348" s="45" t="s">
        <v>442</v>
      </c>
      <c r="C348" s="46" t="str">
        <f>HYPERLINK("https://au.indeed.com/viewjob?jk=8d6db923e6c89e48","Manufacturing Engineer")</f>
        <v>Manufacturing Engineer</v>
      </c>
      <c r="D348" s="45" t="s">
        <v>391</v>
      </c>
      <c r="E348" s="48">
        <v>44186.623078703706</v>
      </c>
      <c r="F348" s="45" t="s">
        <v>164</v>
      </c>
    </row>
    <row r="349" spans="1:6" ht="14.25">
      <c r="A349" s="45"/>
      <c r="B349" s="45" t="s">
        <v>223</v>
      </c>
      <c r="C349" s="46" t="str">
        <f>HYPERLINK("https://au.indeed.com/viewjob?jk=a554cc564c5ecf2b","RPA Process Engineer")</f>
        <v>RPA Process Engineer</v>
      </c>
      <c r="D349" s="45" t="s">
        <v>412</v>
      </c>
      <c r="E349" s="48">
        <v>44186.623171296298</v>
      </c>
      <c r="F349" s="45" t="s">
        <v>164</v>
      </c>
    </row>
    <row r="350" spans="1:6" ht="14.25">
      <c r="A350" s="45"/>
      <c r="B350" s="45" t="s">
        <v>223</v>
      </c>
      <c r="C350" s="46" t="str">
        <f>HYPERLINK("https://au.indeed.com/viewjob?jk=d7c523534e02dbff","Undergraduate Process Engineer")</f>
        <v>Undergraduate Process Engineer</v>
      </c>
      <c r="D350" s="45" t="s">
        <v>391</v>
      </c>
      <c r="E350" s="48">
        <v>44186.623217592591</v>
      </c>
      <c r="F350" s="45" t="s">
        <v>164</v>
      </c>
    </row>
    <row r="351" spans="1:6" ht="14.25">
      <c r="A351" s="45"/>
      <c r="B351" s="45" t="s">
        <v>223</v>
      </c>
      <c r="C351" s="46" t="str">
        <f>HYPERLINK("https://au.indeed.com/viewjob?jk=25e3cfed7af683f7","Process Engineer")</f>
        <v>Process Engineer</v>
      </c>
      <c r="D351" s="45" t="s">
        <v>419</v>
      </c>
      <c r="E351" s="48">
        <v>44186.623263888891</v>
      </c>
      <c r="F351" s="45" t="s">
        <v>164</v>
      </c>
    </row>
    <row r="352" spans="1:6" ht="14.25">
      <c r="A352" s="45"/>
      <c r="B352" s="45" t="s">
        <v>192</v>
      </c>
      <c r="C352" s="46" t="str">
        <f>HYPERLINK("https://au.indeed.com/viewjob?jk=a50adc8f58d2c3f6","Production Engineer Sydney, Australia")</f>
        <v>Production Engineer Sydney, Australia</v>
      </c>
      <c r="D352" s="45" t="s">
        <v>445</v>
      </c>
      <c r="E352" s="48">
        <v>44186.62358796296</v>
      </c>
      <c r="F352" s="45" t="s">
        <v>164</v>
      </c>
    </row>
    <row r="353" spans="1:6" ht="14.25">
      <c r="A353" s="45"/>
      <c r="B353" s="45" t="s">
        <v>446</v>
      </c>
      <c r="C353" s="46" t="str">
        <f>HYPERLINK("https://au.indeed.com/viewjob?jk=19cc96020fb5262f","Project Controls Engineer, Transport")</f>
        <v>Project Controls Engineer, Transport</v>
      </c>
      <c r="D353" s="45" t="s">
        <v>447</v>
      </c>
      <c r="E353" s="48">
        <v>44186.623703703706</v>
      </c>
      <c r="F353" s="45" t="s">
        <v>164</v>
      </c>
    </row>
    <row r="354" spans="1:6" ht="14.25">
      <c r="A354" s="45"/>
      <c r="B354" s="45" t="s">
        <v>446</v>
      </c>
      <c r="C354" s="46" t="str">
        <f>HYPERLINK("https://au.indeed.com/viewjob?jk=3f145679a164cc21","Project Controls Engineer")</f>
        <v>Project Controls Engineer</v>
      </c>
      <c r="D354" s="45" t="s">
        <v>448</v>
      </c>
      <c r="E354" s="48">
        <v>44186.623773148145</v>
      </c>
      <c r="F354" s="45" t="s">
        <v>164</v>
      </c>
    </row>
    <row r="355" spans="1:6" ht="14.25">
      <c r="A355" s="45"/>
      <c r="B355" s="45" t="s">
        <v>176</v>
      </c>
      <c r="C355" s="46" t="str">
        <f>HYPERLINK("https://au.indeed.com/viewjob?jk=4b308ba4982f4fca","Project Engineer")</f>
        <v>Project Engineer</v>
      </c>
      <c r="D355" s="45" t="s">
        <v>449</v>
      </c>
      <c r="E355" s="48">
        <v>44186.623854166668</v>
      </c>
      <c r="F355" s="45" t="s">
        <v>164</v>
      </c>
    </row>
    <row r="356" spans="1:6" ht="14.25">
      <c r="A356" s="45"/>
      <c r="B356" s="45" t="s">
        <v>176</v>
      </c>
      <c r="C356" s="46" t="str">
        <f>HYPERLINK("https://au.indeed.com/viewjob?jk=9b85566fd21786d2","Senior Project Engineer (Utilities)")</f>
        <v>Senior Project Engineer (Utilities)</v>
      </c>
      <c r="D356" s="45" t="s">
        <v>450</v>
      </c>
      <c r="E356" s="48">
        <v>44186.623900462961</v>
      </c>
      <c r="F356" s="45" t="s">
        <v>164</v>
      </c>
    </row>
    <row r="357" spans="1:6" ht="14.25">
      <c r="A357" s="45"/>
      <c r="B357" s="45" t="s">
        <v>176</v>
      </c>
      <c r="C357" s="46" t="str">
        <f>HYPERLINK("https://au.indeed.com/viewjob?jk=33588361a3123230","Project Engineer Civil")</f>
        <v>Project Engineer Civil</v>
      </c>
      <c r="D357" s="45" t="s">
        <v>448</v>
      </c>
      <c r="E357" s="48">
        <v>44186.62395833333</v>
      </c>
      <c r="F357" s="45" t="s">
        <v>164</v>
      </c>
    </row>
    <row r="358" spans="1:6" ht="14.25">
      <c r="A358" s="45"/>
      <c r="B358" s="45" t="s">
        <v>176</v>
      </c>
      <c r="C358" s="46" t="str">
        <f>HYPERLINK("https://au.indeed.com/viewjob?jk=fdeec6085ff415df","Civil Project Engineer")</f>
        <v>Civil Project Engineer</v>
      </c>
      <c r="D358" s="45" t="s">
        <v>448</v>
      </c>
      <c r="E358" s="48">
        <v>44186.62400462963</v>
      </c>
      <c r="F358" s="45" t="s">
        <v>164</v>
      </c>
    </row>
    <row r="359" spans="1:6" ht="14.25">
      <c r="A359" s="45"/>
      <c r="B359" s="45" t="s">
        <v>176</v>
      </c>
      <c r="C359" s="46" t="str">
        <f>HYPERLINK("https://au.indeed.com/viewjob?jk=326fe651d7eefab7","Project Engineer")</f>
        <v>Project Engineer</v>
      </c>
      <c r="D359" s="45" t="s">
        <v>451</v>
      </c>
      <c r="E359" s="48">
        <v>44186.624328703707</v>
      </c>
      <c r="F359" s="45" t="s">
        <v>164</v>
      </c>
    </row>
    <row r="360" spans="1:6" ht="14.25">
      <c r="A360" s="45"/>
      <c r="B360" s="45" t="s">
        <v>176</v>
      </c>
      <c r="C360" s="46" t="str">
        <f>HYPERLINK("https://au.indeed.com/viewjob?jk=68c55df1c2a889b1","Project Engineers")</f>
        <v>Project Engineers</v>
      </c>
      <c r="D360" s="45" t="s">
        <v>454</v>
      </c>
      <c r="E360" s="48">
        <v>44186.624386574076</v>
      </c>
      <c r="F360" s="45" t="s">
        <v>164</v>
      </c>
    </row>
    <row r="361" spans="1:6" ht="14.25">
      <c r="A361" s="45"/>
      <c r="B361" s="45" t="s">
        <v>176</v>
      </c>
      <c r="C361" s="46" t="str">
        <f>HYPERLINK("https://au.indeed.com/viewjob?jk=e802137947bec24a","Project Engineer")</f>
        <v>Project Engineer</v>
      </c>
      <c r="D361" s="45" t="s">
        <v>455</v>
      </c>
      <c r="E361" s="48">
        <v>44186.624432870369</v>
      </c>
      <c r="F361" s="45" t="s">
        <v>164</v>
      </c>
    </row>
    <row r="362" spans="1:6" ht="14.25">
      <c r="A362" s="45"/>
      <c r="B362" s="45" t="s">
        <v>176</v>
      </c>
      <c r="C362" s="46" t="str">
        <f>HYPERLINK("https://au.indeed.com/viewjob?jk=18315e68c7718de3","Senior Project Engineer")</f>
        <v>Senior Project Engineer</v>
      </c>
      <c r="D362" s="45" t="s">
        <v>456</v>
      </c>
      <c r="E362" s="48">
        <v>44186.624745370369</v>
      </c>
      <c r="F362" s="45" t="s">
        <v>164</v>
      </c>
    </row>
    <row r="363" spans="1:6" ht="14.25">
      <c r="A363" s="45"/>
      <c r="B363" s="45" t="s">
        <v>176</v>
      </c>
      <c r="C363" s="46" t="str">
        <f>HYPERLINK("https://au.indeed.com/viewjob?jk=480e7938e80b145c","Senior Project Engineer (Water/Pipelines)")</f>
        <v>Senior Project Engineer (Water/Pipelines)</v>
      </c>
      <c r="D363" s="45" t="s">
        <v>450</v>
      </c>
      <c r="E363" s="48">
        <v>44186.624826388892</v>
      </c>
      <c r="F363" s="45" t="s">
        <v>164</v>
      </c>
    </row>
    <row r="364" spans="1:6" ht="14.25">
      <c r="A364" s="45"/>
      <c r="B364" s="45" t="s">
        <v>176</v>
      </c>
      <c r="C364" s="46" t="str">
        <f>HYPERLINK("https://au.indeed.com/viewjob?jk=ae654bbb34246b97","Project Engineer")</f>
        <v>Project Engineer</v>
      </c>
      <c r="D364" s="45" t="s">
        <v>457</v>
      </c>
      <c r="E364" s="48">
        <v>44186.624884259261</v>
      </c>
      <c r="F364" s="45" t="s">
        <v>164</v>
      </c>
    </row>
    <row r="365" spans="1:6" ht="14.25">
      <c r="A365" s="45"/>
      <c r="B365" s="45" t="s">
        <v>176</v>
      </c>
      <c r="C365" s="46" t="str">
        <f>HYPERLINK("https://au.indeed.com/viewjob?jk=fea116918cc7284b","Project Engineer")</f>
        <v>Project Engineer</v>
      </c>
      <c r="D365" s="45" t="s">
        <v>458</v>
      </c>
      <c r="E365" s="48">
        <v>44186.624930555554</v>
      </c>
      <c r="F365" s="45" t="s">
        <v>164</v>
      </c>
    </row>
    <row r="366" spans="1:6" ht="14.25">
      <c r="A366" s="45"/>
      <c r="B366" s="45" t="s">
        <v>176</v>
      </c>
      <c r="C366" s="46" t="str">
        <f>HYPERLINK("https://au.indeed.com/viewjob?jk=e0695c1aade40875","Project Engineer")</f>
        <v>Project Engineer</v>
      </c>
      <c r="D366" s="45" t="s">
        <v>459</v>
      </c>
      <c r="E366" s="48">
        <v>44186.624988425923</v>
      </c>
      <c r="F366" s="45" t="s">
        <v>164</v>
      </c>
    </row>
    <row r="367" spans="1:6" ht="14.25">
      <c r="A367" s="45"/>
      <c r="B367" s="45" t="s">
        <v>176</v>
      </c>
      <c r="C367" s="46" t="str">
        <f>HYPERLINK("https://au.indeed.com/viewjob?jk=0193dd0b40e63196","Project Engineer")</f>
        <v>Project Engineer</v>
      </c>
      <c r="D367" s="45" t="s">
        <v>457</v>
      </c>
      <c r="E367" s="48">
        <v>44186.6250462963</v>
      </c>
      <c r="F367" s="45" t="s">
        <v>164</v>
      </c>
    </row>
    <row r="368" spans="1:6" ht="14.25">
      <c r="A368" s="45"/>
      <c r="B368" s="45" t="s">
        <v>176</v>
      </c>
      <c r="C368" s="46" t="str">
        <f>HYPERLINK("https://au.indeed.com/viewjob?jk=571a060e52f6e81d","Project Engineer")</f>
        <v>Project Engineer</v>
      </c>
      <c r="D368" s="45" t="s">
        <v>456</v>
      </c>
      <c r="E368" s="48">
        <v>44186.625127314815</v>
      </c>
      <c r="F368" s="45" t="s">
        <v>164</v>
      </c>
    </row>
    <row r="369" spans="1:6" ht="14.25">
      <c r="A369" s="45"/>
      <c r="B369" s="45" t="s">
        <v>176</v>
      </c>
      <c r="C369" s="46" t="str">
        <f>HYPERLINK("https://au.indeed.com/viewjob?jk=ad8828d56ccbe6bc","Senior Project Engineer")</f>
        <v>Senior Project Engineer</v>
      </c>
      <c r="D369" s="45" t="s">
        <v>460</v>
      </c>
      <c r="E369" s="48">
        <v>44186.625173611108</v>
      </c>
      <c r="F369" s="45" t="s">
        <v>164</v>
      </c>
    </row>
    <row r="370" spans="1:6" ht="14.25">
      <c r="A370" s="45"/>
      <c r="B370" s="45" t="s">
        <v>176</v>
      </c>
      <c r="C370" s="46" t="str">
        <f>HYPERLINK("https://au.indeed.com/viewjob?jk=95f6cafacfd6310a","Senior Project Engineer")</f>
        <v>Senior Project Engineer</v>
      </c>
      <c r="D370" s="45" t="s">
        <v>461</v>
      </c>
      <c r="E370" s="48">
        <v>44186.6252662037</v>
      </c>
      <c r="F370" s="45" t="s">
        <v>164</v>
      </c>
    </row>
    <row r="371" spans="1:6" ht="14.25">
      <c r="A371" s="45"/>
      <c r="B371" s="45" t="s">
        <v>176</v>
      </c>
      <c r="C371" s="46" t="str">
        <f>HYPERLINK("https://au.indeed.com/viewjob?jk=d6628d30482699da","Project Engineer")</f>
        <v>Project Engineer</v>
      </c>
      <c r="D371" s="45" t="s">
        <v>471</v>
      </c>
      <c r="E371" s="48">
        <v>44186.6253125</v>
      </c>
      <c r="F371" s="45" t="s">
        <v>164</v>
      </c>
    </row>
    <row r="372" spans="1:6" ht="14.25">
      <c r="A372" s="45"/>
      <c r="B372" s="45" t="s">
        <v>176</v>
      </c>
      <c r="C372" s="46" t="str">
        <f>HYPERLINK("https://au.indeed.com/viewjob?jk=b52388bdec501ccd","Project Engineer")</f>
        <v>Project Engineer</v>
      </c>
      <c r="D372" s="45" t="s">
        <v>462</v>
      </c>
      <c r="E372" s="48">
        <v>44186.625381944446</v>
      </c>
      <c r="F372" s="45" t="s">
        <v>164</v>
      </c>
    </row>
    <row r="373" spans="1:6" ht="14.25">
      <c r="A373" s="45"/>
      <c r="B373" s="45" t="s">
        <v>176</v>
      </c>
      <c r="C373" s="46" t="str">
        <f>HYPERLINK("https://au.indeed.com/viewjob?jk=3ae1e05a57d2f428","Project Engineer - Cross River Rail")</f>
        <v>Project Engineer - Cross River Rail</v>
      </c>
      <c r="D373" s="45" t="s">
        <v>463</v>
      </c>
      <c r="E373" s="48">
        <v>44186.625428240739</v>
      </c>
      <c r="F373" s="45" t="s">
        <v>164</v>
      </c>
    </row>
    <row r="374" spans="1:6" ht="14.25">
      <c r="A374" s="45"/>
      <c r="B374" s="45" t="s">
        <v>176</v>
      </c>
      <c r="C374" s="46" t="str">
        <f>HYPERLINK("https://au.indeed.com/viewjob?jk=ef3d5eff2b709b44","Project Engineer")</f>
        <v>Project Engineer</v>
      </c>
      <c r="D374" s="45" t="s">
        <v>464</v>
      </c>
      <c r="E374" s="48">
        <v>44186.625474537039</v>
      </c>
      <c r="F374" s="45" t="s">
        <v>164</v>
      </c>
    </row>
    <row r="375" spans="1:6" ht="14.25">
      <c r="A375" s="45"/>
      <c r="B375" s="45" t="s">
        <v>176</v>
      </c>
      <c r="C375" s="46" t="str">
        <f>HYPERLINK("https://au.indeed.com/viewjob?jk=e0950cf5c0b8482b","Project Engineer")</f>
        <v>Project Engineer</v>
      </c>
      <c r="D375" s="45" t="s">
        <v>418</v>
      </c>
      <c r="E375" s="48">
        <v>44186.625520833331</v>
      </c>
      <c r="F375" s="45" t="s">
        <v>164</v>
      </c>
    </row>
    <row r="376" spans="1:6" ht="14.25">
      <c r="A376" s="45"/>
      <c r="B376" s="45" t="s">
        <v>176</v>
      </c>
      <c r="C376" s="46" t="str">
        <f>HYPERLINK("https://au.indeed.com/viewjob?jk=10d33bbd692e8dfc","Project Engineer / Lead")</f>
        <v>Project Engineer / Lead</v>
      </c>
      <c r="D376" s="45" t="s">
        <v>465</v>
      </c>
      <c r="E376" s="48">
        <v>44186.625567129631</v>
      </c>
      <c r="F376" s="45" t="s">
        <v>164</v>
      </c>
    </row>
    <row r="377" spans="1:6" ht="14.25">
      <c r="A377" s="45"/>
      <c r="B377" s="45" t="s">
        <v>176</v>
      </c>
      <c r="C377" s="46" t="str">
        <f>HYPERLINK("https://au.indeed.com/viewjob?jk=5e22d9c99a10c34e","Civil Infrastructure – Project Engineer")</f>
        <v>Civil Infrastructure – Project Engineer</v>
      </c>
      <c r="D377" s="45" t="s">
        <v>460</v>
      </c>
      <c r="E377" s="48">
        <v>44186.625625000001</v>
      </c>
      <c r="F377" s="45" t="s">
        <v>164</v>
      </c>
    </row>
    <row r="378" spans="1:6" ht="14.25">
      <c r="A378" s="45"/>
      <c r="B378" s="45" t="s">
        <v>176</v>
      </c>
      <c r="C378" s="46" t="str">
        <f>HYPERLINK("https://au.indeed.com/viewjob?jk=3538e335821d9ac8","Expressions of Interest | Project Engineers, Water")</f>
        <v>Expressions of Interest | Project Engineers, Water</v>
      </c>
      <c r="D378" s="45" t="s">
        <v>356</v>
      </c>
      <c r="E378" s="48">
        <v>44186.625972222224</v>
      </c>
      <c r="F378" s="45" t="s">
        <v>164</v>
      </c>
    </row>
    <row r="379" spans="1:6" ht="14.25">
      <c r="A379" s="45"/>
      <c r="B379" s="45" t="s">
        <v>176</v>
      </c>
      <c r="C379" s="46" t="str">
        <f>HYPERLINK("https://au.indeed.com/viewjob?jk=013dd81125672d36","Electrical Project Engineer - Confluence Water")</f>
        <v>Electrical Project Engineer - Confluence Water</v>
      </c>
      <c r="D379" s="45" t="s">
        <v>456</v>
      </c>
      <c r="E379" s="48">
        <v>44186.626215277778</v>
      </c>
      <c r="F379" s="45" t="s">
        <v>164</v>
      </c>
    </row>
    <row r="380" spans="1:6" ht="14.25">
      <c r="A380" s="45"/>
      <c r="B380" s="45" t="s">
        <v>176</v>
      </c>
      <c r="C380" s="46" t="str">
        <f>HYPERLINK("https://au.indeed.com/viewjob?jk=7c3b08401cd9c67d","Project Engineer - Wastewater Treatment Plants")</f>
        <v>Project Engineer - Wastewater Treatment Plants</v>
      </c>
      <c r="D380" s="45" t="s">
        <v>456</v>
      </c>
      <c r="E380" s="48">
        <v>44186.626539351855</v>
      </c>
      <c r="F380" s="45" t="s">
        <v>164</v>
      </c>
    </row>
    <row r="381" spans="1:6" ht="14.25">
      <c r="A381" s="45"/>
      <c r="B381" s="45" t="s">
        <v>176</v>
      </c>
      <c r="C381" s="46" t="str">
        <f>HYPERLINK("https://au.indeed.com/viewjob?jk=6b2ae4305744563b","Project Engineer")</f>
        <v>Project Engineer</v>
      </c>
      <c r="D381" s="45" t="s">
        <v>466</v>
      </c>
      <c r="E381" s="48">
        <v>44186.626620370371</v>
      </c>
      <c r="F381" s="45" t="s">
        <v>164</v>
      </c>
    </row>
    <row r="382" spans="1:6" ht="14.25">
      <c r="A382" s="45"/>
      <c r="B382" s="45" t="s">
        <v>176</v>
      </c>
      <c r="C382" s="46" t="str">
        <f>HYPERLINK("https://au.indeed.com/viewjob?jk=bb1b0ecf442ecaf9","Service Project Engineer")</f>
        <v>Service Project Engineer</v>
      </c>
      <c r="D382" s="45" t="s">
        <v>467</v>
      </c>
      <c r="E382" s="48">
        <v>44186.626666666663</v>
      </c>
      <c r="F382" s="45" t="s">
        <v>164</v>
      </c>
    </row>
    <row r="383" spans="1:6" ht="14.25">
      <c r="A383" s="45"/>
      <c r="B383" s="45" t="s">
        <v>176</v>
      </c>
      <c r="C383" s="46" t="str">
        <f>HYPERLINK("https://au.indeed.com/viewjob?jk=4ab351466ed76779","Senior Project Network Engineer")</f>
        <v>Senior Project Network Engineer</v>
      </c>
      <c r="D383" s="45" t="s">
        <v>468</v>
      </c>
      <c r="E383" s="48">
        <v>44186.626712962963</v>
      </c>
      <c r="F383" s="45" t="s">
        <v>164</v>
      </c>
    </row>
    <row r="384" spans="1:6" ht="14.25">
      <c r="A384" s="45"/>
      <c r="B384" s="45" t="s">
        <v>176</v>
      </c>
      <c r="C384" s="46" t="str">
        <f>HYPERLINK("https://au.indeed.com/viewjob?jk=10d33bbd692e8dfc","Project Engineer / Lead")</f>
        <v>Project Engineer / Lead</v>
      </c>
      <c r="D384" s="45" t="s">
        <v>465</v>
      </c>
      <c r="E384" s="48">
        <v>44186.626770833333</v>
      </c>
      <c r="F384" s="45" t="s">
        <v>164</v>
      </c>
    </row>
    <row r="385" spans="1:6" ht="14.25">
      <c r="A385" s="45"/>
      <c r="B385" s="45" t="s">
        <v>176</v>
      </c>
      <c r="C385" s="46" t="str">
        <f>HYPERLINK("https://au.indeed.com/viewjob?jk=cb1cd4dbedac69d2","Senior Project Engineer - Concrete / FRP")</f>
        <v>Senior Project Engineer - Concrete / FRP</v>
      </c>
      <c r="D385" s="45" t="s">
        <v>462</v>
      </c>
      <c r="E385" s="48">
        <v>44186.626840277779</v>
      </c>
      <c r="F385" s="45" t="s">
        <v>164</v>
      </c>
    </row>
    <row r="386" spans="1:6" ht="14.25">
      <c r="A386" s="45"/>
      <c r="B386" s="45" t="s">
        <v>176</v>
      </c>
      <c r="C386" s="46" t="str">
        <f>HYPERLINK("https://au.indeed.com/viewjob?jk=d2f6c944143332f2","Chief Project Engineer")</f>
        <v>Chief Project Engineer</v>
      </c>
      <c r="D386" s="45" t="s">
        <v>469</v>
      </c>
      <c r="E386" s="48">
        <v>44186.627083333333</v>
      </c>
      <c r="F386" s="45" t="s">
        <v>164</v>
      </c>
    </row>
    <row r="387" spans="1:6" ht="14.25">
      <c r="A387" s="45"/>
      <c r="B387" s="45" t="s">
        <v>176</v>
      </c>
      <c r="C387" s="46" t="str">
        <f>HYPERLINK("https://au.indeed.com/viewjob?jk=1dfa7484f80e1b48","Project Engineer - Cranes &amp; Hoists")</f>
        <v>Project Engineer - Cranes &amp; Hoists</v>
      </c>
      <c r="D387" s="45" t="s">
        <v>452</v>
      </c>
      <c r="E387" s="48">
        <v>44186.627118055556</v>
      </c>
      <c r="F387" s="45" t="s">
        <v>164</v>
      </c>
    </row>
    <row r="388" spans="1:6" ht="14.25">
      <c r="A388" s="45"/>
      <c r="B388" s="45" t="s">
        <v>176</v>
      </c>
      <c r="C388" s="46" t="str">
        <f>HYPERLINK("https://au.indeed.com/viewjob?jk=e54a3306521fc1e1","Software Project Engineer")</f>
        <v>Software Project Engineer</v>
      </c>
      <c r="D388" s="45" t="s">
        <v>453</v>
      </c>
      <c r="E388" s="48">
        <v>44186.627164351848</v>
      </c>
      <c r="F388" s="45" t="s">
        <v>164</v>
      </c>
    </row>
    <row r="389" spans="1:6" ht="14.25">
      <c r="A389" s="45"/>
      <c r="B389" s="45" t="s">
        <v>176</v>
      </c>
      <c r="C389" s="46" t="str">
        <f>HYPERLINK("https://au.indeed.com/viewjob?jk=1aab41e11ccfb55a","Senior Project Engineer – Civil")</f>
        <v>Senior Project Engineer – Civil</v>
      </c>
      <c r="D389" s="45" t="s">
        <v>470</v>
      </c>
      <c r="E389" s="48">
        <v>44186.627245370371</v>
      </c>
      <c r="F389" s="45" t="s">
        <v>164</v>
      </c>
    </row>
    <row r="390" spans="1:6" ht="14.25">
      <c r="A390" s="45"/>
      <c r="B390" s="45" t="s">
        <v>176</v>
      </c>
      <c r="C390" s="46" t="str">
        <f>HYPERLINK("https://au.indeed.com/viewjob?jk=7d720e2c8c4a67b8","Senior Project Engineer - Concrete / FRP")</f>
        <v>Senior Project Engineer - Concrete / FRP</v>
      </c>
      <c r="D390" s="45" t="s">
        <v>471</v>
      </c>
      <c r="E390" s="48">
        <v>44186.627476851849</v>
      </c>
      <c r="F390" s="45" t="s">
        <v>164</v>
      </c>
    </row>
    <row r="391" spans="1:6" ht="14.25">
      <c r="A391" s="45"/>
      <c r="B391" s="45" t="s">
        <v>176</v>
      </c>
      <c r="C391" s="46" t="str">
        <f>HYPERLINK("https://au.indeed.com/viewjob?jk=e8a04ba003777a80","Senior Project Engineer - Electrical")</f>
        <v>Senior Project Engineer - Electrical</v>
      </c>
      <c r="D391" s="45" t="s">
        <v>457</v>
      </c>
      <c r="E391" s="48">
        <v>44186.627812500003</v>
      </c>
      <c r="F391" s="45" t="s">
        <v>164</v>
      </c>
    </row>
    <row r="392" spans="1:6" ht="14.25">
      <c r="A392" s="45"/>
      <c r="B392" s="45" t="s">
        <v>176</v>
      </c>
      <c r="C392" s="46" t="str">
        <f>HYPERLINK("https://au.indeed.com/viewjob?jk=4d0272e022b96afe","Senior Project Engineer")</f>
        <v>Senior Project Engineer</v>
      </c>
      <c r="D392" s="45" t="s">
        <v>472</v>
      </c>
      <c r="E392" s="48">
        <v>44186.628067129626</v>
      </c>
      <c r="F392" s="45" t="s">
        <v>164</v>
      </c>
    </row>
    <row r="393" spans="1:6" ht="14.25">
      <c r="A393" s="45"/>
      <c r="B393" s="45" t="s">
        <v>176</v>
      </c>
      <c r="C393" s="46" t="str">
        <f>HYPERLINK("https://au.indeed.com/viewjob?jk=ab314ac19350bdb6","BMS Project Engineer")</f>
        <v>BMS Project Engineer</v>
      </c>
      <c r="D393" s="45" t="s">
        <v>473</v>
      </c>
      <c r="E393" s="48">
        <v>44186.628113425926</v>
      </c>
      <c r="F393" s="45" t="s">
        <v>164</v>
      </c>
    </row>
    <row r="394" spans="1:6" ht="14.25">
      <c r="A394" s="45"/>
      <c r="B394" s="45" t="s">
        <v>176</v>
      </c>
      <c r="C394" s="46" t="str">
        <f>HYPERLINK("https://au.indeed.com/viewjob?jk=37642472cfb0e3b7","Project Engineer")</f>
        <v>Project Engineer</v>
      </c>
      <c r="D394" s="45" t="s">
        <v>431</v>
      </c>
      <c r="E394" s="48">
        <v>44186.628171296295</v>
      </c>
      <c r="F394" s="45" t="s">
        <v>164</v>
      </c>
    </row>
    <row r="395" spans="1:6" ht="14.25">
      <c r="A395" s="45"/>
      <c r="B395" s="45" t="s">
        <v>176</v>
      </c>
      <c r="C395" s="46" t="str">
        <f>HYPERLINK("https://au.indeed.com/viewjob?jk=e2382c678f96a77a","Junior Project Engineer")</f>
        <v>Junior Project Engineer</v>
      </c>
      <c r="D395" s="45" t="s">
        <v>474</v>
      </c>
      <c r="E395" s="48">
        <v>44186.628206018519</v>
      </c>
      <c r="F395" s="45" t="s">
        <v>164</v>
      </c>
    </row>
    <row r="396" spans="1:6" ht="14.25">
      <c r="A396" s="45"/>
      <c r="B396" s="45" t="s">
        <v>176</v>
      </c>
      <c r="C396" s="46" t="str">
        <f>HYPERLINK("https://au.indeed.com/viewjob?jk=0a7886f2703bdeb1","Project Engineer")</f>
        <v>Project Engineer</v>
      </c>
      <c r="D396" s="45" t="s">
        <v>469</v>
      </c>
      <c r="E396" s="48">
        <v>44186.628275462965</v>
      </c>
      <c r="F396" s="45" t="s">
        <v>164</v>
      </c>
    </row>
    <row r="397" spans="1:6" ht="14.25">
      <c r="A397" s="45"/>
      <c r="B397" s="45" t="s">
        <v>176</v>
      </c>
      <c r="C397" s="46" t="str">
        <f>HYPERLINK("https://au.indeed.com/viewjob?jk=e3e1d22d35a851fa","Senior Project Engineer")</f>
        <v>Senior Project Engineer</v>
      </c>
      <c r="D397" s="45" t="s">
        <v>475</v>
      </c>
      <c r="E397" s="48">
        <v>44186.628321759257</v>
      </c>
      <c r="F397" s="45" t="s">
        <v>164</v>
      </c>
    </row>
    <row r="398" spans="1:6" ht="14.25">
      <c r="A398" s="45"/>
      <c r="B398" s="45" t="s">
        <v>202</v>
      </c>
      <c r="C398" s="46" t="str">
        <f>HYPERLINK("https://au.indeed.com/viewjob?jk=959bad1c6e015189","Site Reliability Engineer - Core Engineering")</f>
        <v>Site Reliability Engineer - Core Engineering</v>
      </c>
      <c r="D398" s="45" t="s">
        <v>476</v>
      </c>
      <c r="E398" s="48">
        <v>44186.628425925926</v>
      </c>
      <c r="F398" s="45" t="s">
        <v>164</v>
      </c>
    </row>
    <row r="399" spans="1:6" ht="14.25">
      <c r="A399" s="45"/>
      <c r="B399" s="45" t="s">
        <v>202</v>
      </c>
      <c r="C399" s="46" t="str">
        <f>HYPERLINK("https://au.indeed.com/viewjob?jk=335ef7e22af903e2","Site Reliability Engineer")</f>
        <v>Site Reliability Engineer</v>
      </c>
      <c r="D399" s="45" t="s">
        <v>413</v>
      </c>
      <c r="E399" s="48">
        <v>44186.628483796296</v>
      </c>
      <c r="F399" s="45" t="s">
        <v>164</v>
      </c>
    </row>
    <row r="400" spans="1:6" ht="14.25">
      <c r="A400" s="45"/>
      <c r="B400" s="45" t="s">
        <v>202</v>
      </c>
      <c r="C400" s="46" t="str">
        <f>HYPERLINK("https://au.indeed.com/viewjob?jk=829f9a6cfb9e0fb7","Site Reliability Engineer")</f>
        <v>Site Reliability Engineer</v>
      </c>
      <c r="D400" s="45" t="s">
        <v>477</v>
      </c>
      <c r="E400" s="48">
        <v>44186.628530092596</v>
      </c>
      <c r="F400" s="45" t="s">
        <v>164</v>
      </c>
    </row>
    <row r="401" spans="1:6" ht="14.25">
      <c r="A401" s="45"/>
      <c r="B401" s="45" t="s">
        <v>202</v>
      </c>
      <c r="C401" s="46" t="str">
        <f>HYPERLINK("https://au.indeed.com/viewjob?jk=01e5e022f31530c3","Site Reliability Engineer - Networking")</f>
        <v>Site Reliability Engineer - Networking</v>
      </c>
      <c r="D401" s="45" t="s">
        <v>423</v>
      </c>
      <c r="E401" s="48">
        <v>44186.628576388888</v>
      </c>
      <c r="F401" s="45" t="s">
        <v>164</v>
      </c>
    </row>
    <row r="402" spans="1:6" ht="14.25">
      <c r="A402" s="45"/>
      <c r="B402" s="45" t="s">
        <v>202</v>
      </c>
      <c r="C402" s="46" t="str">
        <f>HYPERLINK("https://au.indeed.com/viewjob?jk=03f2617303fd4cf4","Site Reliability Engineer - Managed Services")</f>
        <v>Site Reliability Engineer - Managed Services</v>
      </c>
      <c r="D402" s="45" t="s">
        <v>369</v>
      </c>
      <c r="E402" s="48">
        <v>44186.628622685188</v>
      </c>
      <c r="F402" s="45" t="s">
        <v>164</v>
      </c>
    </row>
    <row r="403" spans="1:6" ht="14.25">
      <c r="A403" s="45"/>
      <c r="B403" s="45" t="s">
        <v>202</v>
      </c>
      <c r="C403" s="46" t="str">
        <f>HYPERLINK("https://au.indeed.com/viewjob?jk=72419708d2feb41f","Staff Site Reliability Engineer - Federal")</f>
        <v>Staff Site Reliability Engineer - Federal</v>
      </c>
      <c r="D403" s="45" t="s">
        <v>478</v>
      </c>
      <c r="E403" s="48">
        <v>44186.628668981481</v>
      </c>
      <c r="F403" s="45" t="s">
        <v>164</v>
      </c>
    </row>
    <row r="404" spans="1:6" ht="14.25">
      <c r="A404" s="45"/>
      <c r="B404" s="45" t="s">
        <v>202</v>
      </c>
      <c r="C404" s="46" t="str">
        <f>HYPERLINK("https://au.indeed.com/viewjob?jk=b00717181e04d23a","Systems Reliability Engineer")</f>
        <v>Systems Reliability Engineer</v>
      </c>
      <c r="D404" s="45" t="s">
        <v>365</v>
      </c>
      <c r="E404" s="48">
        <v>44186.629027777781</v>
      </c>
      <c r="F404" s="45" t="s">
        <v>164</v>
      </c>
    </row>
    <row r="405" spans="1:6" ht="14.25">
      <c r="A405" s="45"/>
      <c r="B405" s="45" t="s">
        <v>202</v>
      </c>
      <c r="C405" s="46" t="str">
        <f>HYPERLINK("https://au.indeed.com/viewjob?jk=643234569ba2582a","Cloud Data Services Site Reliability Engineer")</f>
        <v>Cloud Data Services Site Reliability Engineer</v>
      </c>
      <c r="D405" s="45" t="s">
        <v>384</v>
      </c>
      <c r="E405" s="48">
        <v>44186.629074074073</v>
      </c>
      <c r="F405" s="45" t="s">
        <v>164</v>
      </c>
    </row>
    <row r="406" spans="1:6" ht="14.25">
      <c r="A406" s="45"/>
      <c r="B406" s="45" t="s">
        <v>202</v>
      </c>
      <c r="C406" s="46" t="str">
        <f>HYPERLINK("https://au.indeed.com/viewjob?jk=3eb4e4de00f79bfa","Site Reliability Engineer")</f>
        <v>Site Reliability Engineer</v>
      </c>
      <c r="D406" s="45" t="s">
        <v>479</v>
      </c>
      <c r="E406" s="48">
        <v>44186.629120370373</v>
      </c>
      <c r="F406" s="45" t="s">
        <v>164</v>
      </c>
    </row>
    <row r="407" spans="1:6" ht="14.25">
      <c r="A407" s="45"/>
      <c r="B407" s="45" t="s">
        <v>202</v>
      </c>
      <c r="C407" s="46" t="str">
        <f>HYPERLINK("https://au.indeed.com/viewjob?jk=45955d2763b6181c","Site Reliability Engineer - Core Engineering")</f>
        <v>Site Reliability Engineer - Core Engineering</v>
      </c>
      <c r="D407" s="45" t="s">
        <v>476</v>
      </c>
      <c r="E407" s="48">
        <v>44186.629166666666</v>
      </c>
      <c r="F407" s="45" t="s">
        <v>164</v>
      </c>
    </row>
    <row r="408" spans="1:6" ht="14.25">
      <c r="A408" s="45"/>
      <c r="B408" s="45" t="s">
        <v>202</v>
      </c>
      <c r="C408" s="46" t="str">
        <f>HYPERLINK("https://au.indeed.com/viewjob?jk=63e51356ddfa1c4a","Site Reliability Engineer (Remote, AUS)")</f>
        <v>Site Reliability Engineer (Remote, AUS)</v>
      </c>
      <c r="D408" s="45" t="s">
        <v>480</v>
      </c>
      <c r="E408" s="48">
        <v>44186.629212962966</v>
      </c>
      <c r="F408" s="45" t="s">
        <v>164</v>
      </c>
    </row>
    <row r="409" spans="1:6" ht="14.25">
      <c r="A409" s="45"/>
      <c r="B409" s="45" t="s">
        <v>202</v>
      </c>
      <c r="C409" s="46" t="str">
        <f>HYPERLINK("https://au.indeed.com/viewjob?jk=58dd89da4197a434","Site Reliability Engineer (Investment Data)")</f>
        <v>Site Reliability Engineer (Investment Data)</v>
      </c>
      <c r="D409" s="45" t="s">
        <v>481</v>
      </c>
      <c r="E409" s="48">
        <v>44186.629594907405</v>
      </c>
      <c r="F409" s="45" t="s">
        <v>164</v>
      </c>
    </row>
    <row r="410" spans="1:6" ht="14.25">
      <c r="A410" s="45"/>
      <c r="B410" s="45" t="s">
        <v>202</v>
      </c>
      <c r="C410" s="46" t="str">
        <f>HYPERLINK("https://au.indeed.com/viewjob?jk=6183cefe84d34954","Site Reliability Engineer (Jira Cloud)")</f>
        <v>Site Reliability Engineer (Jira Cloud)</v>
      </c>
      <c r="D410" s="45" t="s">
        <v>380</v>
      </c>
      <c r="E410" s="48">
        <v>44186.629652777781</v>
      </c>
      <c r="F410" s="45" t="s">
        <v>164</v>
      </c>
    </row>
    <row r="411" spans="1:6" ht="14.25">
      <c r="A411" s="45"/>
      <c r="B411" s="45" t="s">
        <v>202</v>
      </c>
      <c r="C411" s="46" t="str">
        <f>HYPERLINK("https://au.indeed.com/viewjob?jk=12178f2cb06800df","Reliability Engineer")</f>
        <v>Reliability Engineer</v>
      </c>
      <c r="D411" s="45" t="s">
        <v>391</v>
      </c>
      <c r="E411" s="48">
        <v>44186.629687499997</v>
      </c>
      <c r="F411" s="45" t="s">
        <v>164</v>
      </c>
    </row>
    <row r="412" spans="1:6" ht="14.25">
      <c r="A412" s="45"/>
      <c r="B412" s="45" t="s">
        <v>202</v>
      </c>
      <c r="C412" s="46" t="str">
        <f>HYPERLINK("https://au.indeed.com/viewjob?jk=7997686a763d16f6","Graduate Site Reliability Engineer")</f>
        <v>Graduate Site Reliability Engineer</v>
      </c>
      <c r="D412" s="45" t="s">
        <v>482</v>
      </c>
      <c r="E412" s="48">
        <v>44186.629733796297</v>
      </c>
      <c r="F412" s="45" t="s">
        <v>164</v>
      </c>
    </row>
    <row r="413" spans="1:6" ht="14.25">
      <c r="A413" s="45"/>
      <c r="B413" s="45" t="s">
        <v>202</v>
      </c>
      <c r="C413" s="46" t="str">
        <f>HYPERLINK("https://au.indeed.com/viewjob?jk=619d7fe0db91d1e1","Senior Site Reliability Engineer (Fully Remote)")</f>
        <v>Senior Site Reliability Engineer (Fully Remote)</v>
      </c>
      <c r="D413" s="45" t="s">
        <v>483</v>
      </c>
      <c r="E413" s="48">
        <v>44186.629780092589</v>
      </c>
      <c r="F413" s="45" t="s">
        <v>164</v>
      </c>
    </row>
    <row r="414" spans="1:6" ht="14.25">
      <c r="A414" s="45"/>
      <c r="B414" s="45" t="s">
        <v>202</v>
      </c>
      <c r="C414" s="46" t="str">
        <f>HYPERLINK("https://au.indeed.com/viewjob?jk=59c0de8b51eb78f6","Site Reliability Engineer")</f>
        <v>Site Reliability Engineer</v>
      </c>
      <c r="D414" s="45" t="s">
        <v>406</v>
      </c>
      <c r="E414" s="48">
        <v>44186.629826388889</v>
      </c>
      <c r="F414" s="45" t="s">
        <v>164</v>
      </c>
    </row>
    <row r="415" spans="1:6" ht="14.25">
      <c r="A415" s="45"/>
      <c r="B415" s="45" t="s">
        <v>202</v>
      </c>
      <c r="C415" s="46" t="str">
        <f>HYPERLINK("https://au.indeed.com/viewjob?jk=6bdb159386e828c8","Site Reliability Engineer")</f>
        <v>Site Reliability Engineer</v>
      </c>
      <c r="D415" s="45" t="s">
        <v>482</v>
      </c>
      <c r="E415" s="48">
        <v>44186.629895833335</v>
      </c>
      <c r="F415" s="45" t="s">
        <v>164</v>
      </c>
    </row>
    <row r="416" spans="1:6" ht="14.25">
      <c r="A416" s="45"/>
      <c r="B416" s="45" t="s">
        <v>202</v>
      </c>
      <c r="C416" s="46" t="str">
        <f>HYPERLINK("https://au.indeed.com/viewjob?jk=75ba22a6cdbc9ad9","Site Reliability Engineer")</f>
        <v>Site Reliability Engineer</v>
      </c>
      <c r="D416" s="45" t="s">
        <v>482</v>
      </c>
      <c r="E416" s="48">
        <v>44186.629942129628</v>
      </c>
      <c r="F416" s="45" t="s">
        <v>164</v>
      </c>
    </row>
    <row r="417" spans="1:6" ht="14.25">
      <c r="A417" s="45"/>
      <c r="B417" s="45" t="s">
        <v>202</v>
      </c>
      <c r="C417" s="46" t="str">
        <f>HYPERLINK("https://au.indeed.com/viewjob?jk=0ccee39bcfef7cc8","Site Reliability Engineer - Managed Services")</f>
        <v>Site Reliability Engineer - Managed Services</v>
      </c>
      <c r="D417" s="45" t="s">
        <v>369</v>
      </c>
      <c r="E417" s="48">
        <v>44186.629988425928</v>
      </c>
      <c r="F417" s="45" t="s">
        <v>164</v>
      </c>
    </row>
    <row r="418" spans="1:6" ht="14.25">
      <c r="A418" s="45"/>
      <c r="B418" s="45" t="s">
        <v>202</v>
      </c>
      <c r="C418" s="46" t="str">
        <f>HYPERLINK("https://au.indeed.com/viewjob?jk=4fea98d66d899308","Site Reliability Engineer")</f>
        <v>Site Reliability Engineer</v>
      </c>
      <c r="D418" s="45" t="s">
        <v>484</v>
      </c>
      <c r="E418" s="48">
        <v>44186.63003472222</v>
      </c>
      <c r="F418" s="45" t="s">
        <v>164</v>
      </c>
    </row>
    <row r="419" spans="1:6" ht="14.25">
      <c r="A419" s="45"/>
      <c r="B419" s="45" t="s">
        <v>202</v>
      </c>
      <c r="C419" s="46" t="str">
        <f>HYPERLINK("https://au.indeed.com/viewjob?jk=dd2ab6ac8a4f5280","DevOps Engineer/Site Reliability Engineer")</f>
        <v>DevOps Engineer/Site Reliability Engineer</v>
      </c>
      <c r="D419" s="45" t="s">
        <v>485</v>
      </c>
      <c r="E419" s="48">
        <v>44186.63008101852</v>
      </c>
      <c r="F419" s="45" t="s">
        <v>164</v>
      </c>
    </row>
    <row r="420" spans="1:6" ht="14.25">
      <c r="A420" s="45"/>
      <c r="B420" s="45" t="s">
        <v>202</v>
      </c>
      <c r="C420" s="46" t="str">
        <f>HYPERLINK("https://au.indeed.com/viewjob?jk=af69ec11b2694557","Site Reliability Engineer")</f>
        <v>Site Reliability Engineer</v>
      </c>
      <c r="D420" s="45"/>
      <c r="E420" s="48">
        <v>44186.630127314813</v>
      </c>
      <c r="F420" s="45" t="s">
        <v>164</v>
      </c>
    </row>
    <row r="421" spans="1:6" ht="14.25">
      <c r="A421" s="45"/>
      <c r="B421" s="45" t="s">
        <v>202</v>
      </c>
      <c r="C421" s="46" t="str">
        <f>HYPERLINK("https://au.indeed.com/viewjob?jk=2a9aa74fd7a8e08d","Site Reliability Engineer (remote)")</f>
        <v>Site Reliability Engineer (remote)</v>
      </c>
      <c r="D421" s="45" t="s">
        <v>486</v>
      </c>
      <c r="E421" s="48">
        <v>44186.630173611113</v>
      </c>
      <c r="F421" s="45" t="s">
        <v>164</v>
      </c>
    </row>
    <row r="422" spans="1:6" ht="14.25">
      <c r="A422" s="45"/>
      <c r="B422" s="45" t="s">
        <v>209</v>
      </c>
      <c r="C422" s="46" t="str">
        <f>HYPERLINK("https://au.indeed.com/viewjob?jk=3ee9f9d45f789dcd","Data Center Services Engineer")</f>
        <v>Data Center Services Engineer</v>
      </c>
      <c r="D422" s="45" t="s">
        <v>487</v>
      </c>
      <c r="E422" s="48">
        <v>44186.630543981482</v>
      </c>
      <c r="F422" s="45" t="s">
        <v>164</v>
      </c>
    </row>
    <row r="423" spans="1:6" ht="14.25">
      <c r="A423" s="45"/>
      <c r="B423" s="45" t="s">
        <v>213</v>
      </c>
      <c r="C423" s="46" t="str">
        <f>HYPERLINK("https://au.indeed.com/viewjob?jk=35a8005e8e907ed2","Site Engineer")</f>
        <v>Site Engineer</v>
      </c>
      <c r="D423" s="45" t="s">
        <v>455</v>
      </c>
      <c r="E423" s="48">
        <v>44186.631053240744</v>
      </c>
      <c r="F423" s="45" t="s">
        <v>164</v>
      </c>
    </row>
    <row r="424" spans="1:6" ht="14.25">
      <c r="A424" s="45"/>
      <c r="B424" s="45" t="s">
        <v>213</v>
      </c>
      <c r="C424" s="46" t="str">
        <f>HYPERLINK("https://au.indeed.com/viewjob?jk=a34e02ac8ff47efb","Site Engineer")</f>
        <v>Site Engineer</v>
      </c>
      <c r="D424" s="45" t="s">
        <v>214</v>
      </c>
      <c r="E424" s="48">
        <v>44186.631296296298</v>
      </c>
      <c r="F424" s="45" t="s">
        <v>164</v>
      </c>
    </row>
    <row r="425" spans="1:6" ht="14.25">
      <c r="A425" s="45"/>
      <c r="B425" s="45" t="s">
        <v>213</v>
      </c>
      <c r="C425" s="46" t="str">
        <f>HYPERLINK("https://au.indeed.com/viewjob?jk=254f9b20ec022576","Site Engineer")</f>
        <v>Site Engineer</v>
      </c>
      <c r="D425" s="45" t="s">
        <v>419</v>
      </c>
      <c r="E425" s="48">
        <v>44186.631354166668</v>
      </c>
      <c r="F425" s="45" t="s">
        <v>164</v>
      </c>
    </row>
    <row r="426" spans="1:6" ht="14.25">
      <c r="A426" s="45"/>
      <c r="B426" s="45" t="s">
        <v>213</v>
      </c>
      <c r="C426" s="46" t="str">
        <f>HYPERLINK("https://au.indeed.com/viewjob?jk=a5a1f8b31271bba4","Civil Infrastructure – Site Engineer")</f>
        <v>Civil Infrastructure – Site Engineer</v>
      </c>
      <c r="D426" s="45" t="s">
        <v>460</v>
      </c>
      <c r="E426" s="48">
        <v>44186.631435185183</v>
      </c>
      <c r="F426" s="45" t="s">
        <v>164</v>
      </c>
    </row>
    <row r="427" spans="1:6" ht="14.25">
      <c r="A427" s="45"/>
      <c r="B427" s="45" t="s">
        <v>347</v>
      </c>
      <c r="C427" s="46" t="str">
        <f>HYPERLINK("https://au.indeed.com/viewjob?jk=29616298127a7084","Principal Product Engineer")</f>
        <v>Principal Product Engineer</v>
      </c>
      <c r="D427" s="45" t="s">
        <v>488</v>
      </c>
      <c r="E427" s="48">
        <v>44186.631516203706</v>
      </c>
      <c r="F427" s="45" t="s">
        <v>164</v>
      </c>
    </row>
    <row r="428" spans="1:6" ht="14.25">
      <c r="A428" s="45"/>
      <c r="B428" s="45" t="s">
        <v>347</v>
      </c>
      <c r="C428" s="46" t="str">
        <f>HYPERLINK("https://au.indeed.com/viewjob?jk=fd275adb012f8df3","DevOps/Product Engineer/Developer")</f>
        <v>DevOps/Product Engineer/Developer</v>
      </c>
      <c r="D428" s="45" t="s">
        <v>489</v>
      </c>
      <c r="E428" s="48">
        <v>44186.631562499999</v>
      </c>
      <c r="F428" s="45" t="s">
        <v>164</v>
      </c>
    </row>
    <row r="429" spans="1:6" ht="14.25">
      <c r="A429" s="45"/>
      <c r="B429" s="45" t="s">
        <v>347</v>
      </c>
      <c r="C429" s="46" t="str">
        <f>HYPERLINK("https://au.indeed.com/viewjob?jk=0f94254268ad1e39","Technical Product Engineer")</f>
        <v>Technical Product Engineer</v>
      </c>
      <c r="D429" s="45" t="s">
        <v>490</v>
      </c>
      <c r="E429" s="48">
        <v>44186.631608796299</v>
      </c>
      <c r="F429" s="45" t="s">
        <v>164</v>
      </c>
    </row>
    <row r="430" spans="1:6" ht="14.25">
      <c r="A430" s="45"/>
      <c r="B430" s="45" t="s">
        <v>347</v>
      </c>
      <c r="C430" s="46" t="str">
        <f>HYPERLINK("https://au.indeed.com/viewjob?jk=c2ea7c7c59717a98","Principal Product Engineer")</f>
        <v>Principal Product Engineer</v>
      </c>
      <c r="D430" s="45" t="s">
        <v>488</v>
      </c>
      <c r="E430" s="48">
        <v>44186.631655092591</v>
      </c>
      <c r="F430" s="45" t="s">
        <v>164</v>
      </c>
    </row>
    <row r="431" spans="1:6" ht="14.25">
      <c r="A431" s="45"/>
      <c r="B431" s="45" t="s">
        <v>347</v>
      </c>
      <c r="C431" s="46" t="str">
        <f>HYPERLINK("https://au.indeed.com/viewjob?jk=1cf18b3a9c1a693e","Senior Product Engineer")</f>
        <v>Senior Product Engineer</v>
      </c>
      <c r="D431" s="45" t="s">
        <v>488</v>
      </c>
      <c r="E431" s="48">
        <v>44186.631701388891</v>
      </c>
      <c r="F431" s="45" t="s">
        <v>164</v>
      </c>
    </row>
    <row r="432" spans="1:6" ht="14.25">
      <c r="A432" s="45"/>
      <c r="B432" s="45" t="s">
        <v>169</v>
      </c>
      <c r="C432" s="46" t="str">
        <f>HYPERLINK("https://au.indeed.com/viewjob?jk=f5165d7d00bee47a","Service Delivery Manager - Cloud")</f>
        <v>Service Delivery Manager - Cloud</v>
      </c>
      <c r="D432" s="45" t="s">
        <v>491</v>
      </c>
      <c r="E432" s="48">
        <v>44186.481168981481</v>
      </c>
      <c r="F432" s="45" t="s">
        <v>171</v>
      </c>
    </row>
    <row r="433" spans="1:6" ht="14.25">
      <c r="A433" s="45"/>
      <c r="B433" s="45" t="s">
        <v>169</v>
      </c>
      <c r="C433" s="46" t="str">
        <f>HYPERLINK("https://au.indeed.com/viewjob?jk=643234569ba2582a","Cloud Data Services Site Reliability Engineer")</f>
        <v>Cloud Data Services Site Reliability Engineer</v>
      </c>
      <c r="D433" s="45" t="s">
        <v>384</v>
      </c>
      <c r="E433" s="48">
        <v>44186.481261574074</v>
      </c>
      <c r="F433" s="45" t="s">
        <v>171</v>
      </c>
    </row>
    <row r="434" spans="1:6" ht="14.25">
      <c r="A434" s="45"/>
      <c r="B434" s="45" t="s">
        <v>169</v>
      </c>
      <c r="C434" s="46" t="str">
        <f>HYPERLINK("https://au.indeed.com/viewjob?jk=4f5e5f564b873271","Lead Solution Engineer | Service Cloud")</f>
        <v>Lead Solution Engineer | Service Cloud</v>
      </c>
      <c r="D434" s="45" t="s">
        <v>381</v>
      </c>
      <c r="E434" s="48">
        <v>44186.481342592589</v>
      </c>
      <c r="F434" s="45" t="s">
        <v>171</v>
      </c>
    </row>
    <row r="435" spans="1:6" ht="14.25">
      <c r="A435" s="45"/>
      <c r="B435" s="45" t="s">
        <v>169</v>
      </c>
      <c r="C435" s="46" t="str">
        <f>HYPERLINK("https://au.indeed.com/viewjob?jk=e18d2dac83572e11","Senior Cloud Engineer")</f>
        <v>Senior Cloud Engineer</v>
      </c>
      <c r="D435" s="45" t="s">
        <v>411</v>
      </c>
      <c r="E435" s="48">
        <v>44186.481412037036</v>
      </c>
      <c r="F435" s="45" t="s">
        <v>171</v>
      </c>
    </row>
    <row r="436" spans="1:6" ht="14.25">
      <c r="A436" s="45"/>
      <c r="B436" s="45" t="s">
        <v>169</v>
      </c>
      <c r="C436" s="46" t="str">
        <f>HYPERLINK("https://au.indeed.com/viewjob?jk=62698107c588c762","Cloud Engineer")</f>
        <v>Cloud Engineer</v>
      </c>
      <c r="D436" s="45" t="s">
        <v>484</v>
      </c>
      <c r="E436" s="48">
        <v>44186.481469907405</v>
      </c>
      <c r="F436" s="45" t="s">
        <v>171</v>
      </c>
    </row>
    <row r="437" spans="1:6" ht="14.25">
      <c r="A437" s="45"/>
      <c r="B437" s="45" t="s">
        <v>165</v>
      </c>
      <c r="C437" s="46" t="str">
        <f>HYPERLINK("https://au.indeed.com/viewjob?jk=9ac01c142b59da26","Senior Mechanical Engineer - Data Centre")</f>
        <v>Senior Mechanical Engineer - Data Centre</v>
      </c>
      <c r="D437" s="45" t="s">
        <v>356</v>
      </c>
      <c r="E437" s="48">
        <v>44188.739282407405</v>
      </c>
      <c r="F437" s="45" t="s">
        <v>164</v>
      </c>
    </row>
    <row r="438" spans="1:6" ht="14.25">
      <c r="A438" s="45"/>
      <c r="B438" s="45" t="s">
        <v>165</v>
      </c>
      <c r="C438" s="46" t="str">
        <f>HYPERLINK("https://au.indeed.com/viewjob?jk=2d346696011626ca","Senior Rolling Stock Engineer - Mechanical")</f>
        <v>Senior Rolling Stock Engineer - Mechanical</v>
      </c>
      <c r="D438" s="45" t="s">
        <v>353</v>
      </c>
      <c r="E438" s="48">
        <v>44188.739432870374</v>
      </c>
      <c r="F438" s="45" t="s">
        <v>164</v>
      </c>
    </row>
    <row r="439" spans="1:6" ht="14.25">
      <c r="A439" s="45"/>
      <c r="B439" s="45" t="s">
        <v>165</v>
      </c>
      <c r="C439" s="46" t="str">
        <f>HYPERLINK("https://au.indeed.com/viewjob?jk=56d366757d33198c","Lead Mechanical Engineer")</f>
        <v>Lead Mechanical Engineer</v>
      </c>
      <c r="D439" s="45" t="s">
        <v>414</v>
      </c>
      <c r="E439" s="48">
        <v>44188.739930555559</v>
      </c>
      <c r="F439" s="45" t="s">
        <v>164</v>
      </c>
    </row>
    <row r="440" spans="1:6" ht="14.25">
      <c r="A440" s="45"/>
      <c r="B440" s="45" t="s">
        <v>165</v>
      </c>
      <c r="C440" s="46" t="str">
        <f>HYPERLINK("https://au.indeed.com/viewjob?jk=5b52a616acecf56c","Senior Mechanical Engineer")</f>
        <v>Senior Mechanical Engineer</v>
      </c>
      <c r="D440" s="45" t="s">
        <v>354</v>
      </c>
      <c r="E440" s="48">
        <v>44188.740069444444</v>
      </c>
      <c r="F440" s="45" t="s">
        <v>164</v>
      </c>
    </row>
    <row r="441" spans="1:6" ht="14.25">
      <c r="A441" s="45"/>
      <c r="B441" s="45" t="s">
        <v>165</v>
      </c>
      <c r="C441" s="46" t="str">
        <f>HYPERLINK("https://au.indeed.com/viewjob?jk=cb922396402eaff2","Principal Mechanical Engineer")</f>
        <v>Principal Mechanical Engineer</v>
      </c>
      <c r="D441" s="45" t="s">
        <v>456</v>
      </c>
      <c r="E441" s="48">
        <v>44188.740231481483</v>
      </c>
      <c r="F441" s="45" t="s">
        <v>164</v>
      </c>
    </row>
    <row r="442" spans="1:6" ht="14.25">
      <c r="A442" s="45"/>
      <c r="B442" s="45" t="s">
        <v>165</v>
      </c>
      <c r="C442" s="46" t="str">
        <f>HYPERLINK("https://au.indeed.com/viewjob?jk=ee78f1843890ade7","Packaging &amp; Site Mechanical Engineer")</f>
        <v>Packaging &amp; Site Mechanical Engineer</v>
      </c>
      <c r="D442" s="45" t="s">
        <v>492</v>
      </c>
      <c r="E442" s="48">
        <v>44188.740358796298</v>
      </c>
      <c r="F442" s="45" t="s">
        <v>164</v>
      </c>
    </row>
    <row r="443" spans="1:6" ht="14.25">
      <c r="A443" s="45"/>
      <c r="B443" s="45" t="s">
        <v>165</v>
      </c>
      <c r="C443" s="46" t="str">
        <f>HYPERLINK("https://au.indeed.com/viewjob?jk=d1d94ff1023acd90","Lead Mechanical Engineer")</f>
        <v>Lead Mechanical Engineer</v>
      </c>
      <c r="D443" s="45" t="s">
        <v>414</v>
      </c>
      <c r="E443" s="48">
        <v>44188.740925925929</v>
      </c>
      <c r="F443" s="45" t="s">
        <v>164</v>
      </c>
    </row>
    <row r="444" spans="1:6" ht="14.25">
      <c r="A444" s="45"/>
      <c r="B444" s="45" t="s">
        <v>165</v>
      </c>
      <c r="C444" s="46" t="str">
        <f>HYPERLINK("https://au.indeed.com/viewjob?jk=510101d27ddc52a8","Mechanical Design Engineer - Data Centers")</f>
        <v>Mechanical Design Engineer - Data Centers</v>
      </c>
      <c r="D444" s="45" t="s">
        <v>369</v>
      </c>
      <c r="E444" s="48">
        <v>44189.228819444441</v>
      </c>
      <c r="F444" s="45" t="s">
        <v>164</v>
      </c>
    </row>
    <row r="445" spans="1:6" ht="14.25">
      <c r="A445" s="45"/>
      <c r="B445" s="45" t="s">
        <v>165</v>
      </c>
      <c r="C445" s="46" t="str">
        <f>HYPERLINK("https://au.indeed.com/viewjob?jk=ce45184e67dfa91d","Fitter General / Mechanical Engineer")</f>
        <v>Fitter General / Mechanical Engineer</v>
      </c>
      <c r="D445" s="45" t="s">
        <v>416</v>
      </c>
      <c r="E445" s="48">
        <v>44189.228946759256</v>
      </c>
      <c r="F445" s="45" t="s">
        <v>164</v>
      </c>
    </row>
    <row r="446" spans="1:6" ht="14.25">
      <c r="A446" s="45"/>
      <c r="B446" s="45" t="s">
        <v>165</v>
      </c>
      <c r="C446" s="46" t="str">
        <f>HYPERLINK("https://au.indeed.com/viewjob?jk=6e2405da587ebd04","Mechanical Engineer")</f>
        <v>Mechanical Engineer</v>
      </c>
      <c r="D446" s="45" t="s">
        <v>415</v>
      </c>
      <c r="E446" s="48">
        <v>44189.229039351849</v>
      </c>
      <c r="F446" s="45" t="s">
        <v>164</v>
      </c>
    </row>
    <row r="447" spans="1:6" ht="14.25">
      <c r="A447" s="45"/>
      <c r="B447" s="45" t="s">
        <v>165</v>
      </c>
      <c r="C447" s="46" t="str">
        <f>HYPERLINK("https://au.indeed.com/viewjob?jk=e0d32840cde15c11","Senior Mechanical Engineer")</f>
        <v>Senior Mechanical Engineer</v>
      </c>
      <c r="D447" s="45" t="s">
        <v>417</v>
      </c>
      <c r="E447" s="48">
        <v>44189.229143518518</v>
      </c>
      <c r="F447" s="45" t="s">
        <v>164</v>
      </c>
    </row>
    <row r="448" spans="1:6" ht="14.25">
      <c r="A448" s="45"/>
      <c r="B448" s="45" t="s">
        <v>165</v>
      </c>
      <c r="C448" s="46" t="str">
        <f>HYPERLINK("https://au.indeed.com/viewjob?jk=7048c1fc4f314e7e","Mechanical Engineer")</f>
        <v>Mechanical Engineer</v>
      </c>
      <c r="D448" s="45" t="s">
        <v>418</v>
      </c>
      <c r="E448" s="48">
        <v>44189.229247685187</v>
      </c>
      <c r="F448" s="45" t="s">
        <v>164</v>
      </c>
    </row>
    <row r="449" spans="1:6" ht="14.25">
      <c r="A449" s="45"/>
      <c r="B449" s="45" t="s">
        <v>162</v>
      </c>
      <c r="C449" s="46" t="str">
        <f>HYPERLINK("https://au.indeed.com/viewjob?jk=8516907a90b508ae","GRADUATE DESIGN ENGINEER")</f>
        <v>GRADUATE DESIGN ENGINEER</v>
      </c>
      <c r="D449" s="45" t="s">
        <v>493</v>
      </c>
      <c r="E449" s="48">
        <v>44189.230138888888</v>
      </c>
      <c r="F449" s="45" t="s">
        <v>164</v>
      </c>
    </row>
    <row r="450" spans="1:6" ht="14.25">
      <c r="A450" s="45"/>
      <c r="B450" s="45" t="s">
        <v>162</v>
      </c>
      <c r="C450" s="46" t="str">
        <f>HYPERLINK("https://au.indeed.com/viewjob?jk=263e383291c9bd50","Senior Civil Design Engineer")</f>
        <v>Senior Civil Design Engineer</v>
      </c>
      <c r="D450" s="45" t="s">
        <v>391</v>
      </c>
      <c r="E450" s="48">
        <v>44189.230231481481</v>
      </c>
      <c r="F450" s="45" t="s">
        <v>164</v>
      </c>
    </row>
    <row r="451" spans="1:6" ht="14.25">
      <c r="A451" s="45"/>
      <c r="B451" s="45" t="s">
        <v>162</v>
      </c>
      <c r="C451" s="46" t="str">
        <f>HYPERLINK("https://au.indeed.com/viewjob?jk=8cd0814476a1ef17","Design Engineer")</f>
        <v>Design Engineer</v>
      </c>
      <c r="D451" s="45" t="s">
        <v>474</v>
      </c>
      <c r="E451" s="48">
        <v>44189.23033564815</v>
      </c>
      <c r="F451" s="45" t="s">
        <v>164</v>
      </c>
    </row>
    <row r="452" spans="1:6" ht="14.25">
      <c r="A452" s="45"/>
      <c r="B452" s="45" t="s">
        <v>162</v>
      </c>
      <c r="C452" s="46" t="str">
        <f>HYPERLINK("https://au.indeed.com/viewjob?jk=0de2ee31524ba72b","Civil Design Engineer")</f>
        <v>Civil Design Engineer</v>
      </c>
      <c r="D452" s="45" t="s">
        <v>419</v>
      </c>
      <c r="E452" s="48">
        <v>44189.230428240742</v>
      </c>
      <c r="F452" s="45" t="s">
        <v>164</v>
      </c>
    </row>
    <row r="453" spans="1:6" ht="14.25">
      <c r="A453" s="45"/>
      <c r="B453" s="45" t="s">
        <v>162</v>
      </c>
      <c r="C453" s="46" t="str">
        <f>HYPERLINK("https://au.indeed.com/viewjob?jk=78425ca1d035c26c","Electrical Design Engineer - Data Centers")</f>
        <v>Electrical Design Engineer - Data Centers</v>
      </c>
      <c r="D453" s="45" t="s">
        <v>369</v>
      </c>
      <c r="E453" s="48">
        <v>44189.230532407404</v>
      </c>
      <c r="F453" s="45" t="s">
        <v>164</v>
      </c>
    </row>
    <row r="454" spans="1:6" ht="14.25">
      <c r="A454" s="45"/>
      <c r="B454" s="45" t="s">
        <v>162</v>
      </c>
      <c r="C454" s="46" t="str">
        <f>HYPERLINK("https://au.indeed.com/viewjob?jk=f1dea5d9081f1b58","Senior Design Engineer")</f>
        <v>Senior Design Engineer</v>
      </c>
      <c r="D454" s="45" t="s">
        <v>420</v>
      </c>
      <c r="E454" s="48">
        <v>44189.23064814815</v>
      </c>
      <c r="F454" s="45" t="s">
        <v>164</v>
      </c>
    </row>
    <row r="455" spans="1:6" ht="14.25">
      <c r="A455" s="45"/>
      <c r="B455" s="45" t="s">
        <v>162</v>
      </c>
      <c r="C455" s="46" t="str">
        <f>HYPERLINK("https://au.indeed.com/viewjob?jk=2c8a5cd5378079bd","Senior Engineer - Electrical Design (Lines)")</f>
        <v>Senior Engineer - Electrical Design (Lines)</v>
      </c>
      <c r="D455" s="45" t="s">
        <v>421</v>
      </c>
      <c r="E455" s="48">
        <v>44189.230775462966</v>
      </c>
      <c r="F455" s="45" t="s">
        <v>164</v>
      </c>
    </row>
    <row r="456" spans="1:6" ht="14.25">
      <c r="A456" s="45"/>
      <c r="B456" s="45" t="s">
        <v>162</v>
      </c>
      <c r="C456" s="46" t="str">
        <f>HYPERLINK("https://au.indeed.com/viewjob?jk=cc888c13f17ac8b0","Civil Design Engineer")</f>
        <v>Civil Design Engineer</v>
      </c>
      <c r="D456" s="45" t="s">
        <v>419</v>
      </c>
      <c r="E456" s="48">
        <v>44189.230879629627</v>
      </c>
      <c r="F456" s="45" t="s">
        <v>164</v>
      </c>
    </row>
    <row r="457" spans="1:6" ht="14.25">
      <c r="A457" s="45"/>
      <c r="B457" s="45" t="s">
        <v>162</v>
      </c>
      <c r="C457" s="46" t="str">
        <f>HYPERLINK("https://au.indeed.com/viewjob?jk=ea616289f0650c7c","Product Design Engineer")</f>
        <v>Product Design Engineer</v>
      </c>
      <c r="D457" s="45" t="s">
        <v>414</v>
      </c>
      <c r="E457" s="48">
        <v>44189.23097222222</v>
      </c>
      <c r="F457" s="45" t="s">
        <v>164</v>
      </c>
    </row>
    <row r="458" spans="1:6" ht="14.25">
      <c r="A458" s="45"/>
      <c r="B458" s="45" t="s">
        <v>162</v>
      </c>
      <c r="C458" s="46" t="str">
        <f>HYPERLINK("https://au.indeed.com/viewjob?jk=9a6d19a899dcc1fd","Mechanical Design Engineer")</f>
        <v>Mechanical Design Engineer</v>
      </c>
      <c r="D458" s="45" t="s">
        <v>414</v>
      </c>
      <c r="E458" s="48">
        <v>44189.231064814812</v>
      </c>
      <c r="F458" s="45" t="s">
        <v>164</v>
      </c>
    </row>
    <row r="459" spans="1:6" ht="14.25">
      <c r="A459" s="45"/>
      <c r="B459" s="45" t="s">
        <v>162</v>
      </c>
      <c r="C459" s="46" t="str">
        <f>HYPERLINK("https://au.indeed.com/viewjob?jk=f746f35929b560d0","Senior Storage &amp; Cloud Design Engineer")</f>
        <v>Senior Storage &amp; Cloud Design Engineer</v>
      </c>
      <c r="D459" s="45" t="s">
        <v>375</v>
      </c>
      <c r="E459" s="48">
        <v>44189.704907407409</v>
      </c>
      <c r="F459" s="45" t="s">
        <v>164</v>
      </c>
    </row>
    <row r="460" spans="1:6" ht="14.25">
      <c r="A460" s="45"/>
      <c r="B460" s="45" t="s">
        <v>162</v>
      </c>
      <c r="C460" s="46" t="str">
        <f>HYPERLINK("https://au.indeed.com/viewjob?jk=827bbca73acc9162","Senior Mechanical Design Engineer")</f>
        <v>Senior Mechanical Design Engineer</v>
      </c>
      <c r="D460" s="45" t="s">
        <v>414</v>
      </c>
      <c r="E460" s="48">
        <v>44189.705011574071</v>
      </c>
      <c r="F460" s="45" t="s">
        <v>164</v>
      </c>
    </row>
    <row r="461" spans="1:6" ht="14.25">
      <c r="A461" s="45"/>
      <c r="B461" s="45" t="s">
        <v>162</v>
      </c>
      <c r="C461" s="46" t="str">
        <f>HYPERLINK("https://au.indeed.com/viewjob?jk=a49f06da90992981","Civil Design Engineer")</f>
        <v>Civil Design Engineer</v>
      </c>
      <c r="D461" s="45" t="s">
        <v>422</v>
      </c>
      <c r="E461" s="48">
        <v>44189.70511574074</v>
      </c>
      <c r="F461" s="45" t="s">
        <v>164</v>
      </c>
    </row>
    <row r="462" spans="1:6" ht="14.25">
      <c r="A462" s="45"/>
      <c r="B462" s="45" t="s">
        <v>162</v>
      </c>
      <c r="C462" s="46" t="str">
        <f>HYPERLINK("https://au.indeed.com/viewjob?jk=26ccc82b0b6887f8","Product Design Engineer")</f>
        <v>Product Design Engineer</v>
      </c>
      <c r="D462" s="45" t="s">
        <v>414</v>
      </c>
      <c r="E462" s="48">
        <v>44189.705891203703</v>
      </c>
      <c r="F462" s="45" t="s">
        <v>164</v>
      </c>
    </row>
    <row r="463" spans="1:6" ht="14.25">
      <c r="A463" s="45"/>
      <c r="B463" s="45" t="s">
        <v>162</v>
      </c>
      <c r="C463" s="46" t="str">
        <f>HYPERLINK("https://au.indeed.com/viewjob?jk=4305d5d4cce88bbd","Electrical Design Engineer - Data Centers")</f>
        <v>Electrical Design Engineer - Data Centers</v>
      </c>
      <c r="D463" s="45" t="s">
        <v>423</v>
      </c>
      <c r="E463" s="48">
        <v>44189.70684027778</v>
      </c>
      <c r="F463" s="45" t="s">
        <v>164</v>
      </c>
    </row>
    <row r="464" spans="1:6" ht="14.25">
      <c r="A464" s="45"/>
      <c r="B464" s="45" t="s">
        <v>162</v>
      </c>
      <c r="C464" s="46" t="str">
        <f>HYPERLINK("https://au.indeed.com/viewjob?jk=4c3f0bd1b7c6272d","Senior Civil Design Engineer (Stormwater)")</f>
        <v>Senior Civil Design Engineer (Stormwater)</v>
      </c>
      <c r="D464" s="45" t="s">
        <v>214</v>
      </c>
      <c r="E464" s="48">
        <v>44189.706979166665</v>
      </c>
      <c r="F464" s="45" t="s">
        <v>164</v>
      </c>
    </row>
    <row r="465" spans="1:6" ht="14.25">
      <c r="A465" s="45"/>
      <c r="B465" s="45" t="s">
        <v>162</v>
      </c>
      <c r="C465" s="46" t="str">
        <f>HYPERLINK("https://au.indeed.com/viewjob?jk=6b36bc3dd24a6c9a","Senior Product Design Engineer")</f>
        <v>Senior Product Design Engineer</v>
      </c>
      <c r="D465" s="45" t="s">
        <v>424</v>
      </c>
      <c r="E465" s="48">
        <v>44189.707071759258</v>
      </c>
      <c r="F465" s="45" t="s">
        <v>164</v>
      </c>
    </row>
    <row r="466" spans="1:6" ht="14.25">
      <c r="A466" s="45"/>
      <c r="B466" s="45" t="s">
        <v>162</v>
      </c>
      <c r="C466" s="46" t="str">
        <f>HYPERLINK("https://au.indeed.com/viewjob?jk=4673b7a4b2ffd2e9","Software Design Engineer - Graphics Simulation (Sydney Australia)")</f>
        <v>Software Design Engineer - Graphics Simulation (Sydney Australia)</v>
      </c>
      <c r="D466" s="45" t="s">
        <v>425</v>
      </c>
      <c r="E466" s="48">
        <v>44189.707187499997</v>
      </c>
      <c r="F466" s="45" t="s">
        <v>164</v>
      </c>
    </row>
    <row r="467" spans="1:6" ht="14.25">
      <c r="A467" s="45"/>
      <c r="B467" s="45" t="s">
        <v>162</v>
      </c>
      <c r="C467" s="46" t="str">
        <f>HYPERLINK("https://au.indeed.com/viewjob?jk=9004b81ca99f6d3b","SENIOR SIGNALING DESIGN ENGINEER")</f>
        <v>SENIOR SIGNALING DESIGN ENGINEER</v>
      </c>
      <c r="D467" s="45" t="s">
        <v>426</v>
      </c>
      <c r="E467" s="48">
        <v>44189.707280092596</v>
      </c>
      <c r="F467" s="45" t="s">
        <v>164</v>
      </c>
    </row>
    <row r="468" spans="1:6" ht="14.25">
      <c r="A468" s="45"/>
      <c r="B468" s="45" t="s">
        <v>162</v>
      </c>
      <c r="C468" s="46" t="str">
        <f>HYPERLINK("https://au.indeed.com/viewjob?jk=c4f03d7878cf71c6","DC Design Engineer")</f>
        <v>DC Design Engineer</v>
      </c>
      <c r="D468" s="45" t="s">
        <v>427</v>
      </c>
      <c r="E468" s="48">
        <v>44189.707384259258</v>
      </c>
      <c r="F468" s="45" t="s">
        <v>164</v>
      </c>
    </row>
    <row r="469" spans="1:6" ht="14.25">
      <c r="A469" s="45"/>
      <c r="B469" s="45" t="s">
        <v>162</v>
      </c>
      <c r="C469" s="46" t="str">
        <f>HYPERLINK("https://au.indeed.com/viewjob?jk=5e0b31c5acc5ba0e","Design Engineer")</f>
        <v>Design Engineer</v>
      </c>
      <c r="D469" s="45" t="s">
        <v>494</v>
      </c>
      <c r="E469" s="48">
        <v>44189.707476851851</v>
      </c>
      <c r="F469" s="45" t="s">
        <v>164</v>
      </c>
    </row>
    <row r="470" spans="1:6" ht="14.25">
      <c r="A470" s="45"/>
      <c r="B470" s="45" t="s">
        <v>162</v>
      </c>
      <c r="C470" s="46" t="str">
        <f>HYPERLINK("https://au.indeed.com/viewjob?jk=bcf1cbd50bad870f","Biomedical Design Engineer")</f>
        <v>Biomedical Design Engineer</v>
      </c>
      <c r="D470" s="45" t="s">
        <v>428</v>
      </c>
      <c r="E470" s="48">
        <v>44189.707627314812</v>
      </c>
      <c r="F470" s="45" t="s">
        <v>164</v>
      </c>
    </row>
    <row r="471" spans="1:6" ht="14.25">
      <c r="A471" s="45"/>
      <c r="B471" s="45" t="s">
        <v>162</v>
      </c>
      <c r="C471" s="46" t="str">
        <f>HYPERLINK("https://au.indeed.com/viewjob?jk=fbdd55293cee59da","Senior Mechanical Design Engineer")</f>
        <v>Senior Mechanical Design Engineer</v>
      </c>
      <c r="D471" s="45" t="s">
        <v>414</v>
      </c>
      <c r="E471" s="48">
        <v>44189.707743055558</v>
      </c>
      <c r="F471" s="45" t="s">
        <v>164</v>
      </c>
    </row>
    <row r="472" spans="1:6" ht="14.25">
      <c r="A472" s="45"/>
      <c r="B472" s="45" t="s">
        <v>186</v>
      </c>
      <c r="C472" s="46" t="str">
        <f>HYPERLINK("https://au.indeed.com/viewjob?jk=9daffd5a8ac52b71","Software Development Engineer (Load Balancing)")</f>
        <v>Software Development Engineer (Load Balancing)</v>
      </c>
      <c r="D472" s="45" t="s">
        <v>429</v>
      </c>
      <c r="E472" s="48">
        <v>44189.707870370374</v>
      </c>
      <c r="F472" s="45" t="s">
        <v>164</v>
      </c>
    </row>
    <row r="473" spans="1:6" ht="14.25">
      <c r="A473" s="45"/>
      <c r="B473" s="45" t="s">
        <v>186</v>
      </c>
      <c r="C473" s="46" t="str">
        <f>HYPERLINK("https://au.indeed.com/viewjob?jk=afac043a3b4cbb86","Service Development Engineer")</f>
        <v>Service Development Engineer</v>
      </c>
      <c r="D473" s="45" t="s">
        <v>494</v>
      </c>
      <c r="E473" s="48">
        <v>44189.707986111112</v>
      </c>
      <c r="F473" s="45" t="s">
        <v>164</v>
      </c>
    </row>
    <row r="474" spans="1:6" ht="14.25">
      <c r="A474" s="45"/>
      <c r="B474" s="45" t="s">
        <v>186</v>
      </c>
      <c r="C474" s="46" t="str">
        <f>HYPERLINK("https://au.indeed.com/viewjob?jk=57707e51a636dfd5","Systems Development Engineer – Data Center Operations")</f>
        <v>Systems Development Engineer – Data Center Operations</v>
      </c>
      <c r="D474" s="45" t="s">
        <v>423</v>
      </c>
      <c r="E474" s="48">
        <v>44189.708090277774</v>
      </c>
      <c r="F474" s="45" t="s">
        <v>164</v>
      </c>
    </row>
    <row r="475" spans="1:6" ht="14.25">
      <c r="A475" s="45"/>
      <c r="B475" s="45" t="s">
        <v>186</v>
      </c>
      <c r="C475" s="46" t="str">
        <f>HYPERLINK("https://au.indeed.com/viewjob?jk=4395564a68a2ab5c","Software Development Engineer - AWS Redshift")</f>
        <v>Software Development Engineer - AWS Redshift</v>
      </c>
      <c r="D475" s="45" t="s">
        <v>369</v>
      </c>
      <c r="E475" s="48">
        <v>44189.70821759259</v>
      </c>
      <c r="F475" s="45" t="s">
        <v>164</v>
      </c>
    </row>
    <row r="476" spans="1:6" ht="14.25">
      <c r="A476" s="45"/>
      <c r="B476" s="45" t="s">
        <v>186</v>
      </c>
      <c r="C476" s="46" t="str">
        <f>HYPERLINK("https://au.indeed.com/viewjob?jk=f8bb51e4b12c7026","Software Development Engineer - AWS")</f>
        <v>Software Development Engineer - AWS</v>
      </c>
      <c r="D476" s="45" t="s">
        <v>369</v>
      </c>
      <c r="E476" s="48">
        <v>44189.708321759259</v>
      </c>
      <c r="F476" s="45" t="s">
        <v>164</v>
      </c>
    </row>
    <row r="477" spans="1:6" ht="14.25">
      <c r="A477" s="45"/>
      <c r="B477" s="45" t="s">
        <v>186</v>
      </c>
      <c r="C477" s="46" t="str">
        <f>HYPERLINK("https://au.indeed.com/viewjob?jk=7941c9ce4d606127","Sr. System Development Engineer")</f>
        <v>Sr. System Development Engineer</v>
      </c>
      <c r="D477" s="45" t="s">
        <v>429</v>
      </c>
      <c r="E477" s="48">
        <v>44189.708425925928</v>
      </c>
      <c r="F477" s="45" t="s">
        <v>164</v>
      </c>
    </row>
    <row r="478" spans="1:6" ht="14.25">
      <c r="A478" s="45"/>
      <c r="B478" s="45" t="s">
        <v>186</v>
      </c>
      <c r="C478" s="46" t="str">
        <f>HYPERLINK("https://au.indeed.com/viewjob?jk=58774d5dfa61c6c4","Software Development Engineer - AWS - Networking")</f>
        <v>Software Development Engineer - AWS - Networking</v>
      </c>
      <c r="D478" s="45" t="s">
        <v>423</v>
      </c>
      <c r="E478" s="48">
        <v>44189.70853009259</v>
      </c>
      <c r="F478" s="45" t="s">
        <v>164</v>
      </c>
    </row>
    <row r="479" spans="1:6" ht="14.25">
      <c r="A479" s="45"/>
      <c r="B479" s="45" t="s">
        <v>186</v>
      </c>
      <c r="C479" s="46" t="str">
        <f>HYPERLINK("https://au.indeed.com/viewjob?jk=70939e1725eb08af","Software Development Engineer - AWS Redshift")</f>
        <v>Software Development Engineer - AWS Redshift</v>
      </c>
      <c r="D479" s="45" t="s">
        <v>369</v>
      </c>
      <c r="E479" s="48">
        <v>44189.708634259259</v>
      </c>
      <c r="F479" s="45" t="s">
        <v>164</v>
      </c>
    </row>
    <row r="480" spans="1:6" ht="14.25">
      <c r="A480" s="45"/>
      <c r="B480" s="45" t="s">
        <v>186</v>
      </c>
      <c r="C480" s="46" t="str">
        <f>HYPERLINK("https://au.indeed.com/viewjob?jk=ee8fa3942396be0a","Quality Development Engineer (Lab)")</f>
        <v>Quality Development Engineer (Lab)</v>
      </c>
      <c r="D480" s="45" t="s">
        <v>430</v>
      </c>
      <c r="E480" s="48">
        <v>44189.708738425928</v>
      </c>
      <c r="F480" s="45" t="s">
        <v>164</v>
      </c>
    </row>
    <row r="481" spans="1:6" ht="14.25">
      <c r="A481" s="45"/>
      <c r="B481" s="45" t="s">
        <v>186</v>
      </c>
      <c r="C481" s="46" t="str">
        <f>HYPERLINK("https://au.indeed.com/viewjob?jk=d564e8b662a6617e","Software Development Engineer - New AWS Service")</f>
        <v>Software Development Engineer - New AWS Service</v>
      </c>
      <c r="D481" s="45" t="s">
        <v>429</v>
      </c>
      <c r="E481" s="48">
        <v>44189.708865740744</v>
      </c>
      <c r="F481" s="45" t="s">
        <v>164</v>
      </c>
    </row>
    <row r="482" spans="1:6" ht="14.25">
      <c r="A482" s="45"/>
      <c r="B482" s="45" t="s">
        <v>186</v>
      </c>
      <c r="C482" s="46" t="str">
        <f>HYPERLINK("https://au.indeed.com/viewjob?jk=7a725a34a5380131","Network Development Engineer")</f>
        <v>Network Development Engineer</v>
      </c>
      <c r="D482" s="45" t="s">
        <v>423</v>
      </c>
      <c r="E482" s="48">
        <v>44189.708969907406</v>
      </c>
      <c r="F482" s="45" t="s">
        <v>164</v>
      </c>
    </row>
    <row r="483" spans="1:6" ht="14.25">
      <c r="A483" s="45"/>
      <c r="B483" s="45" t="s">
        <v>186</v>
      </c>
      <c r="C483" s="46" t="str">
        <f>HYPERLINK("https://au.indeed.com/viewjob?jk=70e20bd48cb3fcb6","Network Development Engineer")</f>
        <v>Network Development Engineer</v>
      </c>
      <c r="D483" s="45" t="s">
        <v>423</v>
      </c>
      <c r="E483" s="48">
        <v>44189.709074074075</v>
      </c>
      <c r="F483" s="45" t="s">
        <v>164</v>
      </c>
    </row>
    <row r="484" spans="1:6" ht="14.25">
      <c r="A484" s="45"/>
      <c r="B484" s="45" t="s">
        <v>186</v>
      </c>
      <c r="C484" s="46" t="str">
        <f>HYPERLINK("https://au.indeed.com/viewjob?jk=db9208499a5cb5e6","Software Development Engineer - AWS Redshift")</f>
        <v>Software Development Engineer - AWS Redshift</v>
      </c>
      <c r="D484" s="45" t="s">
        <v>369</v>
      </c>
      <c r="E484" s="48">
        <v>44189.709189814814</v>
      </c>
      <c r="F484" s="45" t="s">
        <v>164</v>
      </c>
    </row>
    <row r="485" spans="1:6" ht="14.25">
      <c r="A485" s="45"/>
      <c r="B485" s="45" t="s">
        <v>186</v>
      </c>
      <c r="C485" s="46" t="str">
        <f>HYPERLINK("https://au.indeed.com/viewjob?jk=2bfdcedd34946d79","Network Development Engineer")</f>
        <v>Network Development Engineer</v>
      </c>
      <c r="D485" s="45" t="s">
        <v>423</v>
      </c>
      <c r="E485" s="48">
        <v>44189.709282407406</v>
      </c>
      <c r="F485" s="45" t="s">
        <v>164</v>
      </c>
    </row>
    <row r="486" spans="1:6" ht="14.25">
      <c r="A486" s="45"/>
      <c r="B486" s="45" t="s">
        <v>186</v>
      </c>
      <c r="C486" s="46" t="str">
        <f>HYPERLINK("https://au.indeed.com/viewjob?jk=c9035e6c25f942e8","Network Development Engineer - Core Networks - Automation")</f>
        <v>Network Development Engineer - Core Networks - Automation</v>
      </c>
      <c r="D486" s="45" t="s">
        <v>423</v>
      </c>
      <c r="E486" s="48">
        <v>44189.709409722222</v>
      </c>
      <c r="F486" s="45" t="s">
        <v>164</v>
      </c>
    </row>
    <row r="487" spans="1:6" ht="14.25">
      <c r="A487" s="45"/>
      <c r="B487" s="45" t="s">
        <v>186</v>
      </c>
      <c r="C487" s="46" t="str">
        <f>HYPERLINK("https://au.indeed.com/viewjob?jk=b3f9e219bb6a4af8","Sr. Network Development Engineer")</f>
        <v>Sr. Network Development Engineer</v>
      </c>
      <c r="D487" s="45" t="s">
        <v>423</v>
      </c>
      <c r="E487" s="48">
        <v>44189.709907407407</v>
      </c>
      <c r="F487" s="45" t="s">
        <v>164</v>
      </c>
    </row>
    <row r="488" spans="1:6" ht="14.25">
      <c r="A488" s="45"/>
      <c r="B488" s="45" t="s">
        <v>186</v>
      </c>
      <c r="C488" s="46" t="str">
        <f>HYPERLINK("https://au.indeed.com/viewjob?jk=fe23a35e11ff9fec","Sr. Software Development Engineer")</f>
        <v>Sr. Software Development Engineer</v>
      </c>
      <c r="D488" s="45" t="s">
        <v>369</v>
      </c>
      <c r="E488" s="48">
        <v>44189.710023148145</v>
      </c>
      <c r="F488" s="45" t="s">
        <v>164</v>
      </c>
    </row>
    <row r="489" spans="1:6" ht="14.25">
      <c r="A489" s="45"/>
      <c r="B489" s="45" t="s">
        <v>186</v>
      </c>
      <c r="C489" s="46" t="str">
        <f>HYPERLINK("https://au.indeed.com/viewjob?jk=d306b019690b274c","Network Development Engineer")</f>
        <v>Network Development Engineer</v>
      </c>
      <c r="D489" s="45" t="s">
        <v>423</v>
      </c>
      <c r="E489" s="48">
        <v>44189.710127314815</v>
      </c>
      <c r="F489" s="45" t="s">
        <v>164</v>
      </c>
    </row>
    <row r="490" spans="1:6" ht="14.25">
      <c r="A490" s="45"/>
      <c r="B490" s="45" t="s">
        <v>186</v>
      </c>
      <c r="C490" s="46" t="str">
        <f>HYPERLINK("https://au.indeed.com/viewjob?jk=8b33a457c2965004","Senior Systems Development Engineer")</f>
        <v>Senior Systems Development Engineer</v>
      </c>
      <c r="D490" s="45" t="s">
        <v>369</v>
      </c>
      <c r="E490" s="48">
        <v>44189.710243055553</v>
      </c>
      <c r="F490" s="45" t="s">
        <v>164</v>
      </c>
    </row>
    <row r="491" spans="1:6" ht="14.25">
      <c r="A491" s="45"/>
      <c r="B491" s="45" t="s">
        <v>186</v>
      </c>
      <c r="C491" s="46" t="str">
        <f>HYPERLINK("https://au.indeed.com/viewjob?jk=89304a16a3929ee9","Senior Software Development Engineer in Test")</f>
        <v>Senior Software Development Engineer in Test</v>
      </c>
      <c r="D491" s="45" t="s">
        <v>187</v>
      </c>
      <c r="E491" s="48">
        <v>44189.710347222222</v>
      </c>
      <c r="F491" s="45" t="s">
        <v>164</v>
      </c>
    </row>
    <row r="492" spans="1:6" ht="14.25">
      <c r="A492" s="45"/>
      <c r="B492" s="45" t="s">
        <v>186</v>
      </c>
      <c r="C492" s="46" t="str">
        <f>HYPERLINK("https://au.indeed.com/viewjob?jk=7a6b7e451095607c","Network Development Engineer - Direct Connect")</f>
        <v>Network Development Engineer - Direct Connect</v>
      </c>
      <c r="D492" s="45" t="s">
        <v>423</v>
      </c>
      <c r="E492" s="48">
        <v>44189.710462962961</v>
      </c>
      <c r="F492" s="45" t="s">
        <v>164</v>
      </c>
    </row>
    <row r="493" spans="1:6" ht="14.25">
      <c r="A493" s="45"/>
      <c r="B493" s="45" t="s">
        <v>186</v>
      </c>
      <c r="C493" s="46" t="str">
        <f>HYPERLINK("https://au.indeed.com/viewjob?jk=439ae44f99274363","System Development Engineer")</f>
        <v>System Development Engineer</v>
      </c>
      <c r="D493" s="45" t="s">
        <v>429</v>
      </c>
      <c r="E493" s="48">
        <v>44189.710578703707</v>
      </c>
      <c r="F493" s="45" t="s">
        <v>164</v>
      </c>
    </row>
    <row r="494" spans="1:6" ht="14.25">
      <c r="A494" s="45"/>
      <c r="B494" s="45" t="s">
        <v>186</v>
      </c>
      <c r="C494" s="46" t="str">
        <f>HYPERLINK("https://au.indeed.com/viewjob?jk=2757151eba00ffea","Systems Development Engineer")</f>
        <v>Systems Development Engineer</v>
      </c>
      <c r="D494" s="45" t="s">
        <v>369</v>
      </c>
      <c r="E494" s="48">
        <v>44189.710694444446</v>
      </c>
      <c r="F494" s="45" t="s">
        <v>164</v>
      </c>
    </row>
    <row r="495" spans="1:6" ht="14.25">
      <c r="A495" s="45"/>
      <c r="B495" s="45" t="s">
        <v>186</v>
      </c>
      <c r="C495" s="46" t="str">
        <f>HYPERLINK("https://au.indeed.com/viewjob?jk=de10751bcf455db8","Network Development Engineer")</f>
        <v>Network Development Engineer</v>
      </c>
      <c r="D495" s="45" t="s">
        <v>423</v>
      </c>
      <c r="E495" s="48">
        <v>44189.710844907408</v>
      </c>
      <c r="F495" s="45" t="s">
        <v>164</v>
      </c>
    </row>
    <row r="496" spans="1:6" ht="14.25">
      <c r="A496" s="45"/>
      <c r="B496" s="45" t="s">
        <v>167</v>
      </c>
      <c r="C496" s="46" t="str">
        <f>HYPERLINK("https://au.indeed.com/viewjob?jk=8510f12f7b8f2e06","Senior Infrastructure Engineer")</f>
        <v>Senior Infrastructure Engineer</v>
      </c>
      <c r="D496" s="45" t="s">
        <v>432</v>
      </c>
      <c r="E496" s="48">
        <v>44189.711527777778</v>
      </c>
      <c r="F496" s="45" t="s">
        <v>164</v>
      </c>
    </row>
    <row r="497" spans="1:6" ht="14.25">
      <c r="A497" s="45"/>
      <c r="B497" s="45" t="s">
        <v>167</v>
      </c>
      <c r="C497" s="46" t="str">
        <f>HYPERLINK("https://au.indeed.com/viewjob?jk=578c85626f503e10","Security &amp; Infrastructure Engineer")</f>
        <v>Security &amp; Infrastructure Engineer</v>
      </c>
      <c r="D497" s="45" t="s">
        <v>433</v>
      </c>
      <c r="E497" s="48">
        <v>44189.71166666667</v>
      </c>
      <c r="F497" s="45" t="s">
        <v>164</v>
      </c>
    </row>
    <row r="498" spans="1:6" ht="14.25">
      <c r="A498" s="45"/>
      <c r="B498" s="45" t="s">
        <v>167</v>
      </c>
      <c r="C498" s="46" t="str">
        <f>HYPERLINK("https://au.indeed.com/viewjob?jk=49ec23c9cee7739a","Senior Infrastructure Engineer")</f>
        <v>Senior Infrastructure Engineer</v>
      </c>
      <c r="D498" s="45" t="s">
        <v>412</v>
      </c>
      <c r="E498" s="48">
        <v>44189.711817129632</v>
      </c>
      <c r="F498" s="45" t="s">
        <v>164</v>
      </c>
    </row>
    <row r="499" spans="1:6" ht="14.25">
      <c r="A499" s="45"/>
      <c r="B499" s="45" t="s">
        <v>167</v>
      </c>
      <c r="C499" s="46" t="str">
        <f>HYPERLINK("https://au.indeed.com/viewjob?jk=3c9898f57b914c99","Infrastructure Engineer")</f>
        <v>Infrastructure Engineer</v>
      </c>
      <c r="D499" s="45" t="s">
        <v>434</v>
      </c>
      <c r="E499" s="48">
        <v>44189.711967592593</v>
      </c>
      <c r="F499" s="45" t="s">
        <v>164</v>
      </c>
    </row>
    <row r="500" spans="1:6" ht="14.25">
      <c r="A500" s="45"/>
      <c r="B500" s="45" t="s">
        <v>167</v>
      </c>
      <c r="C500" s="46" t="str">
        <f>HYPERLINK("https://au.indeed.com/viewjob?jk=993b2779fcd079f3","System Infrastructure Engineer")</f>
        <v>System Infrastructure Engineer</v>
      </c>
      <c r="D500" s="45" t="s">
        <v>495</v>
      </c>
      <c r="E500" s="48">
        <v>44189.712060185186</v>
      </c>
      <c r="F500" s="45" t="s">
        <v>164</v>
      </c>
    </row>
    <row r="501" spans="1:6" ht="14.25">
      <c r="A501" s="45"/>
      <c r="B501" s="45" t="s">
        <v>167</v>
      </c>
      <c r="C501" s="46" t="str">
        <f>HYPERLINK("https://au.indeed.com/viewjob?jk=f29121690d193e2b","IT Infrastructure Engineer")</f>
        <v>IT Infrastructure Engineer</v>
      </c>
      <c r="D501" s="45" t="s">
        <v>435</v>
      </c>
      <c r="E501" s="48">
        <v>44189.712187500001</v>
      </c>
      <c r="F501" s="45" t="s">
        <v>164</v>
      </c>
    </row>
    <row r="502" spans="1:6" ht="14.25">
      <c r="A502" s="45"/>
      <c r="B502" s="45" t="s">
        <v>167</v>
      </c>
      <c r="C502" s="46" t="str">
        <f>HYPERLINK("https://au.indeed.com/viewjob?jk=05b2eb83610f608b","Infrastructure Engineer")</f>
        <v>Infrastructure Engineer</v>
      </c>
      <c r="D502" s="45" t="s">
        <v>436</v>
      </c>
      <c r="E502" s="48">
        <v>44189.712291666663</v>
      </c>
      <c r="F502" s="45" t="s">
        <v>164</v>
      </c>
    </row>
    <row r="503" spans="1:6" ht="14.25">
      <c r="A503" s="45"/>
      <c r="B503" s="45" t="s">
        <v>167</v>
      </c>
      <c r="C503" s="46" t="str">
        <f>HYPERLINK("https://au.indeed.com/viewjob?jk=e2d265fbbfdc37c0","Principle Infrastructure Engineer Cloud and DevOps")</f>
        <v>Principle Infrastructure Engineer Cloud and DevOps</v>
      </c>
      <c r="D503" s="45" t="s">
        <v>432</v>
      </c>
      <c r="E503" s="48">
        <v>44189.712858796294</v>
      </c>
      <c r="F503" s="45" t="s">
        <v>164</v>
      </c>
    </row>
    <row r="504" spans="1:6" ht="14.25">
      <c r="A504" s="45"/>
      <c r="B504" s="45" t="s">
        <v>167</v>
      </c>
      <c r="C504" s="46" t="str">
        <f>HYPERLINK("https://au.indeed.com/viewjob?jk=59d679cbf57b4ab4","Flood / Storm water Infrastructure Engineer")</f>
        <v>Flood / Storm water Infrastructure Engineer</v>
      </c>
      <c r="D504" s="45" t="s">
        <v>437</v>
      </c>
      <c r="E504" s="48">
        <v>44189.71298611111</v>
      </c>
      <c r="F504" s="45" t="s">
        <v>164</v>
      </c>
    </row>
    <row r="505" spans="1:6" ht="14.25">
      <c r="A505" s="45"/>
      <c r="B505" s="45" t="s">
        <v>167</v>
      </c>
      <c r="C505" s="46" t="str">
        <f>HYPERLINK("https://au.indeed.com/viewjob?jk=7f9ba3811420828d","Senior Lead Infrastructure Engineer/ Specialist")</f>
        <v>Senior Lead Infrastructure Engineer/ Specialist</v>
      </c>
      <c r="D505" s="45" t="s">
        <v>432</v>
      </c>
      <c r="E505" s="48">
        <v>44189.713101851848</v>
      </c>
      <c r="F505" s="45" t="s">
        <v>164</v>
      </c>
    </row>
    <row r="506" spans="1:6" ht="14.25">
      <c r="A506" s="45"/>
      <c r="B506" s="45" t="s">
        <v>167</v>
      </c>
      <c r="C506" s="46" t="str">
        <f>HYPERLINK("https://au.indeed.com/viewjob?jk=5f1222c4b0115bc1","Infrastructure Engineer")</f>
        <v>Infrastructure Engineer</v>
      </c>
      <c r="D506" s="45" t="s">
        <v>438</v>
      </c>
      <c r="E506" s="48">
        <v>44189.713229166664</v>
      </c>
      <c r="F506" s="45" t="s">
        <v>164</v>
      </c>
    </row>
    <row r="507" spans="1:6" ht="14.25">
      <c r="A507" s="45"/>
      <c r="B507" s="45" t="s">
        <v>167</v>
      </c>
      <c r="C507" s="46" t="str">
        <f>HYPERLINK("https://au.indeed.com/viewjob?jk=c2443e051126216e","Infrastructure Engineer")</f>
        <v>Infrastructure Engineer</v>
      </c>
      <c r="D507" s="45" t="s">
        <v>439</v>
      </c>
      <c r="E507" s="48">
        <v>44189.713518518518</v>
      </c>
      <c r="F507" s="45" t="s">
        <v>164</v>
      </c>
    </row>
    <row r="508" spans="1:6" ht="14.25">
      <c r="A508" s="45"/>
      <c r="B508" s="45" t="s">
        <v>167</v>
      </c>
      <c r="C508" s="46" t="str">
        <f>HYPERLINK("https://au.indeed.com/viewjob?jk=e60796b4ad78aa24","Infrastructure Engineer")</f>
        <v>Infrastructure Engineer</v>
      </c>
      <c r="D508" s="45" t="s">
        <v>440</v>
      </c>
      <c r="E508" s="48">
        <v>44189.713622685187</v>
      </c>
      <c r="F508" s="45" t="s">
        <v>164</v>
      </c>
    </row>
    <row r="509" spans="1:6" ht="14.25">
      <c r="A509" s="45"/>
      <c r="B509" s="45" t="s">
        <v>167</v>
      </c>
      <c r="C509" s="46" t="str">
        <f>HYPERLINK("https://au.indeed.com/viewjob?jk=dd4208e5a3efdeb2","Principle DevOps Infrastructure Engineer")</f>
        <v>Principle DevOps Infrastructure Engineer</v>
      </c>
      <c r="D509" s="45" t="s">
        <v>432</v>
      </c>
      <c r="E509" s="48">
        <v>44189.714085648149</v>
      </c>
      <c r="F509" s="45" t="s">
        <v>164</v>
      </c>
    </row>
    <row r="510" spans="1:6" ht="14.25">
      <c r="A510" s="45"/>
      <c r="B510" s="45" t="s">
        <v>190</v>
      </c>
      <c r="C510" s="46" t="str">
        <f>HYPERLINK("https://au.indeed.com/viewjob?jk=8fb3a46cd5941dc2","Aircraft Maintenance Engineer")</f>
        <v>Aircraft Maintenance Engineer</v>
      </c>
      <c r="D510" s="45" t="s">
        <v>441</v>
      </c>
      <c r="E510" s="48">
        <v>44189.714212962965</v>
      </c>
      <c r="F510" s="45" t="s">
        <v>164</v>
      </c>
    </row>
    <row r="511" spans="1:6" ht="14.25">
      <c r="A511" s="45"/>
      <c r="B511" s="45" t="s">
        <v>442</v>
      </c>
      <c r="C511" s="46" t="str">
        <f>HYPERLINK("https://au.indeed.com/viewjob?jk=bbad94caf16a24c8","Manufacturing Engineer - Wetherill Park")</f>
        <v>Manufacturing Engineer - Wetherill Park</v>
      </c>
      <c r="D511" s="45" t="s">
        <v>443</v>
      </c>
      <c r="E511" s="48">
        <v>44189.71434027778</v>
      </c>
      <c r="F511" s="45" t="s">
        <v>164</v>
      </c>
    </row>
    <row r="512" spans="1:6" ht="14.25">
      <c r="A512" s="45"/>
      <c r="B512" s="45" t="s">
        <v>442</v>
      </c>
      <c r="C512" s="46" t="str">
        <f>HYPERLINK("https://au.indeed.com/viewjob?jk=a468f1c84718058e","Electrical Manufacturing Engineer")</f>
        <v>Electrical Manufacturing Engineer</v>
      </c>
      <c r="D512" s="45" t="s">
        <v>444</v>
      </c>
      <c r="E512" s="48">
        <v>44189.714444444442</v>
      </c>
      <c r="F512" s="45" t="s">
        <v>164</v>
      </c>
    </row>
    <row r="513" spans="1:6" ht="14.25">
      <c r="A513" s="45"/>
      <c r="B513" s="45" t="s">
        <v>442</v>
      </c>
      <c r="C513" s="46" t="str">
        <f>HYPERLINK("https://au.indeed.com/viewjob?jk=8d6db923e6c89e48","Manufacturing Engineer")</f>
        <v>Manufacturing Engineer</v>
      </c>
      <c r="D513" s="45" t="s">
        <v>391</v>
      </c>
      <c r="E513" s="48">
        <v>44189.714548611111</v>
      </c>
      <c r="F513" s="45" t="s">
        <v>164</v>
      </c>
    </row>
    <row r="514" spans="1:6" ht="14.25">
      <c r="A514" s="45"/>
      <c r="B514" s="45" t="s">
        <v>223</v>
      </c>
      <c r="C514" s="46" t="str">
        <f>HYPERLINK("https://au.indeed.com/viewjob?jk=a554cc564c5ecf2b","RPA Process Engineer")</f>
        <v>RPA Process Engineer</v>
      </c>
      <c r="D514" s="45" t="s">
        <v>412</v>
      </c>
      <c r="E514" s="48">
        <v>44189.71471064815</v>
      </c>
      <c r="F514" s="45" t="s">
        <v>164</v>
      </c>
    </row>
    <row r="515" spans="1:6" ht="14.25">
      <c r="A515" s="45"/>
      <c r="B515" s="45" t="s">
        <v>223</v>
      </c>
      <c r="C515" s="46" t="str">
        <f>HYPERLINK("https://au.indeed.com/viewjob?jk=25e3cfed7af683f7","Process Engineer")</f>
        <v>Process Engineer</v>
      </c>
      <c r="D515" s="45" t="s">
        <v>419</v>
      </c>
      <c r="E515" s="48">
        <v>44189.714814814812</v>
      </c>
      <c r="F515" s="45" t="s">
        <v>164</v>
      </c>
    </row>
    <row r="516" spans="1:6" ht="14.25">
      <c r="A516" s="45"/>
      <c r="B516" s="45" t="s">
        <v>192</v>
      </c>
      <c r="C516" s="46" t="str">
        <f>HYPERLINK("https://au.indeed.com/viewjob?jk=a50adc8f58d2c3f6","Production Engineer Sydney, Australia")</f>
        <v>Production Engineer Sydney, Australia</v>
      </c>
      <c r="D516" s="45" t="s">
        <v>445</v>
      </c>
      <c r="E516" s="48">
        <v>44189.716493055559</v>
      </c>
      <c r="F516" s="45" t="s">
        <v>164</v>
      </c>
    </row>
    <row r="517" spans="1:6" ht="14.25">
      <c r="A517" s="45"/>
      <c r="B517" s="45" t="s">
        <v>446</v>
      </c>
      <c r="C517" s="46" t="str">
        <f>HYPERLINK("https://au.indeed.com/viewjob?jk=19cc96020fb5262f","Project Controls Engineer, Transport")</f>
        <v>Project Controls Engineer, Transport</v>
      </c>
      <c r="D517" s="45" t="s">
        <v>447</v>
      </c>
      <c r="E517" s="48">
        <v>44189.716631944444</v>
      </c>
      <c r="F517" s="45" t="s">
        <v>164</v>
      </c>
    </row>
    <row r="518" spans="1:6" ht="14.25">
      <c r="A518" s="45"/>
      <c r="B518" s="45" t="s">
        <v>446</v>
      </c>
      <c r="C518" s="46" t="str">
        <f>HYPERLINK("https://au.indeed.com/viewjob?jk=3f145679a164cc21","Project Controls Engineer")</f>
        <v>Project Controls Engineer</v>
      </c>
      <c r="D518" s="45" t="s">
        <v>448</v>
      </c>
      <c r="E518" s="48">
        <v>44189.716736111113</v>
      </c>
      <c r="F518" s="45" t="s">
        <v>164</v>
      </c>
    </row>
    <row r="519" spans="1:6" ht="14.25">
      <c r="A519" s="45"/>
      <c r="B519" s="45" t="s">
        <v>176</v>
      </c>
      <c r="C519" s="46" t="str">
        <f>HYPERLINK("https://au.indeed.com/viewjob?jk=4b308ba4982f4fca","Project Engineer")</f>
        <v>Project Engineer</v>
      </c>
      <c r="D519" s="45" t="s">
        <v>449</v>
      </c>
      <c r="E519" s="48">
        <v>44189.716874999998</v>
      </c>
      <c r="F519" s="45" t="s">
        <v>164</v>
      </c>
    </row>
    <row r="520" spans="1:6" ht="14.25">
      <c r="A520" s="45"/>
      <c r="B520" s="45" t="s">
        <v>176</v>
      </c>
      <c r="C520" s="46" t="str">
        <f>HYPERLINK("https://au.indeed.com/viewjob?jk=9b85566fd21786d2","Senior Project Engineer (Utilities)")</f>
        <v>Senior Project Engineer (Utilities)</v>
      </c>
      <c r="D520" s="45" t="s">
        <v>450</v>
      </c>
      <c r="E520" s="48">
        <v>44189.717314814814</v>
      </c>
      <c r="F520" s="45" t="s">
        <v>164</v>
      </c>
    </row>
    <row r="521" spans="1:6" ht="14.25">
      <c r="A521" s="45"/>
      <c r="B521" s="45" t="s">
        <v>176</v>
      </c>
      <c r="C521" s="46" t="str">
        <f>HYPERLINK("https://au.indeed.com/viewjob?jk=33588361a3123230","Project Engineer Civil")</f>
        <v>Project Engineer Civil</v>
      </c>
      <c r="D521" s="45" t="s">
        <v>448</v>
      </c>
      <c r="E521" s="48">
        <v>44189.717418981483</v>
      </c>
      <c r="F521" s="45" t="s">
        <v>164</v>
      </c>
    </row>
    <row r="522" spans="1:6" ht="14.25">
      <c r="A522" s="45"/>
      <c r="B522" s="45" t="s">
        <v>176</v>
      </c>
      <c r="C522" s="46" t="str">
        <f>HYPERLINK("https://au.indeed.com/viewjob?jk=4109414bf2858671","Junior Project Engineer")</f>
        <v>Junior Project Engineer</v>
      </c>
      <c r="D522" s="45" t="s">
        <v>474</v>
      </c>
      <c r="E522" s="48">
        <v>44189.717534722222</v>
      </c>
      <c r="F522" s="45" t="s">
        <v>164</v>
      </c>
    </row>
    <row r="523" spans="1:6" ht="14.25">
      <c r="A523" s="45"/>
      <c r="B523" s="45" t="s">
        <v>176</v>
      </c>
      <c r="C523" s="46" t="str">
        <f>HYPERLINK("https://au.indeed.com/viewjob?jk=fdeec6085ff415df","Civil Project Engineer")</f>
        <v>Civil Project Engineer</v>
      </c>
      <c r="D523" s="45" t="s">
        <v>448</v>
      </c>
      <c r="E523" s="48">
        <v>44189.717638888891</v>
      </c>
      <c r="F523" s="45" t="s">
        <v>164</v>
      </c>
    </row>
    <row r="524" spans="1:6" ht="14.25">
      <c r="A524" s="45"/>
      <c r="B524" s="45" t="s">
        <v>176</v>
      </c>
      <c r="C524" s="46" t="str">
        <f>HYPERLINK("https://au.indeed.com/viewjob?jk=326fe651d7eefab7","Project Engineer")</f>
        <v>Project Engineer</v>
      </c>
      <c r="D524" s="45" t="s">
        <v>451</v>
      </c>
      <c r="E524" s="48">
        <v>44189.718113425923</v>
      </c>
      <c r="F524" s="45" t="s">
        <v>164</v>
      </c>
    </row>
    <row r="525" spans="1:6" ht="14.25">
      <c r="A525" s="45"/>
      <c r="B525" s="45" t="s">
        <v>176</v>
      </c>
      <c r="C525" s="46" t="str">
        <f>HYPERLINK("https://au.indeed.com/viewjob?jk=e54a3306521fc1e1","Software Project Engineer")</f>
        <v>Software Project Engineer</v>
      </c>
      <c r="D525" s="45" t="s">
        <v>453</v>
      </c>
      <c r="E525" s="48">
        <v>44189.718217592592</v>
      </c>
      <c r="F525" s="45" t="s">
        <v>164</v>
      </c>
    </row>
    <row r="526" spans="1:6" ht="14.25">
      <c r="A526" s="45"/>
      <c r="B526" s="45" t="s">
        <v>176</v>
      </c>
      <c r="C526" s="46" t="str">
        <f>HYPERLINK("https://au.indeed.com/viewjob?jk=04862faac22afeab","Project Engineer")</f>
        <v>Project Engineer</v>
      </c>
      <c r="D526" s="45" t="s">
        <v>449</v>
      </c>
      <c r="E526" s="48">
        <v>44189.718321759261</v>
      </c>
      <c r="F526" s="45" t="s">
        <v>164</v>
      </c>
    </row>
    <row r="527" spans="1:6" ht="14.25">
      <c r="A527" s="45"/>
      <c r="B527" s="45" t="s">
        <v>176</v>
      </c>
      <c r="C527" s="46" t="str">
        <f>HYPERLINK("https://au.indeed.com/viewjob?jk=68c55df1c2a889b1","Project Engineers")</f>
        <v>Project Engineers</v>
      </c>
      <c r="D527" s="45" t="s">
        <v>454</v>
      </c>
      <c r="E527" s="48">
        <v>44189.718425925923</v>
      </c>
      <c r="F527" s="45" t="s">
        <v>164</v>
      </c>
    </row>
    <row r="528" spans="1:6" ht="14.25">
      <c r="A528" s="45"/>
      <c r="B528" s="45" t="s">
        <v>176</v>
      </c>
      <c r="C528" s="46" t="str">
        <f>HYPERLINK("https://au.indeed.com/viewjob?jk=e802137947bec24a","Project Engineer")</f>
        <v>Project Engineer</v>
      </c>
      <c r="D528" s="45" t="s">
        <v>455</v>
      </c>
      <c r="E528" s="48">
        <v>44189.718530092592</v>
      </c>
      <c r="F528" s="45" t="s">
        <v>164</v>
      </c>
    </row>
    <row r="529" spans="1:6" ht="14.25">
      <c r="A529" s="45"/>
      <c r="B529" s="45" t="s">
        <v>176</v>
      </c>
      <c r="C529" s="46" t="str">
        <f>HYPERLINK("https://au.indeed.com/viewjob?jk=480e7938e80b145c","Senior Project Engineer (Water/Pipelines)")</f>
        <v>Senior Project Engineer (Water/Pipelines)</v>
      </c>
      <c r="D529" s="45" t="s">
        <v>450</v>
      </c>
      <c r="E529" s="48">
        <v>44189.719027777777</v>
      </c>
      <c r="F529" s="45" t="s">
        <v>164</v>
      </c>
    </row>
    <row r="530" spans="1:6" ht="14.25">
      <c r="A530" s="45"/>
      <c r="B530" s="45" t="s">
        <v>176</v>
      </c>
      <c r="C530" s="46" t="str">
        <f>HYPERLINK("https://au.indeed.com/viewjob?jk=ae654bbb34246b97","Project Engineer")</f>
        <v>Project Engineer</v>
      </c>
      <c r="D530" s="45" t="s">
        <v>457</v>
      </c>
      <c r="E530" s="48">
        <v>44189.719131944446</v>
      </c>
      <c r="F530" s="45" t="s">
        <v>164</v>
      </c>
    </row>
    <row r="531" spans="1:6" ht="14.25">
      <c r="A531" s="45"/>
      <c r="B531" s="45" t="s">
        <v>176</v>
      </c>
      <c r="C531" s="46" t="str">
        <f>HYPERLINK("https://au.indeed.com/viewjob?jk=fea116918cc7284b","Project Engineer")</f>
        <v>Project Engineer</v>
      </c>
      <c r="D531" s="45" t="s">
        <v>458</v>
      </c>
      <c r="E531" s="48">
        <v>44189.719236111108</v>
      </c>
      <c r="F531" s="45" t="s">
        <v>164</v>
      </c>
    </row>
    <row r="532" spans="1:6" ht="14.25">
      <c r="A532" s="45"/>
      <c r="B532" s="45" t="s">
        <v>176</v>
      </c>
      <c r="C532" s="46" t="str">
        <f>HYPERLINK("https://au.indeed.com/viewjob?jk=0193dd0b40e63196","Project Engineer")</f>
        <v>Project Engineer</v>
      </c>
      <c r="D532" s="45" t="s">
        <v>457</v>
      </c>
      <c r="E532" s="48">
        <v>44189.719340277778</v>
      </c>
      <c r="F532" s="45" t="s">
        <v>164</v>
      </c>
    </row>
    <row r="533" spans="1:6" ht="14.25">
      <c r="A533" s="45"/>
      <c r="B533" s="45" t="s">
        <v>176</v>
      </c>
      <c r="C533" s="46" t="str">
        <f>HYPERLINK("https://au.indeed.com/viewjob?jk=e0695c1aade40875","Project Engineer")</f>
        <v>Project Engineer</v>
      </c>
      <c r="D533" s="45" t="s">
        <v>459</v>
      </c>
      <c r="E533" s="48">
        <v>44189.719456018516</v>
      </c>
      <c r="F533" s="45" t="s">
        <v>164</v>
      </c>
    </row>
    <row r="534" spans="1:6" ht="14.25">
      <c r="A534" s="45"/>
      <c r="B534" s="45" t="s">
        <v>176</v>
      </c>
      <c r="C534" s="46" t="str">
        <f>HYPERLINK("https://au.indeed.com/viewjob?jk=571a060e52f6e81d","Project Engineer")</f>
        <v>Project Engineer</v>
      </c>
      <c r="D534" s="45" t="s">
        <v>456</v>
      </c>
      <c r="E534" s="48">
        <v>44189.719560185185</v>
      </c>
      <c r="F534" s="45" t="s">
        <v>164</v>
      </c>
    </row>
    <row r="535" spans="1:6" ht="14.25">
      <c r="A535" s="45"/>
      <c r="B535" s="45" t="s">
        <v>176</v>
      </c>
      <c r="C535" s="46" t="str">
        <f>HYPERLINK("https://au.indeed.com/viewjob?jk=ad8828d56ccbe6bc","Senior Project Engineer")</f>
        <v>Senior Project Engineer</v>
      </c>
      <c r="D535" s="45" t="s">
        <v>460</v>
      </c>
      <c r="E535" s="48">
        <v>44189.719664351855</v>
      </c>
      <c r="F535" s="45" t="s">
        <v>164</v>
      </c>
    </row>
    <row r="536" spans="1:6" ht="14.25">
      <c r="A536" s="45"/>
      <c r="B536" s="45" t="s">
        <v>176</v>
      </c>
      <c r="C536" s="46" t="str">
        <f>HYPERLINK("https://au.indeed.com/viewjob?jk=95f6cafacfd6310a","Senior Project Engineer")</f>
        <v>Senior Project Engineer</v>
      </c>
      <c r="D536" s="45" t="s">
        <v>461</v>
      </c>
      <c r="E536" s="48">
        <v>44189.719756944447</v>
      </c>
      <c r="F536" s="45" t="s">
        <v>164</v>
      </c>
    </row>
    <row r="537" spans="1:6" ht="14.25">
      <c r="A537" s="45"/>
      <c r="B537" s="45" t="s">
        <v>176</v>
      </c>
      <c r="C537" s="46" t="str">
        <f>HYPERLINK("https://au.indeed.com/viewjob?jk=860c9652db685426","Project Engineer - Electrical")</f>
        <v>Project Engineer - Electrical</v>
      </c>
      <c r="D537" s="45" t="s">
        <v>448</v>
      </c>
      <c r="E537" s="48">
        <v>44189.719872685186</v>
      </c>
      <c r="F537" s="45" t="s">
        <v>164</v>
      </c>
    </row>
    <row r="538" spans="1:6" ht="14.25">
      <c r="A538" s="45"/>
      <c r="B538" s="45" t="s">
        <v>176</v>
      </c>
      <c r="C538" s="46" t="str">
        <f>HYPERLINK("https://au.indeed.com/viewjob?jk=3ae1e05a57d2f428","Project Engineer - Cross River Rail")</f>
        <v>Project Engineer - Cross River Rail</v>
      </c>
      <c r="D538" s="45" t="s">
        <v>463</v>
      </c>
      <c r="E538" s="48">
        <v>44189.72</v>
      </c>
      <c r="F538" s="45" t="s">
        <v>164</v>
      </c>
    </row>
    <row r="539" spans="1:6" ht="14.25">
      <c r="A539" s="45"/>
      <c r="B539" s="45" t="s">
        <v>176</v>
      </c>
      <c r="C539" s="46" t="str">
        <f>HYPERLINK("https://au.indeed.com/viewjob?jk=ef3d5eff2b709b44","Project Engineer")</f>
        <v>Project Engineer</v>
      </c>
      <c r="D539" s="45" t="s">
        <v>464</v>
      </c>
      <c r="E539" s="48">
        <v>44189.720104166663</v>
      </c>
      <c r="F539" s="45" t="s">
        <v>164</v>
      </c>
    </row>
    <row r="540" spans="1:6" ht="14.25">
      <c r="A540" s="45"/>
      <c r="B540" s="45" t="s">
        <v>176</v>
      </c>
      <c r="C540" s="46" t="str">
        <f>HYPERLINK("https://au.indeed.com/viewjob?jk=e0950cf5c0b8482b","Project Engineer")</f>
        <v>Project Engineer</v>
      </c>
      <c r="D540" s="45" t="s">
        <v>418</v>
      </c>
      <c r="E540" s="48">
        <v>44189.720219907409</v>
      </c>
      <c r="F540" s="45" t="s">
        <v>164</v>
      </c>
    </row>
    <row r="541" spans="1:6" ht="14.25">
      <c r="A541" s="45"/>
      <c r="B541" s="45" t="s">
        <v>176</v>
      </c>
      <c r="C541" s="46" t="str">
        <f>HYPERLINK("https://au.indeed.com/viewjob?jk=fcf55626fffad39a","Project Engineer – Food and Beverage Projects (Intermediate level)")</f>
        <v>Project Engineer – Food and Beverage Projects (Intermediate level)</v>
      </c>
      <c r="D541" s="45" t="s">
        <v>496</v>
      </c>
      <c r="E541" s="48">
        <v>44189.720335648148</v>
      </c>
      <c r="F541" s="45" t="s">
        <v>164</v>
      </c>
    </row>
    <row r="542" spans="1:6" ht="14.25">
      <c r="A542" s="45"/>
      <c r="B542" s="45" t="s">
        <v>176</v>
      </c>
      <c r="C542" s="46" t="str">
        <f>HYPERLINK("https://au.indeed.com/viewjob?jk=10d33bbd692e8dfc","Project Engineer / Lead")</f>
        <v>Project Engineer / Lead</v>
      </c>
      <c r="D542" s="45" t="s">
        <v>465</v>
      </c>
      <c r="E542" s="48">
        <v>44189.720439814817</v>
      </c>
      <c r="F542" s="45" t="s">
        <v>164</v>
      </c>
    </row>
    <row r="543" spans="1:6" ht="14.25">
      <c r="A543" s="45"/>
      <c r="B543" s="45" t="s">
        <v>176</v>
      </c>
      <c r="C543" s="46" t="str">
        <f>HYPERLINK("https://au.indeed.com/viewjob?jk=5e22d9c99a10c34e","Civil Infrastructure – Project Engineer")</f>
        <v>Civil Infrastructure – Project Engineer</v>
      </c>
      <c r="D543" s="45" t="s">
        <v>460</v>
      </c>
      <c r="E543" s="48">
        <v>44189.720543981479</v>
      </c>
      <c r="F543" s="45" t="s">
        <v>164</v>
      </c>
    </row>
    <row r="544" spans="1:6" ht="14.25">
      <c r="A544" s="45"/>
      <c r="B544" s="45" t="s">
        <v>176</v>
      </c>
      <c r="C544" s="46" t="str">
        <f>HYPERLINK("https://au.indeed.com/viewjob?jk=3538e335821d9ac8","Expressions of Interest | Project Engineers, Water")</f>
        <v>Expressions of Interest | Project Engineers, Water</v>
      </c>
      <c r="D544" s="45" t="s">
        <v>356</v>
      </c>
      <c r="E544" s="48">
        <v>44189.721041666664</v>
      </c>
      <c r="F544" s="45" t="s">
        <v>164</v>
      </c>
    </row>
    <row r="545" spans="1:6" ht="14.25">
      <c r="A545" s="45"/>
      <c r="B545" s="45" t="s">
        <v>176</v>
      </c>
      <c r="C545" s="46" t="str">
        <f>HYPERLINK("https://au.indeed.com/viewjob?jk=b1dbf913040313aa","EOI - Security Systems Project Engineer, Pacific")</f>
        <v>EOI - Security Systems Project Engineer, Pacific</v>
      </c>
      <c r="D545" s="45" t="s">
        <v>497</v>
      </c>
      <c r="E545" s="48">
        <v>44189.721134259256</v>
      </c>
      <c r="F545" s="45" t="s">
        <v>164</v>
      </c>
    </row>
    <row r="546" spans="1:6" ht="14.25">
      <c r="A546" s="45"/>
      <c r="B546" s="45" t="s">
        <v>176</v>
      </c>
      <c r="C546" s="46" t="str">
        <f>HYPERLINK("https://au.indeed.com/viewjob?jk=013dd81125672d36","Electrical Project Engineer - Confluence Water")</f>
        <v>Electrical Project Engineer - Confluence Water</v>
      </c>
      <c r="D546" s="45" t="s">
        <v>456</v>
      </c>
      <c r="E546" s="48">
        <v>44189.721435185187</v>
      </c>
      <c r="F546" s="45" t="s">
        <v>164</v>
      </c>
    </row>
    <row r="547" spans="1:6" ht="14.25">
      <c r="A547" s="45"/>
      <c r="B547" s="45" t="s">
        <v>176</v>
      </c>
      <c r="C547" s="46" t="str">
        <f>HYPERLINK("https://au.indeed.com/viewjob?jk=7c3b08401cd9c67d","Project Engineer - Wastewater Treatment Plants")</f>
        <v>Project Engineer - Wastewater Treatment Plants</v>
      </c>
      <c r="D547" s="45" t="s">
        <v>456</v>
      </c>
      <c r="E547" s="48">
        <v>44189.721909722219</v>
      </c>
      <c r="F547" s="45" t="s">
        <v>164</v>
      </c>
    </row>
    <row r="548" spans="1:6" ht="14.25">
      <c r="A548" s="45"/>
      <c r="B548" s="45" t="s">
        <v>176</v>
      </c>
      <c r="C548" s="46" t="str">
        <f>HYPERLINK("https://au.indeed.com/viewjob?jk=27b8a09c239fc098","Project Engineer")</f>
        <v>Project Engineer</v>
      </c>
      <c r="D548" s="45" t="s">
        <v>471</v>
      </c>
      <c r="E548" s="48">
        <v>44189.722037037034</v>
      </c>
      <c r="F548" s="45" t="s">
        <v>164</v>
      </c>
    </row>
    <row r="549" spans="1:6" ht="14.25">
      <c r="A549" s="45"/>
      <c r="B549" s="45" t="s">
        <v>176</v>
      </c>
      <c r="C549" s="46" t="str">
        <f>HYPERLINK("https://au.indeed.com/viewjob?jk=6b2ae4305744563b","Project Engineer")</f>
        <v>Project Engineer</v>
      </c>
      <c r="D549" s="45" t="s">
        <v>466</v>
      </c>
      <c r="E549" s="48">
        <v>44189.722141203703</v>
      </c>
      <c r="F549" s="45" t="s">
        <v>164</v>
      </c>
    </row>
    <row r="550" spans="1:6" ht="14.25">
      <c r="A550" s="45"/>
      <c r="B550" s="45" t="s">
        <v>176</v>
      </c>
      <c r="C550" s="46" t="str">
        <f>HYPERLINK("https://au.indeed.com/viewjob?jk=bb1b0ecf442ecaf9","Service Project Engineer")</f>
        <v>Service Project Engineer</v>
      </c>
      <c r="D550" s="45" t="s">
        <v>467</v>
      </c>
      <c r="E550" s="48">
        <v>44189.722245370373</v>
      </c>
      <c r="F550" s="45" t="s">
        <v>164</v>
      </c>
    </row>
    <row r="551" spans="1:6" ht="14.25">
      <c r="A551" s="45"/>
      <c r="B551" s="45" t="s">
        <v>176</v>
      </c>
      <c r="C551" s="46" t="str">
        <f>HYPERLINK("https://au.indeed.com/viewjob?jk=a2d54aab9aaa87d3","Project Engineer")</f>
        <v>Project Engineer</v>
      </c>
      <c r="D551" s="45" t="s">
        <v>462</v>
      </c>
      <c r="E551" s="48">
        <v>44189.722349537034</v>
      </c>
      <c r="F551" s="45" t="s">
        <v>164</v>
      </c>
    </row>
    <row r="552" spans="1:6" ht="14.25">
      <c r="A552" s="45"/>
      <c r="B552" s="45" t="s">
        <v>176</v>
      </c>
      <c r="C552" s="46" t="str">
        <f>HYPERLINK("https://au.indeed.com/viewjob?jk=4ab351466ed76779","Senior Project Network Engineer")</f>
        <v>Senior Project Network Engineer</v>
      </c>
      <c r="D552" s="45" t="s">
        <v>468</v>
      </c>
      <c r="E552" s="48">
        <v>44189.72246527778</v>
      </c>
      <c r="F552" s="45" t="s">
        <v>164</v>
      </c>
    </row>
    <row r="553" spans="1:6" ht="14.25">
      <c r="A553" s="45"/>
      <c r="B553" s="45" t="s">
        <v>176</v>
      </c>
      <c r="C553" s="46" t="str">
        <f>HYPERLINK("https://au.indeed.com/viewjob?jk=52a0bbbe8d46e365","Project Engineer")</f>
        <v>Project Engineer</v>
      </c>
      <c r="D553" s="45" t="s">
        <v>498</v>
      </c>
      <c r="E553" s="48">
        <v>44189.722604166665</v>
      </c>
      <c r="F553" s="45" t="s">
        <v>164</v>
      </c>
    </row>
    <row r="554" spans="1:6" ht="14.25">
      <c r="A554" s="45"/>
      <c r="B554" s="45" t="s">
        <v>176</v>
      </c>
      <c r="C554" s="46" t="str">
        <f>HYPERLINK("https://au.indeed.com/viewjob?jk=d2f6c944143332f2","Chief Project Engineer")</f>
        <v>Chief Project Engineer</v>
      </c>
      <c r="D554" s="45" t="s">
        <v>469</v>
      </c>
      <c r="E554" s="48">
        <v>44189.722719907404</v>
      </c>
      <c r="F554" s="45" t="s">
        <v>164</v>
      </c>
    </row>
    <row r="555" spans="1:6" ht="14.25">
      <c r="A555" s="45"/>
      <c r="B555" s="45" t="s">
        <v>176</v>
      </c>
      <c r="C555" s="46" t="str">
        <f>HYPERLINK("https://au.indeed.com/viewjob?jk=1dfa7484f80e1b48","Project Engineer - Cranes &amp; Hoists")</f>
        <v>Project Engineer - Cranes &amp; Hoists</v>
      </c>
      <c r="D555" s="45" t="s">
        <v>452</v>
      </c>
      <c r="E555" s="48">
        <v>44189.72284722222</v>
      </c>
      <c r="F555" s="45" t="s">
        <v>164</v>
      </c>
    </row>
    <row r="556" spans="1:6" ht="14.25">
      <c r="A556" s="45"/>
      <c r="B556" s="45" t="s">
        <v>176</v>
      </c>
      <c r="C556" s="46" t="str">
        <f>HYPERLINK("https://au.indeed.com/viewjob?jk=1aab41e11ccfb55a","Senior Project Engineer – Civil")</f>
        <v>Senior Project Engineer – Civil</v>
      </c>
      <c r="D556" s="45" t="s">
        <v>470</v>
      </c>
      <c r="E556" s="48">
        <v>44189.722951388889</v>
      </c>
      <c r="F556" s="45" t="s">
        <v>164</v>
      </c>
    </row>
    <row r="557" spans="1:6" ht="14.25">
      <c r="A557" s="45"/>
      <c r="B557" s="45" t="s">
        <v>176</v>
      </c>
      <c r="C557" s="46" t="str">
        <f>HYPERLINK("https://au.indeed.com/viewjob?jk=18315e68c7718de3","Senior Project Engineer")</f>
        <v>Senior Project Engineer</v>
      </c>
      <c r="D557" s="45" t="s">
        <v>456</v>
      </c>
      <c r="E557" s="48">
        <v>44189.723067129627</v>
      </c>
      <c r="F557" s="45" t="s">
        <v>164</v>
      </c>
    </row>
    <row r="558" spans="1:6" ht="14.25">
      <c r="A558" s="45"/>
      <c r="B558" s="45" t="s">
        <v>176</v>
      </c>
      <c r="C558" s="46" t="str">
        <f>HYPERLINK("https://au.indeed.com/viewjob?jk=e8a04ba003777a80","Senior Project Engineer - Electrical")</f>
        <v>Senior Project Engineer - Electrical</v>
      </c>
      <c r="D558" s="45" t="s">
        <v>457</v>
      </c>
      <c r="E558" s="48">
        <v>44189.723564814813</v>
      </c>
      <c r="F558" s="45" t="s">
        <v>164</v>
      </c>
    </row>
    <row r="559" spans="1:6" ht="14.25">
      <c r="A559" s="45"/>
      <c r="B559" s="45" t="s">
        <v>176</v>
      </c>
      <c r="C559" s="46" t="str">
        <f>HYPERLINK("https://au.indeed.com/viewjob?jk=4d0272e022b96afe","Senior Project Engineer")</f>
        <v>Senior Project Engineer</v>
      </c>
      <c r="D559" s="45" t="s">
        <v>472</v>
      </c>
      <c r="E559" s="48">
        <v>44189.723692129628</v>
      </c>
      <c r="F559" s="45" t="s">
        <v>164</v>
      </c>
    </row>
    <row r="560" spans="1:6" ht="14.25">
      <c r="A560" s="45"/>
      <c r="B560" s="45" t="s">
        <v>176</v>
      </c>
      <c r="C560" s="46" t="str">
        <f>HYPERLINK("https://au.indeed.com/viewjob?jk=ab314ac19350bdb6","BMS Project Engineer")</f>
        <v>BMS Project Engineer</v>
      </c>
      <c r="D560" s="45" t="s">
        <v>473</v>
      </c>
      <c r="E560" s="48">
        <v>44189.723819444444</v>
      </c>
      <c r="F560" s="45" t="s">
        <v>164</v>
      </c>
    </row>
    <row r="561" spans="1:6" ht="14.25">
      <c r="A561" s="45"/>
      <c r="B561" s="45" t="s">
        <v>176</v>
      </c>
      <c r="C561" s="46" t="str">
        <f>HYPERLINK("https://au.indeed.com/viewjob?jk=e2382c678f96a77a","Junior Project Engineer")</f>
        <v>Junior Project Engineer</v>
      </c>
      <c r="D561" s="45" t="s">
        <v>474</v>
      </c>
      <c r="E561" s="48">
        <v>44189.723935185182</v>
      </c>
      <c r="F561" s="45" t="s">
        <v>164</v>
      </c>
    </row>
    <row r="562" spans="1:6" ht="14.25">
      <c r="A562" s="45"/>
      <c r="B562" s="45" t="s">
        <v>176</v>
      </c>
      <c r="C562" s="46" t="str">
        <f>HYPERLINK("https://au.indeed.com/viewjob?jk=d6628d30482699da","Project Engineer")</f>
        <v>Project Engineer</v>
      </c>
      <c r="D562" s="45" t="s">
        <v>471</v>
      </c>
      <c r="E562" s="48">
        <v>44189.724039351851</v>
      </c>
      <c r="F562" s="45" t="s">
        <v>164</v>
      </c>
    </row>
    <row r="563" spans="1:6" ht="14.25">
      <c r="A563" s="45"/>
      <c r="B563" s="45" t="s">
        <v>176</v>
      </c>
      <c r="C563" s="46" t="str">
        <f>HYPERLINK("https://au.indeed.com/viewjob?jk=0a7886f2703bdeb1","Project Engineer")</f>
        <v>Project Engineer</v>
      </c>
      <c r="D563" s="45" t="s">
        <v>469</v>
      </c>
      <c r="E563" s="48">
        <v>44189.724756944444</v>
      </c>
      <c r="F563" s="45" t="s">
        <v>164</v>
      </c>
    </row>
    <row r="564" spans="1:6" ht="14.25">
      <c r="A564" s="45"/>
      <c r="B564" s="45" t="s">
        <v>176</v>
      </c>
      <c r="C564" s="46" t="str">
        <f>HYPERLINK("https://au.indeed.com/viewjob?jk=b52388bdec501ccd","Project Engineer")</f>
        <v>Project Engineer</v>
      </c>
      <c r="D564" s="45" t="s">
        <v>462</v>
      </c>
      <c r="E564" s="48">
        <v>44189.724861111114</v>
      </c>
      <c r="F564" s="45" t="s">
        <v>164</v>
      </c>
    </row>
    <row r="565" spans="1:6" ht="14.25">
      <c r="A565" s="45"/>
      <c r="B565" s="45" t="s">
        <v>176</v>
      </c>
      <c r="C565" s="46" t="str">
        <f>HYPERLINK("https://au.indeed.com/viewjob?jk=e3e1d22d35a851fa","Senior Project Engineer")</f>
        <v>Senior Project Engineer</v>
      </c>
      <c r="D565" s="45" t="s">
        <v>475</v>
      </c>
      <c r="E565" s="48">
        <v>44189.724965277775</v>
      </c>
      <c r="F565" s="45" t="s">
        <v>164</v>
      </c>
    </row>
    <row r="566" spans="1:6" ht="14.25">
      <c r="A566" s="45"/>
      <c r="B566" s="45" t="s">
        <v>202</v>
      </c>
      <c r="C566" s="46" t="str">
        <f>HYPERLINK("https://au.indeed.com/viewjob?jk=959bad1c6e015189","Site Reliability Engineer - Core Engineering")</f>
        <v>Site Reliability Engineer - Core Engineering</v>
      </c>
      <c r="D566" s="45" t="s">
        <v>476</v>
      </c>
      <c r="E566" s="48">
        <v>44189.725127314814</v>
      </c>
      <c r="F566" s="45" t="s">
        <v>164</v>
      </c>
    </row>
    <row r="567" spans="1:6" ht="14.25">
      <c r="A567" s="45"/>
      <c r="B567" s="45" t="s">
        <v>202</v>
      </c>
      <c r="C567" s="46" t="str">
        <f>HYPERLINK("https://au.indeed.com/viewjob?jk=829f9a6cfb9e0fb7","Site Reliability Engineer")</f>
        <v>Site Reliability Engineer</v>
      </c>
      <c r="D567" s="45" t="s">
        <v>477</v>
      </c>
      <c r="E567" s="48">
        <v>44189.725231481483</v>
      </c>
      <c r="F567" s="45" t="s">
        <v>164</v>
      </c>
    </row>
    <row r="568" spans="1:6" ht="14.25">
      <c r="A568" s="45"/>
      <c r="B568" s="45" t="s">
        <v>202</v>
      </c>
      <c r="C568" s="46" t="str">
        <f>HYPERLINK("https://au.indeed.com/viewjob?jk=01e5e022f31530c3","Site Reliability Engineer - Networking")</f>
        <v>Site Reliability Engineer - Networking</v>
      </c>
      <c r="D568" s="45" t="s">
        <v>423</v>
      </c>
      <c r="E568" s="48">
        <v>44189.725335648145</v>
      </c>
      <c r="F568" s="45" t="s">
        <v>164</v>
      </c>
    </row>
    <row r="569" spans="1:6" ht="14.25">
      <c r="A569" s="45"/>
      <c r="B569" s="45" t="s">
        <v>202</v>
      </c>
      <c r="C569" s="46" t="str">
        <f>HYPERLINK("https://au.indeed.com/viewjob?jk=03f2617303fd4cf4","Site Reliability Engineer - Managed Services")</f>
        <v>Site Reliability Engineer - Managed Services</v>
      </c>
      <c r="D569" s="45" t="s">
        <v>369</v>
      </c>
      <c r="E569" s="48">
        <v>44189.725439814814</v>
      </c>
      <c r="F569" s="45" t="s">
        <v>164</v>
      </c>
    </row>
    <row r="570" spans="1:6" ht="14.25">
      <c r="A570" s="45"/>
      <c r="B570" s="45" t="s">
        <v>202</v>
      </c>
      <c r="C570" s="46" t="str">
        <f>HYPERLINK("https://au.indeed.com/viewjob?jk=72419708d2feb41f","Staff Site Reliability Engineer - Federal")</f>
        <v>Staff Site Reliability Engineer - Federal</v>
      </c>
      <c r="D570" s="45" t="s">
        <v>478</v>
      </c>
      <c r="E570" s="48">
        <v>44189.725555555553</v>
      </c>
      <c r="F570" s="45" t="s">
        <v>164</v>
      </c>
    </row>
    <row r="571" spans="1:6" ht="14.25">
      <c r="A571" s="45"/>
      <c r="B571" s="45" t="s">
        <v>202</v>
      </c>
      <c r="C571" s="46" t="str">
        <f>HYPERLINK("https://au.indeed.com/viewjob?jk=b00717181e04d23a","Systems Reliability Engineer")</f>
        <v>Systems Reliability Engineer</v>
      </c>
      <c r="D571" s="45" t="s">
        <v>365</v>
      </c>
      <c r="E571" s="48">
        <v>44189.726064814815</v>
      </c>
      <c r="F571" s="45" t="s">
        <v>164</v>
      </c>
    </row>
    <row r="572" spans="1:6" ht="14.25">
      <c r="A572" s="45"/>
      <c r="B572" s="45" t="s">
        <v>202</v>
      </c>
      <c r="C572" s="46" t="str">
        <f>HYPERLINK("https://au.indeed.com/viewjob?jk=643234569ba2582a","Cloud Data Services Site Reliability Engineer")</f>
        <v>Cloud Data Services Site Reliability Engineer</v>
      </c>
      <c r="D572" s="45" t="s">
        <v>384</v>
      </c>
      <c r="E572" s="48">
        <v>44189.726631944446</v>
      </c>
      <c r="F572" s="45" t="s">
        <v>164</v>
      </c>
    </row>
    <row r="573" spans="1:6" ht="14.25">
      <c r="A573" s="45"/>
      <c r="B573" s="45" t="s">
        <v>202</v>
      </c>
      <c r="C573" s="46" t="str">
        <f>HYPERLINK("https://au.indeed.com/viewjob?jk=3eb4e4de00f79bfa","Site Reliability Engineer")</f>
        <v>Site Reliability Engineer</v>
      </c>
      <c r="D573" s="45" t="s">
        <v>479</v>
      </c>
      <c r="E573" s="48">
        <v>44189.726736111108</v>
      </c>
      <c r="F573" s="45" t="s">
        <v>164</v>
      </c>
    </row>
    <row r="574" spans="1:6" ht="14.25">
      <c r="A574" s="45"/>
      <c r="B574" s="45" t="s">
        <v>202</v>
      </c>
      <c r="C574" s="46" t="str">
        <f>HYPERLINK("https://au.indeed.com/viewjob?jk=45955d2763b6181c","Site Reliability Engineer - Core Engineering")</f>
        <v>Site Reliability Engineer - Core Engineering</v>
      </c>
      <c r="D574" s="45" t="s">
        <v>476</v>
      </c>
      <c r="E574" s="48">
        <v>44189.726851851854</v>
      </c>
      <c r="F574" s="45" t="s">
        <v>164</v>
      </c>
    </row>
    <row r="575" spans="1:6" ht="14.25">
      <c r="A575" s="45"/>
      <c r="B575" s="45" t="s">
        <v>202</v>
      </c>
      <c r="C575" s="46" t="str">
        <f>HYPERLINK("https://au.indeed.com/viewjob?jk=63e51356ddfa1c4a","Site Reliability Engineer (Remote, AUS)")</f>
        <v>Site Reliability Engineer (Remote, AUS)</v>
      </c>
      <c r="D575" s="45" t="s">
        <v>480</v>
      </c>
      <c r="E575" s="48">
        <v>44189.726956018516</v>
      </c>
      <c r="F575" s="45" t="s">
        <v>164</v>
      </c>
    </row>
    <row r="576" spans="1:6" ht="14.25">
      <c r="A576" s="45"/>
      <c r="B576" s="45" t="s">
        <v>202</v>
      </c>
      <c r="C576" s="46" t="str">
        <f>HYPERLINK("https://au.indeed.com/viewjob?jk=58dd89da4197a434","Site Reliability Engineer (Investment Data)")</f>
        <v>Site Reliability Engineer (Investment Data)</v>
      </c>
      <c r="D576" s="45" t="s">
        <v>481</v>
      </c>
      <c r="E576" s="48">
        <v>44189.727743055555</v>
      </c>
      <c r="F576" s="45" t="s">
        <v>164</v>
      </c>
    </row>
    <row r="577" spans="1:6" ht="14.25">
      <c r="A577" s="45"/>
      <c r="B577" s="45" t="s">
        <v>202</v>
      </c>
      <c r="C577" s="46" t="str">
        <f>HYPERLINK("https://au.indeed.com/viewjob?jk=6183cefe84d34954","Site Reliability Engineer (Jira Cloud)")</f>
        <v>Site Reliability Engineer (Jira Cloud)</v>
      </c>
      <c r="D577" s="45" t="s">
        <v>380</v>
      </c>
      <c r="E577" s="48">
        <v>44189.727858796294</v>
      </c>
      <c r="F577" s="45" t="s">
        <v>164</v>
      </c>
    </row>
    <row r="578" spans="1:6" ht="14.25">
      <c r="A578" s="45"/>
      <c r="B578" s="45" t="s">
        <v>202</v>
      </c>
      <c r="C578" s="46" t="str">
        <f>HYPERLINK("https://au.indeed.com/viewjob?jk=12178f2cb06800df","Reliability Engineer")</f>
        <v>Reliability Engineer</v>
      </c>
      <c r="D578" s="45" t="s">
        <v>391</v>
      </c>
      <c r="E578" s="48">
        <v>44189.727962962963</v>
      </c>
      <c r="F578" s="45" t="s">
        <v>164</v>
      </c>
    </row>
    <row r="579" spans="1:6" ht="14.25">
      <c r="A579" s="45"/>
      <c r="B579" s="45" t="s">
        <v>202</v>
      </c>
      <c r="C579" s="46" t="str">
        <f>HYPERLINK("https://au.indeed.com/viewjob?jk=7997686a763d16f6","Graduate Site Reliability Engineer")</f>
        <v>Graduate Site Reliability Engineer</v>
      </c>
      <c r="D579" s="45" t="s">
        <v>482</v>
      </c>
      <c r="E579" s="48">
        <v>44189.728067129632</v>
      </c>
      <c r="F579" s="45" t="s">
        <v>164</v>
      </c>
    </row>
    <row r="580" spans="1:6" ht="14.25">
      <c r="A580" s="45"/>
      <c r="B580" s="45" t="s">
        <v>202</v>
      </c>
      <c r="C580" s="46" t="str">
        <f>HYPERLINK("https://au.indeed.com/viewjob?jk=619d7fe0db91d1e1","Senior Site Reliability Engineer (Fully Remote)")</f>
        <v>Senior Site Reliability Engineer (Fully Remote)</v>
      </c>
      <c r="D580" s="45" t="s">
        <v>483</v>
      </c>
      <c r="E580" s="48">
        <v>44189.728194444448</v>
      </c>
      <c r="F580" s="45" t="s">
        <v>164</v>
      </c>
    </row>
    <row r="581" spans="1:6" ht="14.25">
      <c r="A581" s="45"/>
      <c r="B581" s="45" t="s">
        <v>202</v>
      </c>
      <c r="C581" s="46" t="str">
        <f>HYPERLINK("https://au.indeed.com/viewjob?jk=59c0de8b51eb78f6","Site Reliability Engineer")</f>
        <v>Site Reliability Engineer</v>
      </c>
      <c r="D581" s="45" t="s">
        <v>406</v>
      </c>
      <c r="E581" s="48">
        <v>44189.728298611109</v>
      </c>
      <c r="F581" s="45" t="s">
        <v>164</v>
      </c>
    </row>
    <row r="582" spans="1:6" ht="14.25">
      <c r="A582" s="45"/>
      <c r="B582" s="45" t="s">
        <v>202</v>
      </c>
      <c r="C582" s="46" t="str">
        <f>HYPERLINK("https://au.indeed.com/viewjob?jk=6bdb159386e828c8","Site Reliability Engineer")</f>
        <v>Site Reliability Engineer</v>
      </c>
      <c r="D582" s="45" t="s">
        <v>482</v>
      </c>
      <c r="E582" s="48">
        <v>44189.728425925925</v>
      </c>
      <c r="F582" s="45" t="s">
        <v>164</v>
      </c>
    </row>
    <row r="583" spans="1:6" ht="14.25">
      <c r="A583" s="45"/>
      <c r="B583" s="45" t="s">
        <v>202</v>
      </c>
      <c r="C583" s="46" t="str">
        <f>HYPERLINK("https://au.indeed.com/viewjob?jk=75ba22a6cdbc9ad9","Site Reliability Engineer")</f>
        <v>Site Reliability Engineer</v>
      </c>
      <c r="D583" s="45" t="s">
        <v>482</v>
      </c>
      <c r="E583" s="48">
        <v>44189.728541666664</v>
      </c>
      <c r="F583" s="45" t="s">
        <v>164</v>
      </c>
    </row>
    <row r="584" spans="1:6" ht="14.25">
      <c r="A584" s="45"/>
      <c r="B584" s="45" t="s">
        <v>202</v>
      </c>
      <c r="C584" s="46" t="str">
        <f>HYPERLINK("https://au.indeed.com/viewjob?jk=0ccee39bcfef7cc8","Site Reliability Engineer - Managed Services")</f>
        <v>Site Reliability Engineer - Managed Services</v>
      </c>
      <c r="D584" s="45" t="s">
        <v>369</v>
      </c>
      <c r="E584" s="48">
        <v>44189.72865740741</v>
      </c>
      <c r="F584" s="45" t="s">
        <v>164</v>
      </c>
    </row>
    <row r="585" spans="1:6" ht="14.25">
      <c r="A585" s="45"/>
      <c r="B585" s="45" t="s">
        <v>202</v>
      </c>
      <c r="C585" s="46" t="str">
        <f>HYPERLINK("https://au.indeed.com/viewjob?jk=4fea98d66d899308","Site Reliability Engineer")</f>
        <v>Site Reliability Engineer</v>
      </c>
      <c r="D585" s="45" t="s">
        <v>484</v>
      </c>
      <c r="E585" s="48">
        <v>44189.728761574072</v>
      </c>
      <c r="F585" s="45" t="s">
        <v>164</v>
      </c>
    </row>
    <row r="586" spans="1:6" ht="14.25">
      <c r="A586" s="45"/>
      <c r="B586" s="45" t="s">
        <v>202</v>
      </c>
      <c r="C586" s="46" t="str">
        <f>HYPERLINK("https://au.indeed.com/viewjob?jk=af69ec11b2694557","Site Reliability Engineer")</f>
        <v>Site Reliability Engineer</v>
      </c>
      <c r="D586" s="45"/>
      <c r="E586" s="48">
        <v>44189.728877314818</v>
      </c>
      <c r="F586" s="45" t="s">
        <v>164</v>
      </c>
    </row>
    <row r="587" spans="1:6" ht="14.25">
      <c r="A587" s="45"/>
      <c r="B587" s="45" t="s">
        <v>209</v>
      </c>
      <c r="C587" s="46" t="str">
        <f>HYPERLINK("https://au.indeed.com/viewjob?jk=3ee9f9d45f789dcd","Data Center Services Engineer")</f>
        <v>Data Center Services Engineer</v>
      </c>
      <c r="D587" s="45" t="s">
        <v>487</v>
      </c>
      <c r="E587" s="48">
        <v>44189.729398148149</v>
      </c>
      <c r="F587" s="45" t="s">
        <v>164</v>
      </c>
    </row>
    <row r="588" spans="1:6" ht="14.25">
      <c r="A588" s="45"/>
      <c r="B588" s="45" t="s">
        <v>213</v>
      </c>
      <c r="C588" s="46" t="str">
        <f>HYPERLINK("https://au.indeed.com/viewjob?jk=3e71fd5ddd392dea","Site Engineer")</f>
        <v>Site Engineer</v>
      </c>
      <c r="D588" s="45" t="s">
        <v>461</v>
      </c>
      <c r="E588" s="48">
        <v>44189.729560185187</v>
      </c>
      <c r="F588" s="45" t="s">
        <v>164</v>
      </c>
    </row>
    <row r="589" spans="1:6" ht="14.25">
      <c r="A589" s="45"/>
      <c r="B589" s="45" t="s">
        <v>213</v>
      </c>
      <c r="C589" s="46" t="str">
        <f>HYPERLINK("https://au.indeed.com/viewjob?jk=35a8005e8e907ed2","Site Engineer")</f>
        <v>Site Engineer</v>
      </c>
      <c r="D589" s="45" t="s">
        <v>455</v>
      </c>
      <c r="E589" s="48">
        <v>44189.729664351849</v>
      </c>
      <c r="F589" s="45" t="s">
        <v>164</v>
      </c>
    </row>
    <row r="590" spans="1:6" ht="14.25">
      <c r="A590" s="45"/>
      <c r="B590" s="45" t="s">
        <v>213</v>
      </c>
      <c r="C590" s="46" t="str">
        <f>HYPERLINK("https://au.indeed.com/viewjob?jk=254f9b20ec022576","Site Engineer")</f>
        <v>Site Engineer</v>
      </c>
      <c r="D590" s="45" t="s">
        <v>419</v>
      </c>
      <c r="E590" s="48">
        <v>44189.730150462965</v>
      </c>
      <c r="F590" s="45" t="s">
        <v>164</v>
      </c>
    </row>
    <row r="591" spans="1:6" ht="14.25">
      <c r="A591" s="45"/>
      <c r="B591" s="45" t="s">
        <v>213</v>
      </c>
      <c r="C591" s="46" t="str">
        <f>HYPERLINK("https://au.indeed.com/viewjob?jk=f34731105e05dda8","Site Engineer")</f>
        <v>Site Engineer</v>
      </c>
      <c r="D591" s="45" t="s">
        <v>492</v>
      </c>
      <c r="E591" s="48">
        <v>44189.73027777778</v>
      </c>
      <c r="F591" s="45" t="s">
        <v>164</v>
      </c>
    </row>
    <row r="592" spans="1:6" ht="14.25">
      <c r="A592" s="45"/>
      <c r="B592" s="45" t="s">
        <v>213</v>
      </c>
      <c r="C592" s="46" t="str">
        <f>HYPERLINK("https://au.indeed.com/viewjob?jk=a5a1f8b31271bba4","Civil Infrastructure – Site Engineer")</f>
        <v>Civil Infrastructure – Site Engineer</v>
      </c>
      <c r="D592" s="45" t="s">
        <v>460</v>
      </c>
      <c r="E592" s="48">
        <v>44189.730821759258</v>
      </c>
      <c r="F592" s="45" t="s">
        <v>164</v>
      </c>
    </row>
    <row r="593" spans="1:6" ht="14.25">
      <c r="A593" s="45"/>
      <c r="B593" s="45" t="s">
        <v>213</v>
      </c>
      <c r="C593" s="46" t="str">
        <f>HYPERLINK("https://au.indeed.com/viewjob?jk=ae7c1a4e85163f47","Senior Structural-Site Engineer January Start ok?")</f>
        <v>Senior Structural-Site Engineer January Start ok?</v>
      </c>
      <c r="D593" s="45" t="s">
        <v>431</v>
      </c>
      <c r="E593" s="48">
        <v>44189.730937499997</v>
      </c>
      <c r="F593" s="45" t="s">
        <v>164</v>
      </c>
    </row>
    <row r="594" spans="1:6" ht="14.25">
      <c r="A594" s="45"/>
      <c r="B594" s="45" t="s">
        <v>499</v>
      </c>
      <c r="C594" s="46" t="str">
        <f>HYPERLINK("https://au.indeed.com/viewjob?jk=32823a94b5db405b","Utilities Engineer")</f>
        <v>Utilities Engineer</v>
      </c>
      <c r="D594" s="45" t="s">
        <v>421</v>
      </c>
      <c r="E594" s="48">
        <v>44189.731087962966</v>
      </c>
      <c r="F594" s="45" t="s">
        <v>164</v>
      </c>
    </row>
    <row r="595" spans="1:6" ht="14.25">
      <c r="A595" s="45"/>
      <c r="B595" s="45" t="s">
        <v>347</v>
      </c>
      <c r="C595" s="46" t="str">
        <f>HYPERLINK("https://au.indeed.com/viewjob?jk=29616298127a7084","Principal Product Engineer")</f>
        <v>Principal Product Engineer</v>
      </c>
      <c r="D595" s="45" t="s">
        <v>488</v>
      </c>
      <c r="E595" s="48">
        <v>44189.731226851851</v>
      </c>
      <c r="F595" s="45" t="s">
        <v>164</v>
      </c>
    </row>
    <row r="596" spans="1:6" ht="14.25">
      <c r="A596" s="45"/>
      <c r="B596" s="45" t="s">
        <v>347</v>
      </c>
      <c r="C596" s="46" t="str">
        <f>HYPERLINK("https://au.indeed.com/viewjob?jk=fd275adb012f8df3","DevOps/Product Engineer/Developer")</f>
        <v>DevOps/Product Engineer/Developer</v>
      </c>
      <c r="D596" s="45" t="s">
        <v>489</v>
      </c>
      <c r="E596" s="48">
        <v>44189.73133101852</v>
      </c>
      <c r="F596" s="45" t="s">
        <v>164</v>
      </c>
    </row>
    <row r="597" spans="1:6" ht="14.25">
      <c r="A597" s="45"/>
      <c r="B597" s="45" t="s">
        <v>347</v>
      </c>
      <c r="C597" s="46" t="str">
        <f>HYPERLINK("https://au.indeed.com/viewjob?jk=0f94254268ad1e39","Technical Product Engineer")</f>
        <v>Technical Product Engineer</v>
      </c>
      <c r="D597" s="45" t="s">
        <v>490</v>
      </c>
      <c r="E597" s="48">
        <v>44189.731446759259</v>
      </c>
      <c r="F597" s="45" t="s">
        <v>164</v>
      </c>
    </row>
    <row r="598" spans="1:6" ht="14.25">
      <c r="A598" s="45"/>
      <c r="B598" s="45" t="s">
        <v>347</v>
      </c>
      <c r="C598" s="46" t="str">
        <f>HYPERLINK("https://au.indeed.com/viewjob?jk=c2ea7c7c59717a98","Principal Product Engineer")</f>
        <v>Principal Product Engineer</v>
      </c>
      <c r="D598" s="45" t="s">
        <v>488</v>
      </c>
      <c r="E598" s="48">
        <v>44189.731550925928</v>
      </c>
      <c r="F598" s="45" t="s">
        <v>164</v>
      </c>
    </row>
    <row r="599" spans="1:6" ht="14.25">
      <c r="A599" s="45"/>
      <c r="B599" s="45" t="s">
        <v>347</v>
      </c>
      <c r="C599" s="46" t="str">
        <f>HYPERLINK("https://au.indeed.com/viewjob?jk=1cf18b3a9c1a693e","Senior Product Engineer")</f>
        <v>Senior Product Engineer</v>
      </c>
      <c r="D599" s="45" t="s">
        <v>488</v>
      </c>
      <c r="E599" s="48">
        <v>44189.73165509259</v>
      </c>
      <c r="F599" s="45" t="s">
        <v>164</v>
      </c>
    </row>
    <row r="600" spans="1:6" ht="14.25">
      <c r="A600" s="45"/>
      <c r="B600" s="45" t="s">
        <v>217</v>
      </c>
      <c r="C600" s="46" t="str">
        <f>HYPERLINK("https://au.indeed.com/viewjob?jk=90bdd822e97ef60a","Asset Engineer - Roads and Structural Assets")</f>
        <v>Asset Engineer - Roads and Structural Assets</v>
      </c>
      <c r="D600" s="45" t="s">
        <v>500</v>
      </c>
      <c r="E600" s="47">
        <v>44202.362800925926</v>
      </c>
      <c r="F600" s="45" t="s">
        <v>164</v>
      </c>
    </row>
    <row r="601" spans="1:6" ht="14.25">
      <c r="A601" s="45"/>
      <c r="B601" s="45" t="s">
        <v>162</v>
      </c>
      <c r="C601" s="46" t="str">
        <f>HYPERLINK("https://au.indeed.com/viewjob?jk=46b97aab8ab1e49f","Mechanical Design Engineer")</f>
        <v>Mechanical Design Engineer</v>
      </c>
      <c r="D601" s="45" t="s">
        <v>414</v>
      </c>
      <c r="E601" s="47">
        <v>44202.364004629628</v>
      </c>
      <c r="F601" s="45" t="s">
        <v>164</v>
      </c>
    </row>
    <row r="602" spans="1:6" ht="14.25">
      <c r="A602" s="45"/>
      <c r="B602" s="45" t="s">
        <v>167</v>
      </c>
      <c r="C602" s="46" t="str">
        <f>HYPERLINK("https://au.indeed.com/viewjob?jk=045d538da34c3c6a","Flood / Storm water Infrastructure Engineer")</f>
        <v>Flood / Storm water Infrastructure Engineer</v>
      </c>
      <c r="D602" s="45" t="s">
        <v>501</v>
      </c>
      <c r="E602" s="47">
        <v>44202.366215277776</v>
      </c>
      <c r="F602" s="45" t="s">
        <v>164</v>
      </c>
    </row>
    <row r="603" spans="1:6" ht="14.25">
      <c r="A603" s="45"/>
      <c r="B603" s="45" t="s">
        <v>167</v>
      </c>
      <c r="C603" s="46" t="str">
        <f>HYPERLINK("https://au.indeed.com/viewjob?jk=efd0db82f7b3e48d","System Infrastructure Engineer")</f>
        <v>System Infrastructure Engineer</v>
      </c>
      <c r="D603" s="45" t="s">
        <v>495</v>
      </c>
      <c r="E603" s="47">
        <v>44202.366354166668</v>
      </c>
      <c r="F603" s="45" t="s">
        <v>164</v>
      </c>
    </row>
    <row r="604" spans="1:6" ht="14.25">
      <c r="A604" s="45"/>
      <c r="B604" s="45" t="s">
        <v>502</v>
      </c>
      <c r="C604" s="46" t="str">
        <f>HYPERLINK("https://au.indeed.com/viewjob?jk=68041f1fb2eec9e0","Truck Driver – Agribusiness")</f>
        <v>Truck Driver – Agribusiness</v>
      </c>
      <c r="D604" s="45" t="s">
        <v>503</v>
      </c>
      <c r="E604" s="47">
        <v>44206.914004629631</v>
      </c>
      <c r="F604" s="45" t="s">
        <v>504</v>
      </c>
    </row>
    <row r="605" spans="1:6" ht="14.25">
      <c r="A605" s="45"/>
      <c r="B605" s="45" t="s">
        <v>502</v>
      </c>
      <c r="C605" s="46" t="str">
        <f>HYPERLINK("https://au.indeed.com/viewjob?jk=1fc3435bb160fb48","National Marketing Manager | Agribusiness")</f>
        <v>National Marketing Manager | Agribusiness</v>
      </c>
      <c r="D605" s="45" t="s">
        <v>466</v>
      </c>
      <c r="E605" s="47">
        <v>44206.9141087963</v>
      </c>
      <c r="F605" s="45" t="s">
        <v>504</v>
      </c>
    </row>
    <row r="606" spans="1:6" ht="14.25">
      <c r="A606" s="45"/>
      <c r="B606" s="45" t="s">
        <v>502</v>
      </c>
      <c r="C606" s="46" t="str">
        <f>HYPERLINK("https://au.indeed.com/viewjob?jk=66ced62594e34e6b","Director | Agribusiness")</f>
        <v>Director | Agribusiness</v>
      </c>
      <c r="D606" s="45" t="s">
        <v>466</v>
      </c>
      <c r="E606" s="47">
        <v>44206.914201388892</v>
      </c>
      <c r="F606" s="45" t="s">
        <v>504</v>
      </c>
    </row>
    <row r="607" spans="1:6" ht="14.25">
      <c r="A607" s="45"/>
      <c r="B607" s="45" t="s">
        <v>505</v>
      </c>
      <c r="C607" s="46" t="str">
        <f>HYPERLINK("https://au.indeed.com/viewjob?jk=77402f3a02f57ecc","Group Agronomist - Mackays Group")</f>
        <v>Group Agronomist - Mackays Group</v>
      </c>
      <c r="D607" s="45" t="s">
        <v>506</v>
      </c>
      <c r="E607" s="47">
        <v>44206.914525462962</v>
      </c>
      <c r="F607" s="45" t="s">
        <v>504</v>
      </c>
    </row>
    <row r="608" spans="1:6" ht="14.25">
      <c r="A608" s="45"/>
      <c r="B608" s="45" t="s">
        <v>165</v>
      </c>
      <c r="C608" s="46" t="str">
        <f>HYPERLINK("https://au.indeed.com/viewjob?jk=51df7685cf2996dd","HVAC Junior Project Manager")</f>
        <v>HVAC Junior Project Manager</v>
      </c>
      <c r="D608" s="45" t="s">
        <v>391</v>
      </c>
      <c r="E608" s="47">
        <v>44209.724999999999</v>
      </c>
      <c r="F608" s="45" t="s">
        <v>164</v>
      </c>
    </row>
    <row r="609" spans="1:6" ht="14.25">
      <c r="A609" s="45"/>
      <c r="B609" s="45" t="s">
        <v>165</v>
      </c>
      <c r="C609" s="46" t="str">
        <f>HYPERLINK("https://au.indeed.com/viewjob?jk=da2f8aff1497a689","Mechanical Engineer")</f>
        <v>Mechanical Engineer</v>
      </c>
      <c r="D609" s="45" t="s">
        <v>447</v>
      </c>
      <c r="E609" s="47">
        <v>44209.725115740737</v>
      </c>
      <c r="F609" s="45" t="s">
        <v>164</v>
      </c>
    </row>
    <row r="610" spans="1:6" ht="14.25">
      <c r="A610" s="45"/>
      <c r="B610" s="45" t="s">
        <v>165</v>
      </c>
      <c r="C610" s="46" t="str">
        <f>HYPERLINK("https://au.indeed.com/viewjob?jk=1724d71ffd9e4be3","Principal Mechanical Engineer - NSW")</f>
        <v>Principal Mechanical Engineer - NSW</v>
      </c>
      <c r="D610" s="45" t="s">
        <v>507</v>
      </c>
      <c r="E610" s="47">
        <v>44209.725856481484</v>
      </c>
      <c r="F610" s="45" t="s">
        <v>164</v>
      </c>
    </row>
    <row r="611" spans="1:6" ht="14.25">
      <c r="A611" s="45"/>
      <c r="B611" s="45" t="s">
        <v>165</v>
      </c>
      <c r="C611" s="46" t="str">
        <f>HYPERLINK("https://au.indeed.com/viewjob?jk=653f83fd759c506c","Mechanical Engineer")</f>
        <v>Mechanical Engineer</v>
      </c>
      <c r="D611" s="45" t="s">
        <v>355</v>
      </c>
      <c r="E611" s="47">
        <v>44209.725960648146</v>
      </c>
      <c r="F611" s="45" t="s">
        <v>164</v>
      </c>
    </row>
    <row r="612" spans="1:6" ht="14.25">
      <c r="A612" s="45"/>
      <c r="B612" s="45" t="s">
        <v>165</v>
      </c>
      <c r="C612" s="46" t="str">
        <f>HYPERLINK("https://au.indeed.com/viewjob?jk=612702bf3888aebb","Engineer - HVAC Projects &amp; Design")</f>
        <v>Engineer - HVAC Projects &amp; Design</v>
      </c>
      <c r="D612" s="45" t="s">
        <v>508</v>
      </c>
      <c r="E612" s="47">
        <v>44209.726423611108</v>
      </c>
      <c r="F612" s="45" t="s">
        <v>164</v>
      </c>
    </row>
    <row r="613" spans="1:6" ht="14.25">
      <c r="A613" s="45"/>
      <c r="B613" s="45" t="s">
        <v>165</v>
      </c>
      <c r="C613" s="46" t="str">
        <f>HYPERLINK("https://au.indeed.com/viewjob?jk=36d26218e6242e2a","Test Engineer - (Mechanical) - RMS")</f>
        <v>Test Engineer - (Mechanical) - RMS</v>
      </c>
      <c r="D613" s="45" t="s">
        <v>500</v>
      </c>
      <c r="E613" s="47">
        <v>44209.729039351849</v>
      </c>
      <c r="F613" s="45" t="s">
        <v>164</v>
      </c>
    </row>
    <row r="614" spans="1:6" ht="14.25">
      <c r="A614" s="45"/>
      <c r="B614" s="45" t="s">
        <v>165</v>
      </c>
      <c r="C614" s="46" t="str">
        <f>HYPERLINK("https://au.indeed.com/viewjob?jk=13cb310c692d60ba","Graduate Engineer Mechanical")</f>
        <v>Graduate Engineer Mechanical</v>
      </c>
      <c r="D614" s="45" t="s">
        <v>509</v>
      </c>
      <c r="E614" s="47">
        <v>44209.729143518518</v>
      </c>
      <c r="F614" s="45" t="s">
        <v>164</v>
      </c>
    </row>
    <row r="615" spans="1:6" ht="14.25">
      <c r="A615" s="45"/>
      <c r="B615" s="45" t="s">
        <v>235</v>
      </c>
      <c r="C615" s="46" t="str">
        <f>HYPERLINK("https://au.indeed.com/viewjob?jk=78a79626add00879","Electronics Engineer - Antarctica")</f>
        <v>Electronics Engineer - Antarctica</v>
      </c>
      <c r="D615" s="45" t="s">
        <v>510</v>
      </c>
      <c r="E615" s="47">
        <v>44209.730624999997</v>
      </c>
      <c r="F615" s="45" t="s">
        <v>237</v>
      </c>
    </row>
    <row r="616" spans="1:6" ht="14.25">
      <c r="A616" s="45"/>
      <c r="B616" s="45" t="s">
        <v>165</v>
      </c>
      <c r="C616" s="46" t="str">
        <f>HYPERLINK("https://au.indeed.com/viewjob?jk=367f2b26d7278fc7","Expressions of Interest: Mechanical Engineers and Process Engineers")</f>
        <v>Expressions of Interest: Mechanical Engineers and Process Engineers</v>
      </c>
      <c r="D616" s="45" t="s">
        <v>496</v>
      </c>
      <c r="E616" s="47">
        <v>44209.730752314812</v>
      </c>
      <c r="F616" s="45" t="s">
        <v>164</v>
      </c>
    </row>
    <row r="617" spans="1:6" ht="14.25">
      <c r="A617" s="45"/>
      <c r="B617" s="45" t="s">
        <v>165</v>
      </c>
      <c r="C617" s="46" t="str">
        <f>HYPERLINK("https://au.indeed.com/viewjob?jk=3c87ca85e89b9473","Mechanical Engineer")</f>
        <v>Mechanical Engineer</v>
      </c>
      <c r="D617" s="45" t="s">
        <v>511</v>
      </c>
      <c r="E617" s="47">
        <v>44209.730879629627</v>
      </c>
      <c r="F617" s="45" t="s">
        <v>164</v>
      </c>
    </row>
    <row r="618" spans="1:6" ht="14.25">
      <c r="A618" s="45"/>
      <c r="B618" s="45" t="s">
        <v>165</v>
      </c>
      <c r="C618" s="46" t="str">
        <f>HYPERLINK("https://au.indeed.com/viewjob?jk=92e7b1706b0185e0","Design Engineer - Mechanical")</f>
        <v>Design Engineer - Mechanical</v>
      </c>
      <c r="D618" s="45" t="s">
        <v>418</v>
      </c>
      <c r="E618" s="47">
        <v>44209.730983796297</v>
      </c>
      <c r="F618" s="45" t="s">
        <v>164</v>
      </c>
    </row>
    <row r="619" spans="1:6" ht="14.25">
      <c r="A619" s="45"/>
      <c r="B619" s="45" t="s">
        <v>165</v>
      </c>
      <c r="C619" s="46" t="str">
        <f>HYPERLINK("https://au.indeed.com/viewjob?jk=c90248a10e7c5578","Senior Mechanical Engineer")</f>
        <v>Senior Mechanical Engineer</v>
      </c>
      <c r="D619" s="45" t="s">
        <v>512</v>
      </c>
      <c r="E619" s="47">
        <v>44209.731099537035</v>
      </c>
      <c r="F619" s="45" t="s">
        <v>164</v>
      </c>
    </row>
    <row r="620" spans="1:6" ht="14.25">
      <c r="A620" s="45"/>
      <c r="B620" s="45" t="s">
        <v>513</v>
      </c>
      <c r="C620" s="46" t="str">
        <f>HYPERLINK("https://au.indeed.com/viewjob?jk=50360651e0822457","Automation and Controls Technician - CABTECH")</f>
        <v>Automation and Controls Technician - CABTECH</v>
      </c>
      <c r="D620" s="45" t="s">
        <v>514</v>
      </c>
      <c r="E620" s="47">
        <v>44209.731886574074</v>
      </c>
      <c r="F620" s="45" t="s">
        <v>237</v>
      </c>
    </row>
    <row r="621" spans="1:6" ht="14.25">
      <c r="A621" s="45"/>
      <c r="B621" s="45" t="s">
        <v>515</v>
      </c>
      <c r="C621" s="46" t="str">
        <f>HYPERLINK("https://au.indeed.com/viewjob?jk=f312c5605c9a5c41","Test Automation &amp; Application Specialist")</f>
        <v>Test Automation &amp; Application Specialist</v>
      </c>
      <c r="D621" s="45" t="s">
        <v>516</v>
      </c>
      <c r="E621" s="47">
        <v>44209.732025462959</v>
      </c>
      <c r="F621" s="45" t="s">
        <v>237</v>
      </c>
    </row>
    <row r="622" spans="1:6" ht="14.25">
      <c r="A622" s="45"/>
      <c r="B622" s="45" t="s">
        <v>165</v>
      </c>
      <c r="C622" s="46" t="str">
        <f>HYPERLINK("https://au.indeed.com/viewjob?jk=387e2f5e8916baf1","Mechanical Engineer")</f>
        <v>Mechanical Engineer</v>
      </c>
      <c r="D622" s="45" t="s">
        <v>517</v>
      </c>
      <c r="E622" s="47">
        <v>44209.732071759259</v>
      </c>
      <c r="F622" s="45" t="s">
        <v>164</v>
      </c>
    </row>
    <row r="623" spans="1:6" ht="14.25">
      <c r="A623" s="45"/>
      <c r="B623" s="45" t="s">
        <v>243</v>
      </c>
      <c r="C623" s="46" t="str">
        <f>HYPERLINK("https://au.indeed.com/viewjob?jk=fff7c1070dcc490f","Automation Test Engineer")</f>
        <v>Automation Test Engineer</v>
      </c>
      <c r="D623" s="45" t="s">
        <v>518</v>
      </c>
      <c r="E623" s="47">
        <v>44209.732152777775</v>
      </c>
      <c r="F623" s="45" t="s">
        <v>237</v>
      </c>
    </row>
    <row r="624" spans="1:6" ht="14.25">
      <c r="A624" s="45"/>
      <c r="B624" s="45" t="s">
        <v>243</v>
      </c>
      <c r="C624" s="46" t="str">
        <f>HYPERLINK("https://au.indeed.com/viewjob?jk=16e831b96cd97b5d","Senior Automation Engineer")</f>
        <v>Senior Automation Engineer</v>
      </c>
      <c r="D624" s="45" t="s">
        <v>519</v>
      </c>
      <c r="E624" s="47">
        <v>44209.732256944444</v>
      </c>
      <c r="F624" s="45" t="s">
        <v>237</v>
      </c>
    </row>
    <row r="625" spans="1:6" ht="14.25">
      <c r="A625" s="45"/>
      <c r="B625" s="45" t="s">
        <v>243</v>
      </c>
      <c r="C625" s="46" t="str">
        <f>HYPERLINK("https://au.indeed.com/viewjob?jk=916de857b5c294bb","Network Automation Engineer")</f>
        <v>Network Automation Engineer</v>
      </c>
      <c r="D625" s="45" t="s">
        <v>520</v>
      </c>
      <c r="E625" s="47">
        <v>44209.732361111113</v>
      </c>
      <c r="F625" s="45" t="s">
        <v>237</v>
      </c>
    </row>
    <row r="626" spans="1:6" ht="14.25">
      <c r="A626" s="45"/>
      <c r="B626" s="45" t="s">
        <v>243</v>
      </c>
      <c r="C626" s="46" t="str">
        <f>HYPERLINK("https://au.indeed.com/viewjob?jk=6d913633d1daf245","Automation Test Engineer - Six Month Contract")</f>
        <v>Automation Test Engineer - Six Month Contract</v>
      </c>
      <c r="D626" s="45" t="s">
        <v>521</v>
      </c>
      <c r="E626" s="47">
        <v>44209.732465277775</v>
      </c>
      <c r="F626" s="45" t="s">
        <v>237</v>
      </c>
    </row>
    <row r="627" spans="1:6" ht="14.25">
      <c r="A627" s="45"/>
      <c r="B627" s="45" t="s">
        <v>165</v>
      </c>
      <c r="C627" s="46" t="str">
        <f>HYPERLINK("https://au.indeed.com/viewjob?jk=a4e8d3b4a86fb77a","Aircraft Maintenance Engineer - Mechanical")</f>
        <v>Aircraft Maintenance Engineer - Mechanical</v>
      </c>
      <c r="D627" s="45" t="s">
        <v>522</v>
      </c>
      <c r="E627" s="47">
        <v>44209.732581018521</v>
      </c>
      <c r="F627" s="45" t="s">
        <v>164</v>
      </c>
    </row>
    <row r="628" spans="1:6" ht="14.25">
      <c r="A628" s="45"/>
      <c r="B628" s="45" t="s">
        <v>165</v>
      </c>
      <c r="C628" s="46" t="str">
        <f>HYPERLINK("https://au.indeed.com/viewjob?jk=6b51ef0cae8ff22c","Principal Mechanical Engineer")</f>
        <v>Principal Mechanical Engineer</v>
      </c>
      <c r="D628" s="45" t="s">
        <v>523</v>
      </c>
      <c r="E628" s="47">
        <v>44209.732685185183</v>
      </c>
      <c r="F628" s="45" t="s">
        <v>164</v>
      </c>
    </row>
    <row r="629" spans="1:6" ht="14.25">
      <c r="A629" s="45"/>
      <c r="B629" s="45" t="s">
        <v>165</v>
      </c>
      <c r="C629" s="46" t="str">
        <f>HYPERLINK("https://au.indeed.com/viewjob?jk=b49bd4ceb5c7959f","Senior Mechanical Engineer")</f>
        <v>Senior Mechanical Engineer</v>
      </c>
      <c r="D629" s="45" t="s">
        <v>354</v>
      </c>
      <c r="E629" s="47">
        <v>44209.732789351852</v>
      </c>
      <c r="F629" s="45" t="s">
        <v>164</v>
      </c>
    </row>
    <row r="630" spans="1:6" ht="14.25">
      <c r="A630" s="45"/>
      <c r="B630" s="45" t="s">
        <v>165</v>
      </c>
      <c r="C630" s="46" t="str">
        <f>HYPERLINK("https://au.indeed.com/viewjob?jk=a3adb0346f4a4183","Mechanical Project Engineer")</f>
        <v>Mechanical Project Engineer</v>
      </c>
      <c r="D630" s="45" t="s">
        <v>524</v>
      </c>
      <c r="E630" s="47">
        <v>44209.732893518521</v>
      </c>
      <c r="F630" s="45" t="s">
        <v>164</v>
      </c>
    </row>
    <row r="631" spans="1:6" ht="14.25">
      <c r="A631" s="45"/>
      <c r="B631" s="45" t="s">
        <v>243</v>
      </c>
      <c r="C631" s="46" t="str">
        <f>HYPERLINK("https://au.indeed.com/viewjob?jk=2566b804c2bc570e","Quality Engineer /Sr. Engineer(Automation/Performance)")</f>
        <v>Quality Engineer /Sr. Engineer(Automation/Performance)</v>
      </c>
      <c r="D631" s="45" t="s">
        <v>409</v>
      </c>
      <c r="E631" s="47">
        <v>44209.732986111114</v>
      </c>
      <c r="F631" s="45" t="s">
        <v>237</v>
      </c>
    </row>
    <row r="632" spans="1:6" ht="14.25">
      <c r="A632" s="45"/>
      <c r="B632" s="45" t="s">
        <v>243</v>
      </c>
      <c r="C632" s="46" t="str">
        <f>HYPERLINK("https://au.indeed.com/viewjob?jk=0989a0b50dc12315","Automation Engineer")</f>
        <v>Automation Engineer</v>
      </c>
      <c r="D632" s="45" t="s">
        <v>525</v>
      </c>
      <c r="E632" s="47">
        <v>44209.733078703706</v>
      </c>
      <c r="F632" s="45" t="s">
        <v>237</v>
      </c>
    </row>
    <row r="633" spans="1:6" ht="14.25">
      <c r="A633" s="45"/>
      <c r="B633" s="45" t="s">
        <v>243</v>
      </c>
      <c r="C633" s="46" t="str">
        <f>HYPERLINK("https://au.indeed.com/viewjob?jk=124f19a7ad0f3132","Quality Engineer /Sr. Quality Engineer(Automation)")</f>
        <v>Quality Engineer /Sr. Quality Engineer(Automation)</v>
      </c>
      <c r="D633" s="45" t="s">
        <v>409</v>
      </c>
      <c r="E633" s="47">
        <v>44209.733182870368</v>
      </c>
      <c r="F633" s="45" t="s">
        <v>237</v>
      </c>
    </row>
    <row r="634" spans="1:6" ht="14.25">
      <c r="A634" s="45"/>
      <c r="B634" s="45" t="s">
        <v>165</v>
      </c>
      <c r="C634" s="46" t="str">
        <f>HYPERLINK("https://au.indeed.com/viewjob?jk=bb390b95c8af7b5f","Mechanical Engineer")</f>
        <v>Mechanical Engineer</v>
      </c>
      <c r="D634" s="45" t="s">
        <v>355</v>
      </c>
      <c r="E634" s="47">
        <v>44209.734050925923</v>
      </c>
      <c r="F634" s="45" t="s">
        <v>164</v>
      </c>
    </row>
    <row r="635" spans="1:6" ht="14.25">
      <c r="A635" s="45"/>
      <c r="B635" s="45" t="s">
        <v>246</v>
      </c>
      <c r="C635" s="46" t="str">
        <f>HYPERLINK("https://au.indeed.com/viewjob?jk=d900a069ed90633b","Automation Test Analyst")</f>
        <v>Automation Test Analyst</v>
      </c>
      <c r="D635" s="45" t="s">
        <v>432</v>
      </c>
      <c r="E635" s="47">
        <v>44209.734131944446</v>
      </c>
      <c r="F635" s="45" t="s">
        <v>237</v>
      </c>
    </row>
    <row r="636" spans="1:6" ht="14.25">
      <c r="A636" s="45"/>
      <c r="B636" s="45" t="s">
        <v>165</v>
      </c>
      <c r="C636" s="46" t="str">
        <f>HYPERLINK("https://au.indeed.com/viewjob?jk=e91d173734ffa9e2","Mechanical/Electrical Engineer")</f>
        <v>Mechanical/Electrical Engineer</v>
      </c>
      <c r="D636" s="45" t="s">
        <v>526</v>
      </c>
      <c r="E636" s="47">
        <v>44209.734166666669</v>
      </c>
      <c r="F636" s="45" t="s">
        <v>164</v>
      </c>
    </row>
    <row r="637" spans="1:6" ht="14.25">
      <c r="A637" s="45"/>
      <c r="B637" s="45" t="s">
        <v>246</v>
      </c>
      <c r="C637" s="46" t="str">
        <f>HYPERLINK("https://au.indeed.com/viewjob?jk=dd4328aeafd533fe","Automation Test Analyst")</f>
        <v>Automation Test Analyst</v>
      </c>
      <c r="D637" s="45" t="s">
        <v>527</v>
      </c>
      <c r="E637" s="47">
        <v>44209.734236111108</v>
      </c>
      <c r="F637" s="45" t="s">
        <v>237</v>
      </c>
    </row>
    <row r="638" spans="1:6" ht="14.25">
      <c r="A638" s="45"/>
      <c r="B638" s="45" t="s">
        <v>165</v>
      </c>
      <c r="C638" s="46" t="str">
        <f>HYPERLINK("https://au.indeed.com/viewjob?jk=c0ca542045285670","Mechanical Service Engineer - Development")</f>
        <v>Mechanical Service Engineer - Development</v>
      </c>
      <c r="D638" s="45" t="s">
        <v>528</v>
      </c>
      <c r="E638" s="47">
        <v>44209.734270833331</v>
      </c>
      <c r="F638" s="45" t="s">
        <v>164</v>
      </c>
    </row>
    <row r="639" spans="1:6" ht="14.25">
      <c r="A639" s="45"/>
      <c r="B639" s="45" t="s">
        <v>165</v>
      </c>
      <c r="C639" s="46" t="str">
        <f>HYPERLINK("https://au.indeed.com/viewjob?jk=ffdffb083bbe74a2","Expressions of Interest - Mechanical Engineers - Rozelle Interchange")</f>
        <v>Expressions of Interest - Mechanical Engineers - Rozelle Interchange</v>
      </c>
      <c r="D639" s="45" t="s">
        <v>457</v>
      </c>
      <c r="E639" s="47">
        <v>44209.734386574077</v>
      </c>
      <c r="F639" s="45" t="s">
        <v>164</v>
      </c>
    </row>
    <row r="640" spans="1:6" ht="14.25">
      <c r="A640" s="45"/>
      <c r="B640" s="45" t="s">
        <v>165</v>
      </c>
      <c r="C640" s="46" t="str">
        <f>HYPERLINK("https://au.indeed.com/viewjob?jk=a58171266e49a059","Aircraft Maintenance Engineer - Mechanical")</f>
        <v>Aircraft Maintenance Engineer - Mechanical</v>
      </c>
      <c r="D640" s="45" t="s">
        <v>529</v>
      </c>
      <c r="E640" s="47">
        <v>44209.734513888892</v>
      </c>
      <c r="F640" s="45" t="s">
        <v>164</v>
      </c>
    </row>
    <row r="641" spans="1:6" ht="14.25">
      <c r="A641" s="45"/>
      <c r="B641" s="45" t="s">
        <v>165</v>
      </c>
      <c r="C641" s="46" t="str">
        <f>HYPERLINK("https://au.indeed.com/viewjob?jk=601f8bd9f980c06b","HVAC Mechanical Engineer")</f>
        <v>HVAC Mechanical Engineer</v>
      </c>
      <c r="D641" s="45" t="s">
        <v>473</v>
      </c>
      <c r="E641" s="47">
        <v>44209.734618055554</v>
      </c>
      <c r="F641" s="45" t="s">
        <v>164</v>
      </c>
    </row>
    <row r="642" spans="1:6" ht="14.25">
      <c r="A642" s="45"/>
      <c r="B642" s="45" t="s">
        <v>246</v>
      </c>
      <c r="C642" s="46" t="str">
        <f>HYPERLINK("https://au.indeed.com/viewjob?jk=054279288a6e828d","Automation Test Consultants")</f>
        <v>Automation Test Consultants</v>
      </c>
      <c r="D642" s="45" t="s">
        <v>530</v>
      </c>
      <c r="E642" s="47">
        <v>44209.734733796293</v>
      </c>
      <c r="F642" s="45" t="s">
        <v>237</v>
      </c>
    </row>
    <row r="643" spans="1:6" ht="14.25">
      <c r="A643" s="45"/>
      <c r="B643" s="45" t="s">
        <v>165</v>
      </c>
      <c r="C643" s="46" t="str">
        <f>HYPERLINK("https://au.indeed.com/viewjob?jk=91c858a3c438bd00","Mechanical Engineer/Designer-Griffith/Sydney, NSW")</f>
        <v>Mechanical Engineer/Designer-Griffith/Sydney, NSW</v>
      </c>
      <c r="D643" s="45" t="s">
        <v>531</v>
      </c>
      <c r="E643" s="47">
        <v>44209.73474537037</v>
      </c>
      <c r="F643" s="45" t="s">
        <v>164</v>
      </c>
    </row>
    <row r="644" spans="1:6" ht="14.25">
      <c r="A644" s="45"/>
      <c r="B644" s="45" t="s">
        <v>165</v>
      </c>
      <c r="C644" s="46" t="str">
        <f>HYPERLINK("https://au.indeed.com/viewjob?jk=01ade46073c7f223","QC Engineer - Mechanical")</f>
        <v>QC Engineer - Mechanical</v>
      </c>
      <c r="D644" s="45" t="s">
        <v>424</v>
      </c>
      <c r="E644" s="47">
        <v>44209.734849537039</v>
      </c>
      <c r="F644" s="45" t="s">
        <v>164</v>
      </c>
    </row>
    <row r="645" spans="1:6" ht="14.25">
      <c r="A645" s="45"/>
      <c r="B645" s="45" t="s">
        <v>246</v>
      </c>
      <c r="C645" s="46" t="str">
        <f>HYPERLINK("https://au.indeed.com/viewjob?jk=4874288df29b17d7","Test Automation and Tools Specialist")</f>
        <v>Test Automation and Tools Specialist</v>
      </c>
      <c r="D645" s="45" t="s">
        <v>532</v>
      </c>
      <c r="E645" s="47">
        <v>44209.734884259262</v>
      </c>
      <c r="F645" s="45" t="s">
        <v>237</v>
      </c>
    </row>
    <row r="646" spans="1:6" ht="14.25">
      <c r="A646" s="45"/>
      <c r="B646" s="45" t="s">
        <v>246</v>
      </c>
      <c r="C646" s="46" t="str">
        <f>HYPERLINK("https://au.indeed.com/viewjob?jk=f8bc9e1fc735e95f","Automation / Functional Test Analyst")</f>
        <v>Automation / Functional Test Analyst</v>
      </c>
      <c r="D646" s="45" t="s">
        <v>533</v>
      </c>
      <c r="E646" s="47">
        <v>44209.734988425924</v>
      </c>
      <c r="F646" s="45" t="s">
        <v>237</v>
      </c>
    </row>
    <row r="647" spans="1:6" ht="14.25">
      <c r="A647" s="45"/>
      <c r="B647" s="45" t="s">
        <v>165</v>
      </c>
      <c r="C647" s="46" t="str">
        <f>HYPERLINK("https://au.indeed.com/viewjob?jk=fd08df8d380fc0b2","R&amp;D Hardware Engineer (Mechanical)")</f>
        <v>R&amp;D Hardware Engineer (Mechanical)</v>
      </c>
      <c r="D647" s="45" t="s">
        <v>418</v>
      </c>
      <c r="E647" s="47">
        <v>44209.734988425924</v>
      </c>
      <c r="F647" s="45" t="s">
        <v>164</v>
      </c>
    </row>
    <row r="648" spans="1:6" ht="14.25">
      <c r="A648" s="45"/>
      <c r="B648" s="45" t="s">
        <v>249</v>
      </c>
      <c r="C648" s="46" t="str">
        <f>HYPERLINK("https://au.indeed.com/viewjob?jk=7e1a938ddc1e9b1e","Electrical &amp; Controls Engineer")</f>
        <v>Electrical &amp; Controls Engineer</v>
      </c>
      <c r="D648" s="45" t="s">
        <v>534</v>
      </c>
      <c r="E648" s="47">
        <v>44209.735474537039</v>
      </c>
      <c r="F648" s="45" t="s">
        <v>237</v>
      </c>
    </row>
    <row r="649" spans="1:6" ht="14.25">
      <c r="A649" s="45"/>
      <c r="B649" s="45" t="s">
        <v>249</v>
      </c>
      <c r="C649" s="46" t="str">
        <f>HYPERLINK("https://au.indeed.com/viewjob?jk=618abefaf37d4921","Project Controls – Planning and Cost Engineers")</f>
        <v>Project Controls – Planning and Cost Engineers</v>
      </c>
      <c r="D649" s="45" t="s">
        <v>535</v>
      </c>
      <c r="E649" s="47">
        <v>44209.735590277778</v>
      </c>
      <c r="F649" s="45" t="s">
        <v>237</v>
      </c>
    </row>
    <row r="650" spans="1:6" ht="14.25">
      <c r="A650" s="45"/>
      <c r="B650" s="45" t="s">
        <v>249</v>
      </c>
      <c r="C650" s="46" t="str">
        <f>HYPERLINK("https://au.indeed.com/viewjob?jk=b95d62927124d6b5","Control Systems Engineer")</f>
        <v>Control Systems Engineer</v>
      </c>
      <c r="D650" s="45" t="s">
        <v>391</v>
      </c>
      <c r="E650" s="47">
        <v>44209.736111111109</v>
      </c>
      <c r="F650" s="45" t="s">
        <v>237</v>
      </c>
    </row>
    <row r="651" spans="1:6" ht="14.25">
      <c r="A651" s="45"/>
      <c r="B651" s="45" t="s">
        <v>249</v>
      </c>
      <c r="C651" s="46" t="str">
        <f>HYPERLINK("https://au.indeed.com/viewjob?jk=87b9f139cfa72d61","Control System Engineer")</f>
        <v>Control System Engineer</v>
      </c>
      <c r="D651" s="45" t="s">
        <v>465</v>
      </c>
      <c r="E651" s="47">
        <v>44209.736678240741</v>
      </c>
      <c r="F651" s="45" t="s">
        <v>237</v>
      </c>
    </row>
    <row r="652" spans="1:6" ht="14.25">
      <c r="A652" s="45"/>
      <c r="B652" s="45" t="s">
        <v>249</v>
      </c>
      <c r="C652" s="46" t="str">
        <f>HYPERLINK("https://au.indeed.com/viewjob?jk=b7f5b493f8e8f36e","2021 Graduate Engineer - Project Controls")</f>
        <v>2021 Graduate Engineer - Project Controls</v>
      </c>
      <c r="D652" s="45" t="s">
        <v>536</v>
      </c>
      <c r="E652" s="47">
        <v>44209.73678240741</v>
      </c>
      <c r="F652" s="45" t="s">
        <v>237</v>
      </c>
    </row>
    <row r="653" spans="1:6" ht="14.25">
      <c r="A653" s="45"/>
      <c r="B653" s="45" t="s">
        <v>165</v>
      </c>
      <c r="C653" s="46" t="str">
        <f>HYPERLINK("https://au.indeed.com/viewjob?jk=482063b27bed72b0","Test Engineer - Mechanical")</f>
        <v>Test Engineer - Mechanical</v>
      </c>
      <c r="D653" s="45" t="s">
        <v>474</v>
      </c>
      <c r="E653" s="47">
        <v>44209.736979166664</v>
      </c>
      <c r="F653" s="45" t="s">
        <v>164</v>
      </c>
    </row>
    <row r="654" spans="1:6" ht="14.25">
      <c r="A654" s="45"/>
      <c r="B654" s="45" t="s">
        <v>249</v>
      </c>
      <c r="C654" s="46" t="str">
        <f>HYPERLINK("https://au.indeed.com/viewjob?jk=8d56ef5f50b4dcb1","Control Systems Engineer - Water &amp; Wastewater")</f>
        <v>Control Systems Engineer - Water &amp; Wastewater</v>
      </c>
      <c r="D654" s="45" t="s">
        <v>537</v>
      </c>
      <c r="E654" s="47">
        <v>44209.737685185188</v>
      </c>
      <c r="F654" s="45" t="s">
        <v>237</v>
      </c>
    </row>
    <row r="655" spans="1:6" ht="14.25">
      <c r="A655" s="45"/>
      <c r="B655" s="45" t="s">
        <v>249</v>
      </c>
      <c r="C655" s="46" t="str">
        <f>HYPERLINK("https://au.indeed.com/viewjob?jk=40eb9600fe791dda","Control Systems Engineer")</f>
        <v>Control Systems Engineer</v>
      </c>
      <c r="D655" s="45" t="s">
        <v>409</v>
      </c>
      <c r="E655" s="47">
        <v>44209.737800925926</v>
      </c>
      <c r="F655" s="45" t="s">
        <v>237</v>
      </c>
    </row>
    <row r="656" spans="1:6" ht="14.25">
      <c r="A656" s="45"/>
      <c r="B656" s="45" t="s">
        <v>249</v>
      </c>
      <c r="C656" s="46" t="str">
        <f>HYPERLINK("https://au.indeed.com/viewjob?jk=a2fc8d46502da67f","Senior Control System Engineer")</f>
        <v>Senior Control System Engineer</v>
      </c>
      <c r="D656" s="45" t="s">
        <v>538</v>
      </c>
      <c r="E656" s="47">
        <v>44209.737893518519</v>
      </c>
      <c r="F656" s="45" t="s">
        <v>237</v>
      </c>
    </row>
    <row r="657" spans="1:6" ht="14.25">
      <c r="A657" s="45"/>
      <c r="B657" s="45" t="s">
        <v>249</v>
      </c>
      <c r="C657" s="46" t="str">
        <f>HYPERLINK("https://au.indeed.com/viewjob?jk=a472a98fec4eeac0","Senior Instrumentation &amp; Control Engineer (Brisbane)")</f>
        <v>Senior Instrumentation &amp; Control Engineer (Brisbane)</v>
      </c>
      <c r="D657" s="45" t="s">
        <v>536</v>
      </c>
      <c r="E657" s="47">
        <v>44209.737997685188</v>
      </c>
      <c r="F657" s="45" t="s">
        <v>237</v>
      </c>
    </row>
    <row r="658" spans="1:6" ht="14.25">
      <c r="A658" s="45"/>
      <c r="B658" s="45" t="s">
        <v>249</v>
      </c>
      <c r="C658" s="46" t="str">
        <f>HYPERLINK("https://au.indeed.com/viewjob?jk=f19a79ff5eab1922","Control System Engineer")</f>
        <v>Control System Engineer</v>
      </c>
      <c r="D658" s="45" t="s">
        <v>465</v>
      </c>
      <c r="E658" s="47">
        <v>44209.73810185185</v>
      </c>
      <c r="F658" s="45" t="s">
        <v>237</v>
      </c>
    </row>
    <row r="659" spans="1:6" ht="14.25">
      <c r="A659" s="45"/>
      <c r="B659" s="45" t="s">
        <v>249</v>
      </c>
      <c r="C659" s="46" t="str">
        <f>HYPERLINK("https://au.indeed.com/viewjob?jk=f9001bae910623a3","Instrument &amp; Control Engineer")</f>
        <v>Instrument &amp; Control Engineer</v>
      </c>
      <c r="D659" s="45" t="s">
        <v>538</v>
      </c>
      <c r="E659" s="47">
        <v>44209.738217592596</v>
      </c>
      <c r="F659" s="45" t="s">
        <v>237</v>
      </c>
    </row>
    <row r="660" spans="1:6" ht="14.25">
      <c r="A660" s="45"/>
      <c r="B660" s="45" t="s">
        <v>249</v>
      </c>
      <c r="C660" s="46" t="str">
        <f>HYPERLINK("https://au.indeed.com/viewjob?jk=2b651af76caee6d9","Senior Control Systems Engineer, Power")</f>
        <v>Senior Control Systems Engineer, Power</v>
      </c>
      <c r="D660" s="45" t="s">
        <v>447</v>
      </c>
      <c r="E660" s="47">
        <v>44209.738333333335</v>
      </c>
      <c r="F660" s="45" t="s">
        <v>237</v>
      </c>
    </row>
    <row r="661" spans="1:6" ht="14.25">
      <c r="A661" s="45"/>
      <c r="B661" s="45" t="s">
        <v>217</v>
      </c>
      <c r="C661" s="46" t="str">
        <f>HYPERLINK("https://au.indeed.com/viewjob?jk=4f404756f251c857","Asset Engineer - Roads and Structural Assets")</f>
        <v>Asset Engineer - Roads and Structural Assets</v>
      </c>
      <c r="D661" s="45" t="s">
        <v>500</v>
      </c>
      <c r="E661" s="47">
        <v>44209.738356481481</v>
      </c>
      <c r="F661" s="45" t="s">
        <v>164</v>
      </c>
    </row>
    <row r="662" spans="1:6" ht="14.25">
      <c r="A662" s="45"/>
      <c r="B662" s="45" t="s">
        <v>249</v>
      </c>
      <c r="C662" s="46" t="str">
        <f>HYPERLINK("https://au.indeed.com/viewjob?jk=a2b0cf42d68f4eb4","Project Controls Engineer")</f>
        <v>Project Controls Engineer</v>
      </c>
      <c r="D662" s="45" t="s">
        <v>448</v>
      </c>
      <c r="E662" s="47">
        <v>44209.738449074073</v>
      </c>
      <c r="F662" s="45" t="s">
        <v>237</v>
      </c>
    </row>
    <row r="663" spans="1:6" ht="14.25">
      <c r="A663" s="45"/>
      <c r="B663" s="45" t="s">
        <v>217</v>
      </c>
      <c r="C663" s="46" t="str">
        <f>HYPERLINK("https://au.indeed.com/viewjob?jk=181537b67a01766b","Asset manager - Principal engineer HVAC")</f>
        <v>Asset manager - Principal engineer HVAC</v>
      </c>
      <c r="D663" s="45" t="s">
        <v>539</v>
      </c>
      <c r="E663" s="47">
        <v>44209.738483796296</v>
      </c>
      <c r="F663" s="45" t="s">
        <v>164</v>
      </c>
    </row>
    <row r="664" spans="1:6" ht="14.25">
      <c r="A664" s="45"/>
      <c r="B664" s="45" t="s">
        <v>217</v>
      </c>
      <c r="C664" s="46" t="str">
        <f>HYPERLINK("https://au.indeed.com/viewjob?jk=13a7bc77d7afbf6b","Asset Management Engineer")</f>
        <v>Asset Management Engineer</v>
      </c>
      <c r="D664" s="45" t="s">
        <v>540</v>
      </c>
      <c r="E664" s="47">
        <v>44209.738587962966</v>
      </c>
      <c r="F664" s="45" t="s">
        <v>164</v>
      </c>
    </row>
    <row r="665" spans="1:6" ht="14.25">
      <c r="A665" s="45"/>
      <c r="B665" s="45" t="s">
        <v>217</v>
      </c>
      <c r="C665" s="46" t="str">
        <f>HYPERLINK("https://au.indeed.com/viewjob?jk=d5d3e2256b73a547","Principal engineer - Asset management")</f>
        <v>Principal engineer - Asset management</v>
      </c>
      <c r="D665" s="45" t="s">
        <v>539</v>
      </c>
      <c r="E665" s="47">
        <v>44209.738692129627</v>
      </c>
      <c r="F665" s="45" t="s">
        <v>164</v>
      </c>
    </row>
    <row r="666" spans="1:6" ht="14.25">
      <c r="A666" s="45"/>
      <c r="B666" s="45" t="s">
        <v>249</v>
      </c>
      <c r="C666" s="46" t="str">
        <f>HYPERLINK("https://au.indeed.com/viewjob?jk=e2ace94fdf490917","Electrical &amp; Controls Engineer (1769BR)")</f>
        <v>Electrical &amp; Controls Engineer (1769BR)</v>
      </c>
      <c r="D666" s="45" t="s">
        <v>541</v>
      </c>
      <c r="E666" s="47">
        <v>44209.738946759258</v>
      </c>
      <c r="F666" s="45" t="s">
        <v>237</v>
      </c>
    </row>
    <row r="667" spans="1:6" ht="14.25">
      <c r="A667" s="45"/>
      <c r="B667" s="45" t="s">
        <v>162</v>
      </c>
      <c r="C667" s="46" t="str">
        <f>HYPERLINK("https://au.indeed.com/viewjob?jk=c7390aebe023aa58","Senior Electronic Design Engineer")</f>
        <v>Senior Electronic Design Engineer</v>
      </c>
      <c r="D667" s="45" t="s">
        <v>424</v>
      </c>
      <c r="E667" s="47">
        <v>44209.739571759259</v>
      </c>
      <c r="F667" s="45" t="s">
        <v>164</v>
      </c>
    </row>
    <row r="668" spans="1:6" ht="14.25">
      <c r="A668" s="45"/>
      <c r="B668" s="45" t="s">
        <v>162</v>
      </c>
      <c r="C668" s="46" t="str">
        <f>HYPERLINK("https://au.indeed.com/viewjob?jk=14cf041cea4a823b","Civil Design Engineer")</f>
        <v>Civil Design Engineer</v>
      </c>
      <c r="D668" s="45" t="s">
        <v>214</v>
      </c>
      <c r="E668" s="47">
        <v>44209.74009259259</v>
      </c>
      <c r="F668" s="45" t="s">
        <v>164</v>
      </c>
    </row>
    <row r="669" spans="1:6" ht="14.25">
      <c r="A669" s="45"/>
      <c r="B669" s="45" t="s">
        <v>162</v>
      </c>
      <c r="C669" s="46" t="str">
        <f>HYPERLINK("https://au.indeed.com/viewjob?jk=544b2fed7c60e8ca","Civil Design Engineer")</f>
        <v>Civil Design Engineer</v>
      </c>
      <c r="D669" s="45" t="s">
        <v>391</v>
      </c>
      <c r="E669" s="47">
        <v>44209.740243055552</v>
      </c>
      <c r="F669" s="45" t="s">
        <v>164</v>
      </c>
    </row>
    <row r="670" spans="1:6" ht="14.25">
      <c r="A670" s="45"/>
      <c r="B670" s="45" t="s">
        <v>162</v>
      </c>
      <c r="C670" s="46" t="str">
        <f>HYPERLINK("https://au.indeed.com/viewjob?jk=6da656d4863235f6","Design Engineer")</f>
        <v>Design Engineer</v>
      </c>
      <c r="D670" s="45" t="s">
        <v>542</v>
      </c>
      <c r="E670" s="47">
        <v>44209.740416666667</v>
      </c>
      <c r="F670" s="45" t="s">
        <v>164</v>
      </c>
    </row>
    <row r="671" spans="1:6" ht="14.25">
      <c r="A671" s="45"/>
      <c r="B671" s="45" t="s">
        <v>255</v>
      </c>
      <c r="C671" s="46" t="str">
        <f>HYPERLINK("https://au.indeed.com/viewjob?jk=d032c07aff601986","Graduate Engineer - Electrical")</f>
        <v>Graduate Engineer - Electrical</v>
      </c>
      <c r="D671" s="45" t="s">
        <v>536</v>
      </c>
      <c r="E671" s="47">
        <v>44209.740925925929</v>
      </c>
      <c r="F671" s="45" t="s">
        <v>237</v>
      </c>
    </row>
    <row r="672" spans="1:6" ht="14.25">
      <c r="A672" s="45"/>
      <c r="B672" s="45" t="s">
        <v>255</v>
      </c>
      <c r="C672" s="46" t="str">
        <f>HYPERLINK("https://au.indeed.com/viewjob?jk=6e743d777205d165","Electrical Engineer")</f>
        <v>Electrical Engineer</v>
      </c>
      <c r="D672" s="45" t="s">
        <v>543</v>
      </c>
      <c r="E672" s="47">
        <v>44209.741064814814</v>
      </c>
      <c r="F672" s="45" t="s">
        <v>237</v>
      </c>
    </row>
    <row r="673" spans="1:6" ht="14.25">
      <c r="A673" s="45"/>
      <c r="B673" s="45" t="s">
        <v>255</v>
      </c>
      <c r="C673" s="46" t="str">
        <f>HYPERLINK("https://au.indeed.com/viewjob?jk=69787cdc0329c882","Asset Engineer | Electrical | Brisbane")</f>
        <v>Asset Engineer | Electrical | Brisbane</v>
      </c>
      <c r="D673" s="45" t="s">
        <v>544</v>
      </c>
      <c r="E673" s="47">
        <v>44209.741168981483</v>
      </c>
      <c r="F673" s="45" t="s">
        <v>237</v>
      </c>
    </row>
    <row r="674" spans="1:6" ht="14.25">
      <c r="A674" s="45"/>
      <c r="B674" s="45" t="s">
        <v>255</v>
      </c>
      <c r="C674" s="46" t="str">
        <f>HYPERLINK("https://au.indeed.com/viewjob?jk=bef7ab9f0ce1e23e","Senior Electrical Engineer")</f>
        <v>Senior Electrical Engineer</v>
      </c>
      <c r="D674" s="45" t="s">
        <v>545</v>
      </c>
      <c r="E674" s="47">
        <v>44209.741550925923</v>
      </c>
      <c r="F674" s="45" t="s">
        <v>237</v>
      </c>
    </row>
    <row r="675" spans="1:6" ht="14.25">
      <c r="A675" s="45"/>
      <c r="B675" s="45" t="s">
        <v>255</v>
      </c>
      <c r="C675" s="46" t="str">
        <f>HYPERLINK("https://au.indeed.com/viewjob?jk=6811fd17c4d9b55f","Electrical Engineer")</f>
        <v>Electrical Engineer</v>
      </c>
      <c r="D675" s="45" t="s">
        <v>546</v>
      </c>
      <c r="E675" s="47">
        <v>44209.741724537038</v>
      </c>
      <c r="F675" s="45" t="s">
        <v>237</v>
      </c>
    </row>
    <row r="676" spans="1:6" ht="14.25">
      <c r="A676" s="45"/>
      <c r="B676" s="45" t="s">
        <v>255</v>
      </c>
      <c r="C676" s="46" t="str">
        <f>HYPERLINK("https://au.indeed.com/viewjob?jk=57ec66863f2e0b7a","Electrical Project Engineer")</f>
        <v>Electrical Project Engineer</v>
      </c>
      <c r="D676" s="45" t="s">
        <v>449</v>
      </c>
      <c r="E676" s="47">
        <v>44209.741990740738</v>
      </c>
      <c r="F676" s="45" t="s">
        <v>237</v>
      </c>
    </row>
    <row r="677" spans="1:6" ht="14.25">
      <c r="A677" s="45"/>
      <c r="B677" s="45" t="s">
        <v>162</v>
      </c>
      <c r="C677" s="46" t="str">
        <f>HYPERLINK("https://au.indeed.com/viewjob?jk=cf1e04ee5d994732","Civil Design Engineer")</f>
        <v>Civil Design Engineer</v>
      </c>
      <c r="D677" s="45" t="s">
        <v>391</v>
      </c>
      <c r="E677" s="47">
        <v>44209.742395833331</v>
      </c>
      <c r="F677" s="45" t="s">
        <v>164</v>
      </c>
    </row>
    <row r="678" spans="1:6" ht="14.25">
      <c r="A678" s="45"/>
      <c r="B678" s="45" t="s">
        <v>255</v>
      </c>
      <c r="C678" s="46" t="str">
        <f>HYPERLINK("https://au.indeed.com/viewjob?jk=ef34bf0b28eeafdb","Senior Electrical Engineer, Power")</f>
        <v>Senior Electrical Engineer, Power</v>
      </c>
      <c r="D678" s="45" t="s">
        <v>447</v>
      </c>
      <c r="E678" s="47">
        <v>44209.742673611108</v>
      </c>
      <c r="F678" s="45" t="s">
        <v>237</v>
      </c>
    </row>
    <row r="679" spans="1:6" ht="14.25">
      <c r="A679" s="45"/>
      <c r="B679" s="45" t="s">
        <v>255</v>
      </c>
      <c r="C679" s="46" t="str">
        <f>HYPERLINK("https://au.indeed.com/viewjob?jk=a69ec46603d2b268","Graduate Electrical Engineer")</f>
        <v>Graduate Electrical Engineer</v>
      </c>
      <c r="D679" s="45" t="s">
        <v>547</v>
      </c>
      <c r="E679" s="47">
        <v>44209.742800925924</v>
      </c>
      <c r="F679" s="45" t="s">
        <v>237</v>
      </c>
    </row>
    <row r="680" spans="1:6" ht="14.25">
      <c r="A680" s="45"/>
      <c r="B680" s="45" t="s">
        <v>255</v>
      </c>
      <c r="C680" s="46" t="str">
        <f>HYPERLINK("https://au.indeed.com/viewjob?jk=a610fa52362d6935","Senior Project Engineer - Mechanical and Electrical")</f>
        <v>Senior Project Engineer - Mechanical and Electrical</v>
      </c>
      <c r="D680" s="45" t="s">
        <v>419</v>
      </c>
      <c r="E680" s="47">
        <v>44209.74291666667</v>
      </c>
      <c r="F680" s="45" t="s">
        <v>237</v>
      </c>
    </row>
    <row r="681" spans="1:6" ht="14.25">
      <c r="A681" s="45"/>
      <c r="B681" s="45" t="s">
        <v>162</v>
      </c>
      <c r="C681" s="46" t="str">
        <f>HYPERLINK("https://au.indeed.com/viewjob?jk=8a603eeac8e21737","Senior Design Engineer")</f>
        <v>Senior Design Engineer</v>
      </c>
      <c r="D681" s="45" t="s">
        <v>548</v>
      </c>
      <c r="E681" s="47">
        <v>44209.742951388886</v>
      </c>
      <c r="F681" s="45" t="s">
        <v>164</v>
      </c>
    </row>
    <row r="682" spans="1:6" ht="14.25">
      <c r="A682" s="45"/>
      <c r="B682" s="45" t="s">
        <v>255</v>
      </c>
      <c r="C682" s="46" t="str">
        <f>HYPERLINK("https://au.indeed.com/viewjob?jk=2fb94e56a3e8b033","Electrical Engineer - Power (Brisbane)")</f>
        <v>Electrical Engineer - Power (Brisbane)</v>
      </c>
      <c r="D682" s="45" t="s">
        <v>549</v>
      </c>
      <c r="E682" s="47">
        <v>44209.743055555555</v>
      </c>
      <c r="F682" s="45" t="s">
        <v>237</v>
      </c>
    </row>
    <row r="683" spans="1:6" ht="14.25">
      <c r="A683" s="45"/>
      <c r="B683" s="45" t="s">
        <v>162</v>
      </c>
      <c r="C683" s="46" t="str">
        <f>HYPERLINK("https://au.indeed.com/viewjob?jk=45c4bce411e5fde5","Transformer Design Engineer")</f>
        <v>Transformer Design Engineer</v>
      </c>
      <c r="D683" s="45" t="s">
        <v>550</v>
      </c>
      <c r="E683" s="47">
        <v>44209.743078703701</v>
      </c>
      <c r="F683" s="45" t="s">
        <v>164</v>
      </c>
    </row>
    <row r="684" spans="1:6" ht="14.25">
      <c r="A684" s="45"/>
      <c r="B684" s="45" t="s">
        <v>255</v>
      </c>
      <c r="C684" s="46" t="str">
        <f>HYPERLINK("https://au.indeed.com/viewjob?jk=9cb0a01048d97bbf","Graduate Electrical or Mechanical Engineer | Mining | Brisbane")</f>
        <v>Graduate Electrical or Mechanical Engineer | Mining | Brisbane</v>
      </c>
      <c r="D684" s="45" t="s">
        <v>544</v>
      </c>
      <c r="E684" s="47">
        <v>44209.743611111109</v>
      </c>
      <c r="F684" s="45" t="s">
        <v>237</v>
      </c>
    </row>
    <row r="685" spans="1:6" ht="14.25">
      <c r="A685" s="45"/>
      <c r="B685" s="45" t="s">
        <v>255</v>
      </c>
      <c r="C685" s="46" t="str">
        <f>HYPERLINK("https://au.indeed.com/viewjob?jk=7bef0d46592ada6c","Senior Electrical &amp; Instrumentation Engineer")</f>
        <v>Senior Electrical &amp; Instrumentation Engineer</v>
      </c>
      <c r="D685" s="45" t="s">
        <v>551</v>
      </c>
      <c r="E685" s="47">
        <v>44209.743807870371</v>
      </c>
      <c r="F685" s="45" t="s">
        <v>237</v>
      </c>
    </row>
    <row r="686" spans="1:6" ht="14.25">
      <c r="A686" s="45"/>
      <c r="B686" s="45" t="s">
        <v>255</v>
      </c>
      <c r="C686" s="46" t="str">
        <f>HYPERLINK("https://au.indeed.com/viewjob?jk=4636dd18fdaaf7c5","Electrical Engineer")</f>
        <v>Electrical Engineer</v>
      </c>
      <c r="D686" s="45" t="s">
        <v>552</v>
      </c>
      <c r="E686" s="47">
        <v>44209.744085648148</v>
      </c>
      <c r="F686" s="45" t="s">
        <v>237</v>
      </c>
    </row>
    <row r="687" spans="1:6" ht="14.25">
      <c r="A687" s="45"/>
      <c r="B687" s="45" t="s">
        <v>162</v>
      </c>
      <c r="C687" s="46" t="str">
        <f>HYPERLINK("https://au.indeed.com/viewjob?jk=b5d8b6b548cf5b9c","Civil Design Engineer")</f>
        <v>Civil Design Engineer</v>
      </c>
      <c r="D687" s="45" t="s">
        <v>419</v>
      </c>
      <c r="E687" s="47">
        <v>44209.744733796295</v>
      </c>
      <c r="F687" s="45" t="s">
        <v>164</v>
      </c>
    </row>
    <row r="688" spans="1:6" ht="14.25">
      <c r="A688" s="45"/>
      <c r="B688" s="45" t="s">
        <v>162</v>
      </c>
      <c r="C688" s="46" t="str">
        <f>HYPERLINK("https://au.indeed.com/viewjob?jk=9e88c7e12663cf08","Design Systems - Frontend Software Engineer")</f>
        <v>Design Systems - Frontend Software Engineer</v>
      </c>
      <c r="D688" s="45" t="s">
        <v>383</v>
      </c>
      <c r="E688" s="47">
        <v>44209.744884259257</v>
      </c>
      <c r="F688" s="45" t="s">
        <v>164</v>
      </c>
    </row>
    <row r="689" spans="1:6" ht="14.25">
      <c r="A689" s="45"/>
      <c r="B689" s="45" t="s">
        <v>162</v>
      </c>
      <c r="C689" s="46" t="str">
        <f>HYPERLINK("https://au.indeed.com/viewjob?jk=0672ca34664c987a","Senior Engineer - Design Manager")</f>
        <v>Senior Engineer - Design Manager</v>
      </c>
      <c r="D689" s="45" t="s">
        <v>553</v>
      </c>
      <c r="E689" s="47">
        <v>44209.745520833334</v>
      </c>
      <c r="F689" s="45" t="s">
        <v>164</v>
      </c>
    </row>
    <row r="690" spans="1:6" ht="14.25">
      <c r="A690" s="45"/>
      <c r="B690" s="45" t="s">
        <v>162</v>
      </c>
      <c r="C690" s="46" t="str">
        <f>HYPERLINK("https://au.indeed.com/viewjob?jk=8de4ee2f185dad3f","Senior Electrical Design Engineer")</f>
        <v>Senior Electrical Design Engineer</v>
      </c>
      <c r="D690" s="45" t="s">
        <v>214</v>
      </c>
      <c r="E690" s="47">
        <v>44209.745729166665</v>
      </c>
      <c r="F690" s="45" t="s">
        <v>164</v>
      </c>
    </row>
    <row r="691" spans="1:6" ht="14.25">
      <c r="A691" s="45"/>
      <c r="B691" s="45" t="s">
        <v>255</v>
      </c>
      <c r="C691" s="46" t="str">
        <f>HYPERLINK("https://au.indeed.com/viewjob?jk=02c99f1ed4e1ff38","Principal Electrical Engineer")</f>
        <v>Principal Electrical Engineer</v>
      </c>
      <c r="D691" s="45" t="s">
        <v>554</v>
      </c>
      <c r="E691" s="47">
        <v>44209.746064814812</v>
      </c>
      <c r="F691" s="45" t="s">
        <v>237</v>
      </c>
    </row>
    <row r="692" spans="1:6" ht="14.25">
      <c r="A692" s="45"/>
      <c r="B692" s="45" t="s">
        <v>255</v>
      </c>
      <c r="C692" s="46" t="str">
        <f>HYPERLINK("https://au.indeed.com/viewjob?jk=6285d5fa3ad6a851","Electrical Engineer")</f>
        <v>Electrical Engineer</v>
      </c>
      <c r="D692" s="45" t="s">
        <v>419</v>
      </c>
      <c r="E692" s="47">
        <v>44209.746203703704</v>
      </c>
      <c r="F692" s="45" t="s">
        <v>237</v>
      </c>
    </row>
    <row r="693" spans="1:6" ht="14.25">
      <c r="A693" s="45"/>
      <c r="B693" s="45" t="s">
        <v>162</v>
      </c>
      <c r="C693" s="46" t="str">
        <f>HYPERLINK("https://au.indeed.com/viewjob?jk=8adbbcae22635fd3","Structural Design Engineer")</f>
        <v>Structural Design Engineer</v>
      </c>
      <c r="D693" s="45" t="s">
        <v>419</v>
      </c>
      <c r="E693" s="47">
        <v>44209.746678240743</v>
      </c>
      <c r="F693" s="45" t="s">
        <v>164</v>
      </c>
    </row>
    <row r="694" spans="1:6" ht="14.25">
      <c r="A694" s="45"/>
      <c r="B694" s="45" t="s">
        <v>255</v>
      </c>
      <c r="C694" s="46" t="str">
        <f>HYPERLINK("https://au.indeed.com/viewjob?jk=21a35c2be599782c","Electrical Engineer - Resources, Power &amp; Industrial Group (RPI)")</f>
        <v>Electrical Engineer - Resources, Power &amp; Industrial Group (RPI)</v>
      </c>
      <c r="D694" s="45" t="s">
        <v>523</v>
      </c>
      <c r="E694" s="47">
        <v>44209.746689814812</v>
      </c>
      <c r="F694" s="45" t="s">
        <v>237</v>
      </c>
    </row>
    <row r="695" spans="1:6" ht="14.25">
      <c r="A695" s="45"/>
      <c r="B695" s="45" t="s">
        <v>255</v>
      </c>
      <c r="C695" s="46" t="str">
        <f>HYPERLINK("https://au.indeed.com/viewjob?jk=99fd81a5559b1532","Electrical Engineer")</f>
        <v>Electrical Engineer</v>
      </c>
      <c r="D695" s="45" t="s">
        <v>554</v>
      </c>
      <c r="E695" s="47">
        <v>44209.747245370374</v>
      </c>
      <c r="F695" s="45" t="s">
        <v>237</v>
      </c>
    </row>
    <row r="696" spans="1:6" ht="14.25">
      <c r="A696" s="45"/>
      <c r="B696" s="45" t="s">
        <v>255</v>
      </c>
      <c r="C696" s="46" t="str">
        <f>HYPERLINK("https://au.indeed.com/viewjob?jk=c9eedb983d660d9b","Chartered Electrical Engineer")</f>
        <v>Chartered Electrical Engineer</v>
      </c>
      <c r="D696" s="45" t="s">
        <v>555</v>
      </c>
      <c r="E696" s="47">
        <v>44209.747384259259</v>
      </c>
      <c r="F696" s="45" t="s">
        <v>237</v>
      </c>
    </row>
    <row r="697" spans="1:6" ht="14.25">
      <c r="A697" s="45"/>
      <c r="B697" s="45" t="s">
        <v>255</v>
      </c>
      <c r="C697" s="46" t="str">
        <f>HYPERLINK("https://au.indeed.com/viewjob?jk=61a1da05e860fcca","Electrical Engineer")</f>
        <v>Electrical Engineer</v>
      </c>
      <c r="D697" s="45" t="s">
        <v>536</v>
      </c>
      <c r="E697" s="47">
        <v>44209.747499999998</v>
      </c>
      <c r="F697" s="45" t="s">
        <v>237</v>
      </c>
    </row>
    <row r="698" spans="1:6" ht="14.25">
      <c r="A698" s="45"/>
      <c r="B698" s="45" t="s">
        <v>162</v>
      </c>
      <c r="C698" s="46" t="str">
        <f>HYPERLINK("https://au.indeed.com/viewjob?jk=0f47d039e24e20a1","Senior Civil Design Engineer / PM / Associate")</f>
        <v>Senior Civil Design Engineer / PM / Associate</v>
      </c>
      <c r="D698" s="45" t="s">
        <v>214</v>
      </c>
      <c r="E698" s="47">
        <v>44209.74763888889</v>
      </c>
      <c r="F698" s="45" t="s">
        <v>164</v>
      </c>
    </row>
    <row r="699" spans="1:6" ht="14.25">
      <c r="A699" s="45"/>
      <c r="B699" s="45" t="s">
        <v>223</v>
      </c>
      <c r="C699" s="46" t="str">
        <f>HYPERLINK("https://au.indeed.com/viewjob?jk=f75b722f5d68de22","Graduate Engineer - Chemical and Process")</f>
        <v>Graduate Engineer - Chemical and Process</v>
      </c>
      <c r="D699" s="45" t="s">
        <v>536</v>
      </c>
      <c r="E699" s="47">
        <v>44209.747708333336</v>
      </c>
      <c r="F699" s="45" t="s">
        <v>237</v>
      </c>
    </row>
    <row r="700" spans="1:6" ht="14.25">
      <c r="A700" s="45"/>
      <c r="B700" s="45" t="s">
        <v>223</v>
      </c>
      <c r="C700" s="46" t="str">
        <f>HYPERLINK("https://au.indeed.com/viewjob?jk=f336fbe8d20f0829","USP Process Engineer")</f>
        <v>USP Process Engineer</v>
      </c>
      <c r="D700" s="45" t="s">
        <v>556</v>
      </c>
      <c r="E700" s="47">
        <v>44209.747858796298</v>
      </c>
      <c r="F700" s="45" t="s">
        <v>237</v>
      </c>
    </row>
    <row r="701" spans="1:6" ht="14.25">
      <c r="A701" s="45"/>
      <c r="B701" s="45" t="s">
        <v>162</v>
      </c>
      <c r="C701" s="46" t="str">
        <f>HYPERLINK("https://au.indeed.com/viewjob?jk=69e3a13dbbf7856c","Electrical Design Engineers")</f>
        <v>Electrical Design Engineers</v>
      </c>
      <c r="D701" s="45" t="s">
        <v>414</v>
      </c>
      <c r="E701" s="47">
        <v>44209.74827546296</v>
      </c>
      <c r="F701" s="45" t="s">
        <v>164</v>
      </c>
    </row>
    <row r="702" spans="1:6" ht="14.25">
      <c r="A702" s="45"/>
      <c r="B702" s="45" t="s">
        <v>186</v>
      </c>
      <c r="C702" s="46" t="str">
        <f>HYPERLINK("https://au.indeed.com/viewjob?jk=41190b8ed2fb1c06","Product Development Engineer")</f>
        <v>Product Development Engineer</v>
      </c>
      <c r="D702" s="45" t="s">
        <v>557</v>
      </c>
      <c r="E702" s="47">
        <v>44209.748495370368</v>
      </c>
      <c r="F702" s="45" t="s">
        <v>164</v>
      </c>
    </row>
    <row r="703" spans="1:6" ht="14.25">
      <c r="A703" s="45"/>
      <c r="B703" s="45" t="s">
        <v>223</v>
      </c>
      <c r="C703" s="46" t="str">
        <f>HYPERLINK("https://au.indeed.com/viewjob?jk=4afd9082103b47be","Process Engineer")</f>
        <v>Process Engineer</v>
      </c>
      <c r="D703" s="45" t="s">
        <v>558</v>
      </c>
      <c r="E703" s="47">
        <v>44209.748564814814</v>
      </c>
      <c r="F703" s="45" t="s">
        <v>237</v>
      </c>
    </row>
    <row r="704" spans="1:6" ht="14.25">
      <c r="A704" s="45"/>
      <c r="B704" s="45" t="s">
        <v>186</v>
      </c>
      <c r="C704" s="46" t="str">
        <f>HYPERLINK("https://au.indeed.com/viewjob?jk=3a950ad3db7f1d98","Senior Systems Development Engineer")</f>
        <v>Senior Systems Development Engineer</v>
      </c>
      <c r="D704" s="45" t="s">
        <v>423</v>
      </c>
      <c r="E704" s="47">
        <v>44209.748599537037</v>
      </c>
      <c r="F704" s="45" t="s">
        <v>164</v>
      </c>
    </row>
    <row r="705" spans="1:6" ht="14.25">
      <c r="A705" s="45"/>
      <c r="B705" s="45" t="s">
        <v>223</v>
      </c>
      <c r="C705" s="46" t="str">
        <f>HYPERLINK("https://au.indeed.com/viewjob?jk=9e48fb8542bbdd97","DSP Process Engineer")</f>
        <v>DSP Process Engineer</v>
      </c>
      <c r="D705" s="45" t="s">
        <v>556</v>
      </c>
      <c r="E705" s="47">
        <v>44209.748668981483</v>
      </c>
      <c r="F705" s="45" t="s">
        <v>237</v>
      </c>
    </row>
    <row r="706" spans="1:6" ht="14.25">
      <c r="A706" s="45"/>
      <c r="B706" s="45" t="s">
        <v>186</v>
      </c>
      <c r="C706" s="46" t="str">
        <f>HYPERLINK("https://au.indeed.com/viewjob?jk=ae241b0faf46f697","Civil Engineer - Intermediate with 3+ years local exp - Urban Development")</f>
        <v>Civil Engineer - Intermediate with 3+ years local exp - Urban Development</v>
      </c>
      <c r="D706" s="45" t="s">
        <v>431</v>
      </c>
      <c r="E706" s="47">
        <v>44209.748692129629</v>
      </c>
      <c r="F706" s="45" t="s">
        <v>164</v>
      </c>
    </row>
    <row r="707" spans="1:6" ht="14.25">
      <c r="A707" s="45"/>
      <c r="B707" s="45" t="s">
        <v>223</v>
      </c>
      <c r="C707" s="46" t="str">
        <f>HYPERLINK("https://au.indeed.com/viewjob?jk=75f53a5c8a991c00","Process Engineer - DSP")</f>
        <v>Process Engineer - DSP</v>
      </c>
      <c r="D707" s="45" t="s">
        <v>556</v>
      </c>
      <c r="E707" s="47">
        <v>44209.748773148145</v>
      </c>
      <c r="F707" s="45" t="s">
        <v>237</v>
      </c>
    </row>
    <row r="708" spans="1:6" ht="14.25">
      <c r="A708" s="45"/>
      <c r="B708" s="45" t="s">
        <v>186</v>
      </c>
      <c r="C708" s="46" t="str">
        <f>HYPERLINK("https://au.indeed.com/viewjob?jk=913aa58e93a4ec50","Optical Process Development Engineer")</f>
        <v>Optical Process Development Engineer</v>
      </c>
      <c r="D708" s="45" t="s">
        <v>355</v>
      </c>
      <c r="E708" s="47">
        <v>44209.748807870368</v>
      </c>
      <c r="F708" s="45" t="s">
        <v>164</v>
      </c>
    </row>
    <row r="709" spans="1:6" ht="14.25">
      <c r="A709" s="45"/>
      <c r="B709" s="45" t="s">
        <v>223</v>
      </c>
      <c r="C709" s="46" t="str">
        <f>HYPERLINK("https://au.indeed.com/viewjob?jk=99ce8ff30a1a46fe","Senior Risk &amp; Process Safety Engineer")</f>
        <v>Senior Risk &amp; Process Safety Engineer</v>
      </c>
      <c r="D709" s="45" t="s">
        <v>265</v>
      </c>
      <c r="E709" s="47">
        <v>44209.748877314814</v>
      </c>
      <c r="F709" s="45" t="s">
        <v>237</v>
      </c>
    </row>
    <row r="710" spans="1:6" ht="14.25">
      <c r="A710" s="45"/>
      <c r="B710" s="45" t="s">
        <v>223</v>
      </c>
      <c r="C710" s="46" t="str">
        <f>HYPERLINK("https://au.indeed.com/viewjob?jk=01e389558799d362","Management Consultant - Water Process Engineer")</f>
        <v>Management Consultant - Water Process Engineer</v>
      </c>
      <c r="D710" s="45" t="s">
        <v>551</v>
      </c>
      <c r="E710" s="47">
        <v>44209.748981481483</v>
      </c>
      <c r="F710" s="45" t="s">
        <v>237</v>
      </c>
    </row>
    <row r="711" spans="1:6" ht="14.25">
      <c r="A711" s="45"/>
      <c r="B711" s="45" t="s">
        <v>186</v>
      </c>
      <c r="C711" s="46" t="str">
        <f>HYPERLINK("https://au.indeed.com/viewjob?jk=4a880851a5c8d711","Data engineer – Talend Development")</f>
        <v>Data engineer – Talend Development</v>
      </c>
      <c r="D711" s="45" t="s">
        <v>409</v>
      </c>
      <c r="E711" s="47">
        <v>44209.749305555553</v>
      </c>
      <c r="F711" s="45" t="s">
        <v>164</v>
      </c>
    </row>
    <row r="712" spans="1:6" ht="14.25">
      <c r="A712" s="45"/>
      <c r="B712" s="45" t="s">
        <v>186</v>
      </c>
      <c r="C712" s="46" t="str">
        <f>HYPERLINK("https://au.indeed.com/viewjob?jk=db60eaf87bb0c701","Senior Civil Engineer - Land/Urban Development $152K-$139K")</f>
        <v>Senior Civil Engineer - Land/Urban Development $152K-$139K</v>
      </c>
      <c r="D712" s="45" t="s">
        <v>431</v>
      </c>
      <c r="E712" s="47">
        <v>44209.749409722222</v>
      </c>
      <c r="F712" s="45" t="s">
        <v>164</v>
      </c>
    </row>
    <row r="713" spans="1:6" ht="14.25">
      <c r="A713" s="45"/>
      <c r="B713" s="45" t="s">
        <v>186</v>
      </c>
      <c r="C713" s="46" t="str">
        <f>HYPERLINK("https://au.indeed.com/viewjob?jk=6a5abc132d703a63","Product Development Chemist/Engineer")</f>
        <v>Product Development Chemist/Engineer</v>
      </c>
      <c r="D713" s="45" t="s">
        <v>418</v>
      </c>
      <c r="E713" s="47">
        <v>44209.749525462961</v>
      </c>
      <c r="F713" s="45" t="s">
        <v>164</v>
      </c>
    </row>
    <row r="714" spans="1:6" ht="14.25">
      <c r="A714" s="45"/>
      <c r="B714" s="45" t="s">
        <v>186</v>
      </c>
      <c r="C714" s="46" t="str">
        <f>HYPERLINK("https://au.indeed.com/viewjob?jk=45a5fb8797e048c7","Software Development Engineer - RDS (Relational Database Services)")</f>
        <v>Software Development Engineer - RDS (Relational Database Services)</v>
      </c>
      <c r="D714" s="45" t="s">
        <v>423</v>
      </c>
      <c r="E714" s="47">
        <v>44209.749618055554</v>
      </c>
      <c r="F714" s="45" t="s">
        <v>164</v>
      </c>
    </row>
    <row r="715" spans="1:6" ht="14.25">
      <c r="A715" s="45"/>
      <c r="B715" s="45" t="s">
        <v>223</v>
      </c>
      <c r="C715" s="46" t="str">
        <f>HYPERLINK("https://au.indeed.com/viewjob?jk=d15d49510155a694","Senior DSP Process Engineer, Manufacturing Sciences")</f>
        <v>Senior DSP Process Engineer, Manufacturing Sciences</v>
      </c>
      <c r="D715" s="45" t="s">
        <v>556</v>
      </c>
      <c r="E715" s="47">
        <v>44209.749976851854</v>
      </c>
      <c r="F715" s="45" t="s">
        <v>237</v>
      </c>
    </row>
    <row r="716" spans="1:6" ht="14.25">
      <c r="A716" s="45"/>
      <c r="B716" s="45" t="s">
        <v>186</v>
      </c>
      <c r="C716" s="46" t="str">
        <f>HYPERLINK("https://au.indeed.com/viewjob?jk=f02bdcc8a1008d4a","Senior Software Development Engineer – AWS - RDS Platform team")</f>
        <v>Senior Software Development Engineer – AWS - RDS Platform team</v>
      </c>
      <c r="D716" s="45" t="s">
        <v>423</v>
      </c>
      <c r="E716" s="47">
        <v>44209.750543981485</v>
      </c>
      <c r="F716" s="45" t="s">
        <v>164</v>
      </c>
    </row>
    <row r="717" spans="1:6" ht="14.25">
      <c r="A717" s="45"/>
      <c r="B717" s="45" t="s">
        <v>176</v>
      </c>
      <c r="C717" s="46" t="str">
        <f>HYPERLINK("https://au.indeed.com/viewjob?jk=9a55908b24142a8e","Project Engineer")</f>
        <v>Project Engineer</v>
      </c>
      <c r="D717" s="45" t="s">
        <v>524</v>
      </c>
      <c r="E717" s="47">
        <v>44209.750590277778</v>
      </c>
      <c r="F717" s="45" t="s">
        <v>237</v>
      </c>
    </row>
    <row r="718" spans="1:6" ht="14.25">
      <c r="A718" s="45"/>
      <c r="B718" s="45" t="s">
        <v>176</v>
      </c>
      <c r="C718" s="46" t="str">
        <f>HYPERLINK("https://au.indeed.com/viewjob?jk=7d8a24cd363f15fb","Project Engineers and Site Engineers")</f>
        <v>Project Engineers and Site Engineers</v>
      </c>
      <c r="D718" s="45" t="s">
        <v>559</v>
      </c>
      <c r="E718" s="47">
        <v>44209.75068287037</v>
      </c>
      <c r="F718" s="45" t="s">
        <v>237</v>
      </c>
    </row>
    <row r="719" spans="1:6" ht="14.25">
      <c r="A719" s="45"/>
      <c r="B719" s="45" t="s">
        <v>186</v>
      </c>
      <c r="C719" s="46" t="str">
        <f>HYPERLINK("https://au.indeed.com/viewjob?jk=2a541446ebed2f3b","Software Development Engineer I")</f>
        <v>Software Development Engineer I</v>
      </c>
      <c r="D719" s="46" t="s">
        <v>560</v>
      </c>
      <c r="E719" s="47">
        <v>44209.751099537039</v>
      </c>
      <c r="F719" s="45" t="s">
        <v>164</v>
      </c>
    </row>
    <row r="720" spans="1:6" ht="14.25">
      <c r="A720" s="45"/>
      <c r="B720" s="45" t="s">
        <v>186</v>
      </c>
      <c r="C720" s="46" t="str">
        <f>HYPERLINK("https://au.indeed.com/viewjob?jk=e186bd6beb106b9b","Sr. Software Development Engineer")</f>
        <v>Sr. Software Development Engineer</v>
      </c>
      <c r="D720" s="45" t="s">
        <v>369</v>
      </c>
      <c r="E720" s="47">
        <v>44209.751215277778</v>
      </c>
      <c r="F720" s="45" t="s">
        <v>164</v>
      </c>
    </row>
    <row r="721" spans="1:6" ht="14.25">
      <c r="A721" s="45"/>
      <c r="B721" s="45" t="s">
        <v>186</v>
      </c>
      <c r="C721" s="46" t="str">
        <f>HYPERLINK("https://au.indeed.com/viewjob?jk=ae9d75d002b6916f","Development Engineer")</f>
        <v>Development Engineer</v>
      </c>
      <c r="D721" s="45" t="s">
        <v>391</v>
      </c>
      <c r="E721" s="47">
        <v>44209.751319444447</v>
      </c>
      <c r="F721" s="45" t="s">
        <v>164</v>
      </c>
    </row>
    <row r="722" spans="1:6" ht="14.25">
      <c r="A722" s="45"/>
      <c r="B722" s="45" t="s">
        <v>186</v>
      </c>
      <c r="C722" s="46" t="str">
        <f>HYPERLINK("https://au.indeed.com/viewjob?jk=5d18420e68989c2a","Senior Development Engineer")</f>
        <v>Senior Development Engineer</v>
      </c>
      <c r="D722" s="45" t="s">
        <v>391</v>
      </c>
      <c r="E722" s="47">
        <v>44209.751435185186</v>
      </c>
      <c r="F722" s="45" t="s">
        <v>164</v>
      </c>
    </row>
    <row r="723" spans="1:6" ht="14.25">
      <c r="A723" s="45"/>
      <c r="B723" s="45" t="s">
        <v>186</v>
      </c>
      <c r="C723" s="46" t="str">
        <f>HYPERLINK("https://au.indeed.com/viewjob?jk=61de11f6ae5ed91b","Civil Engineer - Urban Development")</f>
        <v>Civil Engineer - Urban Development</v>
      </c>
      <c r="D723" s="45" t="s">
        <v>523</v>
      </c>
      <c r="E723" s="47">
        <v>44209.751597222225</v>
      </c>
      <c r="F723" s="45" t="s">
        <v>164</v>
      </c>
    </row>
    <row r="724" spans="1:6" ht="14.25">
      <c r="A724" s="45"/>
      <c r="B724" s="45" t="s">
        <v>176</v>
      </c>
      <c r="C724" s="46" t="str">
        <f>HYPERLINK("https://au.indeed.com/viewjob?jk=98ecaaa796eacb84","Project Engineer – Food and Beverage Projects (Intermediate level)")</f>
        <v>Project Engineer – Food and Beverage Projects (Intermediate level)</v>
      </c>
      <c r="D724" s="45" t="s">
        <v>496</v>
      </c>
      <c r="E724" s="47">
        <v>44209.751620370371</v>
      </c>
      <c r="F724" s="45" t="s">
        <v>237</v>
      </c>
    </row>
    <row r="725" spans="1:6" ht="14.25">
      <c r="A725" s="45"/>
      <c r="B725" s="45" t="s">
        <v>176</v>
      </c>
      <c r="C725" s="46" t="str">
        <f>HYPERLINK("https://au.indeed.com/viewjob?jk=2c5394926393f0be","Senior Project Engineer")</f>
        <v>Senior Project Engineer</v>
      </c>
      <c r="D725" s="45" t="s">
        <v>561</v>
      </c>
      <c r="E725" s="47">
        <v>44209.751736111109</v>
      </c>
      <c r="F725" s="45" t="s">
        <v>237</v>
      </c>
    </row>
    <row r="726" spans="1:6" ht="14.25">
      <c r="A726" s="45"/>
      <c r="B726" s="45" t="s">
        <v>186</v>
      </c>
      <c r="C726" s="46" t="str">
        <f>HYPERLINK("https://au.indeed.com/viewjob?jk=5d86a771c8bc7df8","Python Software Engineer - Developer Platforms (CI, Static Analysis, &amp; Local Development)")</f>
        <v>Python Software Engineer - Developer Platforms (CI, Static Analysis, &amp; Local Development)</v>
      </c>
      <c r="D726" s="45" t="s">
        <v>383</v>
      </c>
      <c r="E726" s="47">
        <v>44209.75209490741</v>
      </c>
      <c r="F726" s="45" t="s">
        <v>164</v>
      </c>
    </row>
    <row r="727" spans="1:6" ht="14.25">
      <c r="A727" s="45"/>
      <c r="B727" s="45" t="s">
        <v>186</v>
      </c>
      <c r="C727" s="46" t="str">
        <f>HYPERLINK("https://au.indeed.com/viewjob?jk=2e889a7afd086203","Data engineer – Talend Development")</f>
        <v>Data engineer – Talend Development</v>
      </c>
      <c r="D727" s="45" t="s">
        <v>409</v>
      </c>
      <c r="E727" s="47">
        <v>44209.752210648148</v>
      </c>
      <c r="F727" s="45" t="s">
        <v>164</v>
      </c>
    </row>
    <row r="728" spans="1:6" ht="14.25">
      <c r="A728" s="45"/>
      <c r="B728" s="45" t="s">
        <v>176</v>
      </c>
      <c r="C728" s="46" t="str">
        <f>HYPERLINK("https://au.indeed.com/viewjob?jk=421ea1bdda5e0380","Site Engineers and Project Engineers")</f>
        <v>Site Engineers and Project Engineers</v>
      </c>
      <c r="D728" s="45" t="s">
        <v>562</v>
      </c>
      <c r="E728" s="47">
        <v>44209.752280092594</v>
      </c>
      <c r="F728" s="45" t="s">
        <v>237</v>
      </c>
    </row>
    <row r="729" spans="1:6" ht="14.25">
      <c r="A729" s="45"/>
      <c r="B729" s="45" t="s">
        <v>186</v>
      </c>
      <c r="C729" s="46" t="str">
        <f>HYPERLINK("https://au.indeed.com/viewjob?jk=50456c1a123f0407","Electronics Engineer (Technology Development)")</f>
        <v>Electronics Engineer (Technology Development)</v>
      </c>
      <c r="D729" s="45" t="s">
        <v>355</v>
      </c>
      <c r="E729" s="47">
        <v>44209.752326388887</v>
      </c>
      <c r="F729" s="45" t="s">
        <v>164</v>
      </c>
    </row>
    <row r="730" spans="1:6" ht="14.25">
      <c r="A730" s="45"/>
      <c r="B730" s="45" t="s">
        <v>176</v>
      </c>
      <c r="C730" s="46" t="str">
        <f>HYPERLINK("https://au.indeed.com/viewjob?jk=6f45ca1babc43e41","Project Engineer - PROJECTS")</f>
        <v>Project Engineer - PROJECTS</v>
      </c>
      <c r="D730" s="45" t="s">
        <v>514</v>
      </c>
      <c r="E730" s="47">
        <v>44209.752384259256</v>
      </c>
      <c r="F730" s="45" t="s">
        <v>237</v>
      </c>
    </row>
    <row r="731" spans="1:6" ht="14.25">
      <c r="A731" s="45"/>
      <c r="B731" s="45" t="s">
        <v>176</v>
      </c>
      <c r="C731" s="46" t="str">
        <f>HYPERLINK("https://au.indeed.com/viewjob?jk=11913887b82e6c2b","Project Engineer")</f>
        <v>Project Engineer</v>
      </c>
      <c r="D731" s="45" t="s">
        <v>563</v>
      </c>
      <c r="E731" s="47">
        <v>44209.752546296295</v>
      </c>
      <c r="F731" s="45" t="s">
        <v>237</v>
      </c>
    </row>
    <row r="732" spans="1:6" ht="14.25">
      <c r="A732" s="45"/>
      <c r="B732" s="45" t="s">
        <v>176</v>
      </c>
      <c r="C732" s="46" t="str">
        <f>HYPERLINK("https://au.indeed.com/viewjob?jk=8c216c2f0a8b5908","Project Engineer")</f>
        <v>Project Engineer</v>
      </c>
      <c r="D732" s="45" t="s">
        <v>564</v>
      </c>
      <c r="E732" s="47">
        <v>44209.752650462964</v>
      </c>
      <c r="F732" s="45" t="s">
        <v>237</v>
      </c>
    </row>
    <row r="733" spans="1:6" ht="14.25">
      <c r="A733" s="45"/>
      <c r="B733" s="45" t="s">
        <v>176</v>
      </c>
      <c r="C733" s="46" t="str">
        <f>HYPERLINK("https://au.indeed.com/viewjob?jk=c7321441f9985270","Senior Project Engineer")</f>
        <v>Senior Project Engineer</v>
      </c>
      <c r="D733" s="45" t="s">
        <v>565</v>
      </c>
      <c r="E733" s="47">
        <v>44209.752766203703</v>
      </c>
      <c r="F733" s="45" t="s">
        <v>237</v>
      </c>
    </row>
    <row r="734" spans="1:6" ht="14.25">
      <c r="A734" s="45"/>
      <c r="B734" s="45" t="s">
        <v>186</v>
      </c>
      <c r="C734" s="46" t="str">
        <f>HYPERLINK("https://au.indeed.com/viewjob?jk=89992ad2e4c232a4","Systems Development Engineer")</f>
        <v>Systems Development Engineer</v>
      </c>
      <c r="D734" s="45" t="s">
        <v>423</v>
      </c>
      <c r="E734" s="47">
        <v>44209.752881944441</v>
      </c>
      <c r="F734" s="45" t="s">
        <v>164</v>
      </c>
    </row>
    <row r="735" spans="1:6" ht="14.25">
      <c r="A735" s="45"/>
      <c r="B735" s="45" t="s">
        <v>186</v>
      </c>
      <c r="C735" s="46" t="str">
        <f>HYPERLINK("https://au.indeed.com/viewjob?jk=28bb3bd6a4fe27cf","Senior Civil Engineer - Urban Development")</f>
        <v>Senior Civil Engineer - Urban Development</v>
      </c>
      <c r="D735" s="45" t="s">
        <v>431</v>
      </c>
      <c r="E735" s="47">
        <v>44209.753020833334</v>
      </c>
      <c r="F735" s="45" t="s">
        <v>164</v>
      </c>
    </row>
    <row r="736" spans="1:6" ht="14.25">
      <c r="A736" s="45"/>
      <c r="B736" s="45" t="s">
        <v>186</v>
      </c>
      <c r="C736" s="46" t="str">
        <f>HYPERLINK("https://au.indeed.com/viewjob?jk=c4a81fa09041a34f","Principal Civil Engineer – Urban Development")</f>
        <v>Principal Civil Engineer – Urban Development</v>
      </c>
      <c r="D736" s="45" t="s">
        <v>523</v>
      </c>
      <c r="E736" s="47">
        <v>44209.753136574072</v>
      </c>
      <c r="F736" s="45" t="s">
        <v>164</v>
      </c>
    </row>
    <row r="737" spans="1:6" ht="14.25">
      <c r="A737" s="45"/>
      <c r="B737" s="45" t="s">
        <v>186</v>
      </c>
      <c r="C737" s="46" t="str">
        <f>HYPERLINK("https://au.indeed.com/viewjob?jk=34af2749b5447526","Senior Civil Engineer - Urban Development")</f>
        <v>Senior Civil Engineer - Urban Development</v>
      </c>
      <c r="D737" s="45" t="s">
        <v>391</v>
      </c>
      <c r="E737" s="47">
        <v>44209.753252314818</v>
      </c>
      <c r="F737" s="45" t="s">
        <v>164</v>
      </c>
    </row>
    <row r="738" spans="1:6" ht="14.25">
      <c r="A738" s="45"/>
      <c r="B738" s="45" t="s">
        <v>176</v>
      </c>
      <c r="C738" s="46" t="str">
        <f>HYPERLINK("https://au.indeed.com/viewjob?jk=2462c6bd1ddcf8d9","Project Engineer")</f>
        <v>Project Engineer</v>
      </c>
      <c r="D738" s="45" t="s">
        <v>457</v>
      </c>
      <c r="E738" s="47">
        <v>44209.753333333334</v>
      </c>
      <c r="F738" s="45" t="s">
        <v>237</v>
      </c>
    </row>
    <row r="739" spans="1:6" ht="14.25">
      <c r="A739" s="45"/>
      <c r="B739" s="45" t="s">
        <v>220</v>
      </c>
      <c r="C739" s="46" t="str">
        <f>HYPERLINK("https://au.indeed.com/viewjob?jk=8c8856847a83ee60","Sales Engineer - Industrial Production Machinery")</f>
        <v>Sales Engineer - Industrial Production Machinery</v>
      </c>
      <c r="D739" s="45" t="s">
        <v>566</v>
      </c>
      <c r="E739" s="47">
        <v>44209.753391203703</v>
      </c>
      <c r="F739" s="45" t="s">
        <v>164</v>
      </c>
    </row>
    <row r="740" spans="1:6" ht="14.25">
      <c r="A740" s="45"/>
      <c r="B740" s="45" t="s">
        <v>176</v>
      </c>
      <c r="C740" s="46" t="str">
        <f>HYPERLINK("https://au.indeed.com/viewjob?jk=6fe022e4c24a7a74","Project Engineers &amp; Senior Project Engineers")</f>
        <v>Project Engineers &amp; Senior Project Engineers</v>
      </c>
      <c r="D740" s="45" t="s">
        <v>541</v>
      </c>
      <c r="E740" s="47">
        <v>44209.753449074073</v>
      </c>
      <c r="F740" s="45" t="s">
        <v>237</v>
      </c>
    </row>
    <row r="741" spans="1:6" ht="14.25">
      <c r="A741" s="45"/>
      <c r="B741" s="45" t="s">
        <v>220</v>
      </c>
      <c r="C741" s="46" t="str">
        <f>HYPERLINK("https://au.indeed.com/viewjob?jk=e0155263a07fdfcb","Expressions of Interest: Structural Engineer, Industrial (Intermediate level)")</f>
        <v>Expressions of Interest: Structural Engineer, Industrial (Intermediate level)</v>
      </c>
      <c r="D741" s="45" t="s">
        <v>496</v>
      </c>
      <c r="E741" s="47">
        <v>44209.753495370373</v>
      </c>
      <c r="F741" s="45" t="s">
        <v>164</v>
      </c>
    </row>
    <row r="742" spans="1:6" ht="14.25">
      <c r="A742" s="45"/>
      <c r="B742" s="45" t="s">
        <v>176</v>
      </c>
      <c r="C742" s="46" t="str">
        <f>HYPERLINK("https://au.indeed.com/viewjob?jk=79cdc709a608f06b","Senior Project Engineers")</f>
        <v>Senior Project Engineers</v>
      </c>
      <c r="D742" s="45" t="s">
        <v>562</v>
      </c>
      <c r="E742" s="47">
        <v>44209.753553240742</v>
      </c>
      <c r="F742" s="45" t="s">
        <v>237</v>
      </c>
    </row>
    <row r="743" spans="1:6" ht="14.25">
      <c r="A743" s="45"/>
      <c r="B743" s="45" t="s">
        <v>220</v>
      </c>
      <c r="C743" s="46" t="str">
        <f>HYPERLINK("https://au.indeed.com/viewjob?jk=dd3d89aea21cf42b","Sales Engineer (m/f) for a German industrial machinery manufacturer in Sydney")</f>
        <v>Sales Engineer (m/f) for a German industrial machinery manufacturer in Sydney</v>
      </c>
      <c r="D743" s="45" t="s">
        <v>567</v>
      </c>
      <c r="E743" s="47">
        <v>44209.753611111111</v>
      </c>
      <c r="F743" s="45" t="s">
        <v>164</v>
      </c>
    </row>
    <row r="744" spans="1:6" ht="14.25">
      <c r="A744" s="45"/>
      <c r="B744" s="45" t="s">
        <v>176</v>
      </c>
      <c r="C744" s="46" t="str">
        <f>HYPERLINK("https://au.indeed.com/viewjob?jk=f9680e26de44478a","Project Engineers &amp; Senior Project Engineers")</f>
        <v>Project Engineers &amp; Senior Project Engineers</v>
      </c>
      <c r="D744" s="45" t="s">
        <v>568</v>
      </c>
      <c r="E744" s="47">
        <v>44209.75408564815</v>
      </c>
      <c r="F744" s="45" t="s">
        <v>237</v>
      </c>
    </row>
    <row r="745" spans="1:6" ht="14.25">
      <c r="A745" s="45"/>
      <c r="B745" s="45" t="s">
        <v>167</v>
      </c>
      <c r="C745" s="46" t="str">
        <f>HYPERLINK("https://au.indeed.com/viewjob?jk=3c124e2edee519d7","Infrastructure /Active Directory Engineer")</f>
        <v>Infrastructure /Active Directory Engineer</v>
      </c>
      <c r="D745" s="45" t="s">
        <v>375</v>
      </c>
      <c r="E745" s="47">
        <v>44209.754155092596</v>
      </c>
      <c r="F745" s="45" t="s">
        <v>164</v>
      </c>
    </row>
    <row r="746" spans="1:6" ht="14.25">
      <c r="A746" s="45"/>
      <c r="B746" s="45" t="s">
        <v>176</v>
      </c>
      <c r="C746" s="46" t="str">
        <f>HYPERLINK("https://au.indeed.com/viewjob?jk=5ef26c01b4cbdc49","Senior Project Engineer (Mechanical)")</f>
        <v>Senior Project Engineer (Mechanical)</v>
      </c>
      <c r="D746" s="45" t="s">
        <v>524</v>
      </c>
      <c r="E746" s="47">
        <v>44209.754224537035</v>
      </c>
      <c r="F746" s="45" t="s">
        <v>237</v>
      </c>
    </row>
    <row r="747" spans="1:6" ht="14.25">
      <c r="A747" s="45"/>
      <c r="B747" s="45" t="s">
        <v>176</v>
      </c>
      <c r="C747" s="46" t="str">
        <f>HYPERLINK("https://au.indeed.com/viewjob?jk=bdd9d5537c4112e0","Senior Project Engineer")</f>
        <v>Senior Project Engineer</v>
      </c>
      <c r="D747" s="45" t="s">
        <v>541</v>
      </c>
      <c r="E747" s="47">
        <v>44209.754340277781</v>
      </c>
      <c r="F747" s="45" t="s">
        <v>237</v>
      </c>
    </row>
    <row r="748" spans="1:6" ht="14.25">
      <c r="A748" s="45"/>
      <c r="B748" s="45" t="s">
        <v>176</v>
      </c>
      <c r="C748" s="46" t="str">
        <f>HYPERLINK("https://au.indeed.com/viewjob?jk=6bcc95d620b89e0c","Project Engineer")</f>
        <v>Project Engineer</v>
      </c>
      <c r="D748" s="45" t="s">
        <v>524</v>
      </c>
      <c r="E748" s="47">
        <v>44209.754444444443</v>
      </c>
      <c r="F748" s="45" t="s">
        <v>237</v>
      </c>
    </row>
    <row r="749" spans="1:6" ht="14.25">
      <c r="A749" s="45"/>
      <c r="B749" s="45" t="s">
        <v>176</v>
      </c>
      <c r="C749" s="46" t="str">
        <f>HYPERLINK("https://au.indeed.com/viewjob?jk=09045fd75b697fff","Project Engineers &amp; Site Engineers")</f>
        <v>Project Engineers &amp; Site Engineers</v>
      </c>
      <c r="D749" s="45" t="s">
        <v>562</v>
      </c>
      <c r="E749" s="47">
        <v>44209.754548611112</v>
      </c>
      <c r="F749" s="45" t="s">
        <v>237</v>
      </c>
    </row>
    <row r="750" spans="1:6" ht="14.25">
      <c r="A750" s="45"/>
      <c r="B750" s="45" t="s">
        <v>176</v>
      </c>
      <c r="C750" s="46" t="str">
        <f>HYPERLINK("https://au.indeed.com/viewjob?jk=b720e23669b3d517","Civil Project Engineer")</f>
        <v>Civil Project Engineer</v>
      </c>
      <c r="D750" s="45" t="s">
        <v>569</v>
      </c>
      <c r="E750" s="47">
        <v>44209.754664351851</v>
      </c>
      <c r="F750" s="45" t="s">
        <v>237</v>
      </c>
    </row>
    <row r="751" spans="1:6" ht="14.25">
      <c r="A751" s="45"/>
      <c r="B751" s="45" t="s">
        <v>167</v>
      </c>
      <c r="C751" s="46" t="str">
        <f>HYPERLINK("https://au.indeed.com/viewjob?jk=cb71316be8143b78","Infrastructure Senior Support Engineer")</f>
        <v>Infrastructure Senior Support Engineer</v>
      </c>
      <c r="D751" s="45" t="s">
        <v>570</v>
      </c>
      <c r="E751" s="47">
        <v>44209.754699074074</v>
      </c>
      <c r="F751" s="45" t="s">
        <v>164</v>
      </c>
    </row>
    <row r="752" spans="1:6" ht="14.25">
      <c r="A752" s="45"/>
      <c r="B752" s="45" t="s">
        <v>176</v>
      </c>
      <c r="C752" s="46" t="str">
        <f>HYPERLINK("https://au.indeed.com/viewjob?jk=7ecf6e5218281645","Project Engineer")</f>
        <v>Project Engineer</v>
      </c>
      <c r="D752" s="45" t="s">
        <v>561</v>
      </c>
      <c r="E752" s="47">
        <v>44209.755266203705</v>
      </c>
      <c r="F752" s="45" t="s">
        <v>237</v>
      </c>
    </row>
    <row r="753" spans="1:6" ht="14.25">
      <c r="A753" s="45"/>
      <c r="B753" s="45" t="s">
        <v>167</v>
      </c>
      <c r="C753" s="46" t="str">
        <f>HYPERLINK("https://au.indeed.com/viewjob?jk=2c88f5a4a4f38b54","Search Infrastructure Software Engineer - Python, AWS, Solr / ElasticSearch")</f>
        <v>Search Infrastructure Software Engineer - Python, AWS, Solr / ElasticSearch</v>
      </c>
      <c r="D753" s="45" t="s">
        <v>383</v>
      </c>
      <c r="E753" s="47">
        <v>44209.755706018521</v>
      </c>
      <c r="F753" s="45" t="s">
        <v>164</v>
      </c>
    </row>
    <row r="754" spans="1:6" ht="14.25">
      <c r="A754" s="45"/>
      <c r="B754" s="45" t="s">
        <v>167</v>
      </c>
      <c r="C754" s="46" t="str">
        <f>HYPERLINK("https://au.indeed.com/viewjob?jk=151f8b880aa8a044","Infrastructure Modernization Customer Engineer, Public Sector, Google Cloud")</f>
        <v>Infrastructure Modernization Customer Engineer, Public Sector, Google Cloud</v>
      </c>
      <c r="D754" s="45" t="s">
        <v>358</v>
      </c>
      <c r="E754" s="47">
        <v>44209.75582175926</v>
      </c>
      <c r="F754" s="45" t="s">
        <v>164</v>
      </c>
    </row>
    <row r="755" spans="1:6" ht="14.25">
      <c r="A755" s="45"/>
      <c r="B755" s="45" t="s">
        <v>176</v>
      </c>
      <c r="C755" s="46" t="str">
        <f>HYPERLINK("https://au.indeed.com/viewjob?jk=2793c10d4c80a4d0","Project Engineer")</f>
        <v>Project Engineer</v>
      </c>
      <c r="D755" s="45" t="s">
        <v>571</v>
      </c>
      <c r="E755" s="47">
        <v>44209.756296296298</v>
      </c>
      <c r="F755" s="45" t="s">
        <v>237</v>
      </c>
    </row>
    <row r="756" spans="1:6" ht="14.25">
      <c r="A756" s="45"/>
      <c r="B756" s="45" t="s">
        <v>176</v>
      </c>
      <c r="C756" s="46" t="str">
        <f>HYPERLINK("https://au.indeed.com/viewjob?jk=4b692b96ed61f0b1","Senior Project Engineer")</f>
        <v>Senior Project Engineer</v>
      </c>
      <c r="D756" s="45" t="s">
        <v>572</v>
      </c>
      <c r="E756" s="47">
        <v>44209.756423611114</v>
      </c>
      <c r="F756" s="45" t="s">
        <v>237</v>
      </c>
    </row>
    <row r="757" spans="1:6" ht="14.25">
      <c r="A757" s="45"/>
      <c r="B757" s="45" t="s">
        <v>167</v>
      </c>
      <c r="C757" s="46" t="str">
        <f>HYPERLINK("https://au.indeed.com/viewjob?jk=e0515c755f69f1cb","Infrastructure Patching Engineer")</f>
        <v>Infrastructure Patching Engineer</v>
      </c>
      <c r="D757" s="45" t="s">
        <v>434</v>
      </c>
      <c r="E757" s="47">
        <v>44209.757025462961</v>
      </c>
      <c r="F757" s="45" t="s">
        <v>164</v>
      </c>
    </row>
    <row r="758" spans="1:6" ht="14.25">
      <c r="A758" s="45"/>
      <c r="B758" s="45" t="s">
        <v>176</v>
      </c>
      <c r="C758" s="46" t="str">
        <f>HYPERLINK("https://au.indeed.com/viewjob?jk=4b992579fad539d3","SENIOR PROJECT ENGINEER")</f>
        <v>SENIOR PROJECT ENGINEER</v>
      </c>
      <c r="D758" s="45" t="s">
        <v>426</v>
      </c>
      <c r="E758" s="47">
        <v>44209.757592592592</v>
      </c>
      <c r="F758" s="45" t="s">
        <v>237</v>
      </c>
    </row>
    <row r="759" spans="1:6" ht="14.25">
      <c r="A759" s="45"/>
      <c r="B759" s="45" t="s">
        <v>176</v>
      </c>
      <c r="C759" s="46" t="str">
        <f>HYPERLINK("https://au.indeed.com/viewjob?jk=fdc6d8404d640afb","Project Engineer")</f>
        <v>Project Engineer</v>
      </c>
      <c r="D759" s="45" t="s">
        <v>573</v>
      </c>
      <c r="E759" s="47">
        <v>44209.757731481484</v>
      </c>
      <c r="F759" s="45" t="s">
        <v>237</v>
      </c>
    </row>
    <row r="760" spans="1:6" ht="14.25">
      <c r="A760" s="45"/>
      <c r="B760" s="45" t="s">
        <v>176</v>
      </c>
      <c r="C760" s="46" t="str">
        <f>HYPERLINK("https://au.indeed.com/viewjob?jk=5128851ab2c0e5ad","Project Engineer")</f>
        <v>Project Engineer</v>
      </c>
      <c r="D760" s="45" t="s">
        <v>558</v>
      </c>
      <c r="E760" s="47">
        <v>44209.758298611108</v>
      </c>
      <c r="F760" s="45" t="s">
        <v>237</v>
      </c>
    </row>
    <row r="761" spans="1:6" ht="14.25">
      <c r="A761" s="45"/>
      <c r="B761" s="45" t="s">
        <v>176</v>
      </c>
      <c r="C761" s="46" t="str">
        <f>HYPERLINK("https://au.indeed.com/viewjob?jk=1d613d55f1ad2651","Project Engineer")</f>
        <v>Project Engineer</v>
      </c>
      <c r="D761" s="45" t="s">
        <v>574</v>
      </c>
      <c r="E761" s="47">
        <v>44209.758425925924</v>
      </c>
      <c r="F761" s="45" t="s">
        <v>237</v>
      </c>
    </row>
    <row r="762" spans="1:6" ht="14.25">
      <c r="A762" s="45"/>
      <c r="B762" s="45" t="s">
        <v>176</v>
      </c>
      <c r="C762" s="46" t="str">
        <f>HYPERLINK("https://au.indeed.com/viewjob?jk=e6d22af75ff052ba","Senior Project Engineer")</f>
        <v>Senior Project Engineer</v>
      </c>
      <c r="D762" s="45" t="s">
        <v>568</v>
      </c>
      <c r="E762" s="47">
        <v>44209.758587962962</v>
      </c>
      <c r="F762" s="45" t="s">
        <v>237</v>
      </c>
    </row>
    <row r="763" spans="1:6" ht="14.25">
      <c r="A763" s="45"/>
      <c r="B763" s="45" t="s">
        <v>176</v>
      </c>
      <c r="C763" s="46" t="str">
        <f>HYPERLINK("https://au.indeed.com/viewjob?jk=b61e7e6a5d1b2e1f","Expression of Interest: Project Managers &amp; Engineers")</f>
        <v>Expression of Interest: Project Managers &amp; Engineers</v>
      </c>
      <c r="D763" s="45" t="s">
        <v>449</v>
      </c>
      <c r="E763" s="47">
        <v>44209.759282407409</v>
      </c>
      <c r="F763" s="45" t="s">
        <v>237</v>
      </c>
    </row>
    <row r="764" spans="1:6" ht="14.25">
      <c r="A764" s="45"/>
      <c r="B764" s="45" t="s">
        <v>176</v>
      </c>
      <c r="C764" s="46" t="str">
        <f>HYPERLINK("https://au.indeed.com/viewjob?jk=138060607b8ffbe7","Project Engineer")</f>
        <v>Project Engineer</v>
      </c>
      <c r="D764" s="45" t="s">
        <v>575</v>
      </c>
      <c r="E764" s="47">
        <v>44209.759386574071</v>
      </c>
      <c r="F764" s="45" t="s">
        <v>237</v>
      </c>
    </row>
    <row r="765" spans="1:6" ht="14.25">
      <c r="A765" s="45"/>
      <c r="B765" s="45" t="s">
        <v>176</v>
      </c>
      <c r="C765" s="46" t="str">
        <f>HYPERLINK("https://au.indeed.com/viewjob?jk=3b366769d1882a1b","Project Quality Engineer")</f>
        <v>Project Quality Engineer</v>
      </c>
      <c r="D765" s="45" t="s">
        <v>576</v>
      </c>
      <c r="E765" s="47">
        <v>44209.75990740741</v>
      </c>
      <c r="F765" s="45" t="s">
        <v>237</v>
      </c>
    </row>
    <row r="766" spans="1:6" ht="14.25">
      <c r="A766" s="45"/>
      <c r="B766" s="45" t="s">
        <v>176</v>
      </c>
      <c r="C766" s="46" t="str">
        <f>HYPERLINK("https://au.indeed.com/viewjob?jk=fea8f453a3d04b2a","Senior Project Engineer")</f>
        <v>Senior Project Engineer</v>
      </c>
      <c r="D766" s="45" t="s">
        <v>577</v>
      </c>
      <c r="E766" s="47">
        <v>44209.760046296295</v>
      </c>
      <c r="F766" s="45" t="s">
        <v>237</v>
      </c>
    </row>
    <row r="767" spans="1:6" ht="14.25">
      <c r="A767" s="45"/>
      <c r="B767" s="45" t="s">
        <v>176</v>
      </c>
      <c r="C767" s="46" t="str">
        <f>HYPERLINK("https://au.indeed.com/viewjob?jk=92a7d1c5a4ca8d82","Project Engineer - FIFO or Residential")</f>
        <v>Project Engineer - FIFO or Residential</v>
      </c>
      <c r="D767" s="45" t="s">
        <v>578</v>
      </c>
      <c r="E767" s="47">
        <v>44209.760162037041</v>
      </c>
      <c r="F767" s="45" t="s">
        <v>237</v>
      </c>
    </row>
    <row r="768" spans="1:6" ht="14.25">
      <c r="A768" s="45"/>
      <c r="B768" s="45" t="s">
        <v>167</v>
      </c>
      <c r="C768" s="46" t="str">
        <f>HYPERLINK("https://au.indeed.com/viewjob?jk=a77f5476eddd38fd","Infrastructure Engineer")</f>
        <v>Infrastructure Engineer</v>
      </c>
      <c r="D768" s="45" t="s">
        <v>427</v>
      </c>
      <c r="E768" s="47">
        <v>44209.76017361111</v>
      </c>
      <c r="F768" s="45" t="s">
        <v>164</v>
      </c>
    </row>
    <row r="769" spans="1:6" ht="14.25">
      <c r="A769" s="45"/>
      <c r="B769" s="45" t="s">
        <v>176</v>
      </c>
      <c r="C769" s="46" t="str">
        <f>HYPERLINK("https://au.indeed.com/viewjob?jk=abc2200c654e453c","Project Engineer")</f>
        <v>Project Engineer</v>
      </c>
      <c r="D769" s="45" t="s">
        <v>579</v>
      </c>
      <c r="E769" s="47">
        <v>44209.760520833333</v>
      </c>
      <c r="F769" s="45" t="s">
        <v>237</v>
      </c>
    </row>
    <row r="770" spans="1:6" ht="14.25">
      <c r="A770" s="45"/>
      <c r="B770" s="45" t="s">
        <v>176</v>
      </c>
      <c r="C770" s="46" t="str">
        <f>HYPERLINK("https://au.indeed.com/viewjob?jk=28f3374f72729cb2","Senior Project Engineer")</f>
        <v>Senior Project Engineer</v>
      </c>
      <c r="D770" s="45" t="s">
        <v>391</v>
      </c>
      <c r="E770" s="47">
        <v>44209.760659722226</v>
      </c>
      <c r="F770" s="45" t="s">
        <v>237</v>
      </c>
    </row>
    <row r="771" spans="1:6" ht="14.25">
      <c r="A771" s="45"/>
      <c r="B771" s="45" t="s">
        <v>167</v>
      </c>
      <c r="C771" s="46" t="str">
        <f>HYPERLINK("https://au.indeed.com/viewjob?jk=3dccbdf7f950e475","Infrastructure Engineer II")</f>
        <v>Infrastructure Engineer II</v>
      </c>
      <c r="D771" s="45" t="s">
        <v>580</v>
      </c>
      <c r="E771" s="47">
        <v>44209.760752314818</v>
      </c>
      <c r="F771" s="45" t="s">
        <v>164</v>
      </c>
    </row>
    <row r="772" spans="1:6" ht="14.25">
      <c r="A772" s="45"/>
      <c r="B772" s="45" t="s">
        <v>167</v>
      </c>
      <c r="C772" s="46" t="str">
        <f>HYPERLINK("https://au.indeed.com/viewjob?jk=341b23772a77032a","Infrastructure Solutions Engineer - 12 Month Fixed Term Contract")</f>
        <v>Infrastructure Solutions Engineer - 12 Month Fixed Term Contract</v>
      </c>
      <c r="D772" s="45" t="s">
        <v>581</v>
      </c>
      <c r="E772" s="47">
        <v>44209.760891203703</v>
      </c>
      <c r="F772" s="45" t="s">
        <v>164</v>
      </c>
    </row>
    <row r="773" spans="1:6" ht="14.25">
      <c r="A773" s="45"/>
      <c r="B773" s="45" t="s">
        <v>176</v>
      </c>
      <c r="C773" s="46" t="str">
        <f>HYPERLINK("https://au.indeed.com/viewjob?jk=b007a27444e04979","Project Engineer")</f>
        <v>Project Engineer</v>
      </c>
      <c r="D773" s="45" t="s">
        <v>391</v>
      </c>
      <c r="E773" s="47">
        <v>44209.761203703703</v>
      </c>
      <c r="F773" s="45" t="s">
        <v>237</v>
      </c>
    </row>
    <row r="774" spans="1:6" ht="14.25">
      <c r="A774" s="45"/>
      <c r="B774" s="45" t="s">
        <v>176</v>
      </c>
      <c r="C774" s="46" t="str">
        <f>HYPERLINK("https://au.indeed.com/viewjob?jk=2064ad5624782edb","Principal Structural Engineer $176-154K Project frustration?")</f>
        <v>Principal Structural Engineer $176-154K Project frustration?</v>
      </c>
      <c r="D774" s="45" t="s">
        <v>431</v>
      </c>
      <c r="E774" s="47">
        <v>44209.761342592596</v>
      </c>
      <c r="F774" s="45" t="s">
        <v>237</v>
      </c>
    </row>
    <row r="775" spans="1:6" ht="14.25">
      <c r="A775" s="45"/>
      <c r="B775" s="45" t="s">
        <v>190</v>
      </c>
      <c r="C775" s="46" t="str">
        <f>HYPERLINK("https://au.indeed.com/viewjob?jk=7cbcdaed6ad84acd","Aircraft Maintenance Engineer (Mech)")</f>
        <v>Aircraft Maintenance Engineer (Mech)</v>
      </c>
      <c r="D775" s="45" t="s">
        <v>441</v>
      </c>
      <c r="E775" s="47">
        <v>44209.761469907404</v>
      </c>
      <c r="F775" s="45" t="s">
        <v>164</v>
      </c>
    </row>
    <row r="776" spans="1:6" ht="14.25">
      <c r="A776" s="45"/>
      <c r="B776" s="45" t="s">
        <v>190</v>
      </c>
      <c r="C776" s="46" t="str">
        <f>HYPERLINK("https://au.indeed.com/viewjob?jk=50adfc4de743f6ab","Aircraft Maintenance Engineer QantasLink Sydney")</f>
        <v>Aircraft Maintenance Engineer QantasLink Sydney</v>
      </c>
      <c r="D776" s="45" t="s">
        <v>582</v>
      </c>
      <c r="E776" s="47">
        <v>44209.761597222219</v>
      </c>
      <c r="F776" s="45" t="s">
        <v>164</v>
      </c>
    </row>
    <row r="777" spans="1:6" ht="14.25">
      <c r="A777" s="45"/>
      <c r="B777" s="45" t="s">
        <v>190</v>
      </c>
      <c r="C777" s="46" t="str">
        <f>HYPERLINK("https://au.indeed.com/viewjob?jk=463cf755d000d2a5","Maintenance &amp; Testing Engineer")</f>
        <v>Maintenance &amp; Testing Engineer</v>
      </c>
      <c r="D777" s="45" t="s">
        <v>448</v>
      </c>
      <c r="E777" s="47">
        <v>44209.761724537035</v>
      </c>
      <c r="F777" s="45" t="s">
        <v>164</v>
      </c>
    </row>
    <row r="778" spans="1:6" ht="14.25">
      <c r="A778" s="45"/>
      <c r="B778" s="45" t="s">
        <v>190</v>
      </c>
      <c r="C778" s="46" t="str">
        <f>HYPERLINK("https://au.indeed.com/viewjob?jk=cf46b0dbeb88ee05","B1 Aircraft Maintenance Engineers &amp; Aircraft Structures Engineers")</f>
        <v>B1 Aircraft Maintenance Engineers &amp; Aircraft Structures Engineers</v>
      </c>
      <c r="D778" s="45" t="s">
        <v>583</v>
      </c>
      <c r="E778" s="47">
        <v>44209.76185185185</v>
      </c>
      <c r="F778" s="45" t="s">
        <v>164</v>
      </c>
    </row>
    <row r="779" spans="1:6" ht="14.25">
      <c r="A779" s="45"/>
      <c r="B779" s="45" t="s">
        <v>442</v>
      </c>
      <c r="C779" s="46" t="str">
        <f>HYPERLINK("https://au.indeed.com/viewjob?jk=b0989bb9ecdae073","Manufacturing Engineer")</f>
        <v>Manufacturing Engineer</v>
      </c>
      <c r="D779" s="45" t="s">
        <v>528</v>
      </c>
      <c r="E779" s="47">
        <v>44209.761990740742</v>
      </c>
      <c r="F779" s="45" t="s">
        <v>164</v>
      </c>
    </row>
    <row r="780" spans="1:6" ht="14.25">
      <c r="A780" s="45"/>
      <c r="B780" s="45" t="s">
        <v>442</v>
      </c>
      <c r="C780" s="46" t="str">
        <f>HYPERLINK("https://au.indeed.com/viewjob?jk=2e8474599c152f11","Manufacturing Systems Software Engineer")</f>
        <v>Manufacturing Systems Software Engineer</v>
      </c>
      <c r="D780" s="45" t="s">
        <v>355</v>
      </c>
      <c r="E780" s="47">
        <v>44209.762094907404</v>
      </c>
      <c r="F780" s="45" t="s">
        <v>164</v>
      </c>
    </row>
    <row r="781" spans="1:6" ht="14.25">
      <c r="A781" s="45"/>
      <c r="B781" s="45" t="s">
        <v>284</v>
      </c>
      <c r="C781" s="46" t="str">
        <f>HYPERLINK("https://au.indeed.com/viewjob?jk=963f6e1dbadae600","Director Consulting Services - Principal Mining Engineer")</f>
        <v>Director Consulting Services - Principal Mining Engineer</v>
      </c>
      <c r="D781" s="45" t="s">
        <v>584</v>
      </c>
      <c r="E781" s="47">
        <v>44209.76226851852</v>
      </c>
      <c r="F781" s="45" t="s">
        <v>164</v>
      </c>
    </row>
    <row r="782" spans="1:6" ht="14.25">
      <c r="A782" s="45"/>
      <c r="B782" s="45" t="s">
        <v>176</v>
      </c>
      <c r="C782" s="46" t="str">
        <f>HYPERLINK("https://au.indeed.com/viewjob?jk=d39f4390f3c4e901","Project Engineer/Site Engineer")</f>
        <v>Project Engineer/Site Engineer</v>
      </c>
      <c r="D782" s="45" t="s">
        <v>391</v>
      </c>
      <c r="E782" s="47">
        <v>44209.762384259258</v>
      </c>
      <c r="F782" s="45" t="s">
        <v>237</v>
      </c>
    </row>
    <row r="783" spans="1:6" ht="14.25">
      <c r="A783" s="45"/>
      <c r="B783" s="45" t="s">
        <v>176</v>
      </c>
      <c r="C783" s="46" t="str">
        <f>HYPERLINK("https://au.indeed.com/viewjob?jk=615c43ccfb22a659","Project Engineer")</f>
        <v>Project Engineer</v>
      </c>
      <c r="D783" s="45" t="s">
        <v>391</v>
      </c>
      <c r="E783" s="47">
        <v>44209.762511574074</v>
      </c>
      <c r="F783" s="45" t="s">
        <v>237</v>
      </c>
    </row>
    <row r="784" spans="1:6" ht="14.25">
      <c r="A784" s="45"/>
      <c r="B784" s="45" t="s">
        <v>176</v>
      </c>
      <c r="C784" s="46" t="str">
        <f>HYPERLINK("https://au.indeed.com/viewjob?jk=e1e8409a0bfdc985","Senior HVAC Project Engineer")</f>
        <v>Senior HVAC Project Engineer</v>
      </c>
      <c r="D784" s="45" t="s">
        <v>473</v>
      </c>
      <c r="E784" s="47">
        <v>44209.762627314813</v>
      </c>
      <c r="F784" s="45" t="s">
        <v>237</v>
      </c>
    </row>
    <row r="785" spans="1:6" ht="14.25">
      <c r="A785" s="45"/>
      <c r="B785" s="45" t="s">
        <v>176</v>
      </c>
      <c r="C785" s="46" t="str">
        <f>HYPERLINK("https://au.indeed.com/viewjob?jk=9fc6642fcd28a3a2","Senior Project Engineer")</f>
        <v>Senior Project Engineer</v>
      </c>
      <c r="D785" s="45" t="s">
        <v>585</v>
      </c>
      <c r="E785" s="47">
        <v>44209.762766203705</v>
      </c>
      <c r="F785" s="45" t="s">
        <v>237</v>
      </c>
    </row>
    <row r="786" spans="1:6" ht="14.25">
      <c r="A786" s="45"/>
      <c r="B786" s="45" t="s">
        <v>284</v>
      </c>
      <c r="C786" s="46" t="str">
        <f>HYPERLINK("https://au.indeed.com/viewjob?jk=ccaafe6f2cec29cd","Senior Engineer - Mining - Rosebery Mine")</f>
        <v>Senior Engineer - Mining - Rosebery Mine</v>
      </c>
      <c r="D786" s="45" t="s">
        <v>586</v>
      </c>
      <c r="E786" s="47">
        <v>44209.762870370374</v>
      </c>
      <c r="F786" s="45" t="s">
        <v>164</v>
      </c>
    </row>
    <row r="787" spans="1:6" ht="14.25">
      <c r="A787" s="45"/>
      <c r="B787" s="45" t="s">
        <v>176</v>
      </c>
      <c r="C787" s="46" t="str">
        <f>HYPERLINK("https://au.indeed.com/viewjob?jk=8540d1d24e44d048","Project Engineer")</f>
        <v>Project Engineer</v>
      </c>
      <c r="D787" s="45" t="s">
        <v>391</v>
      </c>
      <c r="E787" s="47">
        <v>44209.76289351852</v>
      </c>
      <c r="F787" s="45" t="s">
        <v>237</v>
      </c>
    </row>
    <row r="788" spans="1:6" ht="14.25">
      <c r="A788" s="45"/>
      <c r="B788" s="45" t="s">
        <v>284</v>
      </c>
      <c r="C788" s="46" t="str">
        <f>HYPERLINK("https://au.indeed.com/viewjob?jk=32d97c3d76fcf157","Principal Mining Engineer")</f>
        <v>Principal Mining Engineer</v>
      </c>
      <c r="D788" s="45" t="s">
        <v>587</v>
      </c>
      <c r="E788" s="47">
        <v>44209.762997685182</v>
      </c>
      <c r="F788" s="45" t="s">
        <v>164</v>
      </c>
    </row>
    <row r="789" spans="1:6" ht="14.25">
      <c r="A789" s="45"/>
      <c r="B789" s="45" t="s">
        <v>176</v>
      </c>
      <c r="C789" s="46" t="str">
        <f>HYPERLINK("https://au.indeed.com/viewjob?jk=06a43ff447ab6e7f","Senior Project Engineer")</f>
        <v>Senior Project Engineer</v>
      </c>
      <c r="D789" s="45" t="s">
        <v>391</v>
      </c>
      <c r="E789" s="47">
        <v>44209.763009259259</v>
      </c>
      <c r="F789" s="45" t="s">
        <v>237</v>
      </c>
    </row>
    <row r="790" spans="1:6" ht="14.25">
      <c r="A790" s="45"/>
      <c r="B790" s="45" t="s">
        <v>284</v>
      </c>
      <c r="C790" s="46" t="str">
        <f>HYPERLINK("https://au.indeed.com/viewjob?jk=306c301fb13e2ea9","Senior Mining Engineer")</f>
        <v>Senior Mining Engineer</v>
      </c>
      <c r="D790" s="45" t="s">
        <v>587</v>
      </c>
      <c r="E790" s="47">
        <v>44209.763101851851</v>
      </c>
      <c r="F790" s="45" t="s">
        <v>164</v>
      </c>
    </row>
    <row r="791" spans="1:6" ht="14.25">
      <c r="A791" s="45"/>
      <c r="B791" s="45" t="s">
        <v>284</v>
      </c>
      <c r="C791" s="46" t="str">
        <f>HYPERLINK("https://au.indeed.com/viewjob?jk=d8395b20305050e4","Senior Mining Engineer")</f>
        <v>Senior Mining Engineer</v>
      </c>
      <c r="D791" s="45" t="s">
        <v>285</v>
      </c>
      <c r="E791" s="47">
        <v>44209.763229166667</v>
      </c>
      <c r="F791" s="45" t="s">
        <v>164</v>
      </c>
    </row>
    <row r="792" spans="1:6" ht="14.25">
      <c r="A792" s="45"/>
      <c r="B792" s="45" t="s">
        <v>588</v>
      </c>
      <c r="C792" s="46" t="str">
        <f>HYPERLINK("https://au.indeed.com/viewjob?jk=eeb3de56bd65783d","Senior Project Engineer / Project Engineer (water/Pipelines)")</f>
        <v>Senior Project Engineer / Project Engineer (water/Pipelines)</v>
      </c>
      <c r="D792" s="45" t="s">
        <v>450</v>
      </c>
      <c r="E792" s="47">
        <v>44209.763391203705</v>
      </c>
      <c r="F792" s="45" t="s">
        <v>164</v>
      </c>
    </row>
    <row r="793" spans="1:6" ht="14.25">
      <c r="A793" s="45"/>
      <c r="B793" s="45" t="s">
        <v>588</v>
      </c>
      <c r="C793" s="46" t="str">
        <f>HYPERLINK("https://au.indeed.com/viewjob?jk=9a132b2d70d44ff5","SENIOR SOFTWARE ENGINEER – VFX PIPELINE")</f>
        <v>SENIOR SOFTWARE ENGINEER – VFX PIPELINE</v>
      </c>
      <c r="D793" s="45" t="s">
        <v>589</v>
      </c>
      <c r="E793" s="47">
        <v>44209.763518518521</v>
      </c>
      <c r="F793" s="45" t="s">
        <v>164</v>
      </c>
    </row>
    <row r="794" spans="1:6" ht="14.25">
      <c r="A794" s="45"/>
      <c r="B794" s="45" t="s">
        <v>176</v>
      </c>
      <c r="C794" s="46" t="str">
        <f>HYPERLINK("https://au.indeed.com/viewjob?jk=aa7a40a1a7c903f3","Project Engineer")</f>
        <v>Project Engineer</v>
      </c>
      <c r="D794" s="45" t="s">
        <v>419</v>
      </c>
      <c r="E794" s="47">
        <v>44209.76357638889</v>
      </c>
      <c r="F794" s="45" t="s">
        <v>237</v>
      </c>
    </row>
    <row r="795" spans="1:6" ht="14.25">
      <c r="A795" s="45"/>
      <c r="B795" s="45" t="s">
        <v>223</v>
      </c>
      <c r="C795" s="46" t="str">
        <f>HYPERLINK("https://au.indeed.com/viewjob?jk=f5505e5bd9d36508","Process Engineer (Test System Engineer)")</f>
        <v>Process Engineer (Test System Engineer)</v>
      </c>
      <c r="D795" s="45" t="s">
        <v>590</v>
      </c>
      <c r="E795" s="47">
        <v>44209.764166666668</v>
      </c>
      <c r="F795" s="45" t="s">
        <v>164</v>
      </c>
    </row>
    <row r="796" spans="1:6" ht="14.25">
      <c r="A796" s="45"/>
      <c r="B796" s="45" t="s">
        <v>223</v>
      </c>
      <c r="C796" s="46" t="str">
        <f>HYPERLINK("https://au.indeed.com/viewjob?jk=2851af29078c99f2","Sales Engineer (NSW) - Process and Packaging Machinery")</f>
        <v>Sales Engineer (NSW) - Process and Packaging Machinery</v>
      </c>
      <c r="D796" s="45" t="s">
        <v>566</v>
      </c>
      <c r="E796" s="47">
        <v>44209.764282407406</v>
      </c>
      <c r="F796" s="45" t="s">
        <v>164</v>
      </c>
    </row>
    <row r="797" spans="1:6" ht="14.25">
      <c r="A797" s="45"/>
      <c r="B797" s="45" t="s">
        <v>223</v>
      </c>
      <c r="C797" s="46" t="str">
        <f>HYPERLINK("https://au.indeed.com/viewjob?jk=7e2ab2cb033357b3","Process Engineer")</f>
        <v>Process Engineer</v>
      </c>
      <c r="D797" s="45" t="s">
        <v>591</v>
      </c>
      <c r="E797" s="47">
        <v>44209.764664351853</v>
      </c>
      <c r="F797" s="45" t="s">
        <v>164</v>
      </c>
    </row>
    <row r="798" spans="1:6" ht="14.25">
      <c r="A798" s="45"/>
      <c r="B798" s="45" t="s">
        <v>176</v>
      </c>
      <c r="C798" s="46" t="str">
        <f>HYPERLINK("https://au.indeed.com/viewjob?jk=64e034506532b2ef","Civil Project Engineer / Estimator")</f>
        <v>Civil Project Engineer / Estimator</v>
      </c>
      <c r="D798" s="45" t="s">
        <v>592</v>
      </c>
      <c r="E798" s="47">
        <v>44209.765752314815</v>
      </c>
      <c r="F798" s="45" t="s">
        <v>237</v>
      </c>
    </row>
    <row r="799" spans="1:6" ht="14.25">
      <c r="A799" s="45"/>
      <c r="B799" s="45" t="s">
        <v>192</v>
      </c>
      <c r="C799" s="46" t="str">
        <f>HYPERLINK("https://au.indeed.com/viewjob?jk=71d20e793a4db381","Production Engineer")</f>
        <v>Production Engineer</v>
      </c>
      <c r="D799" s="45" t="s">
        <v>355</v>
      </c>
      <c r="E799" s="47">
        <v>44209.767106481479</v>
      </c>
      <c r="F799" s="45" t="s">
        <v>164</v>
      </c>
    </row>
    <row r="800" spans="1:6" ht="14.25">
      <c r="A800" s="45"/>
      <c r="B800" s="45" t="s">
        <v>176</v>
      </c>
      <c r="C800" s="46" t="str">
        <f>HYPERLINK("https://au.indeed.com/viewjob?jk=d89d0003f554f877","Project Engineer")</f>
        <v>Project Engineer</v>
      </c>
      <c r="D800" s="45" t="s">
        <v>467</v>
      </c>
      <c r="E800" s="47">
        <v>44209.767962962964</v>
      </c>
      <c r="F800" s="45" t="s">
        <v>164</v>
      </c>
    </row>
    <row r="801" spans="1:6" ht="14.25">
      <c r="A801" s="45"/>
      <c r="B801" s="45" t="s">
        <v>176</v>
      </c>
      <c r="C801" s="46" t="str">
        <f>HYPERLINK("https://au.indeed.com/viewjob?jk=4ee0c0650836cea5","Project Engineer")</f>
        <v>Project Engineer</v>
      </c>
      <c r="D801" s="45" t="s">
        <v>593</v>
      </c>
      <c r="E801" s="47">
        <v>44209.768113425926</v>
      </c>
      <c r="F801" s="45" t="s">
        <v>164</v>
      </c>
    </row>
    <row r="802" spans="1:6" ht="14.25">
      <c r="A802" s="45"/>
      <c r="B802" s="45" t="s">
        <v>176</v>
      </c>
      <c r="C802" s="46" t="str">
        <f>HYPERLINK("https://au.indeed.com/viewjob?jk=7c89fce8b8d8a123","Senior Project Engineer - Signalling")</f>
        <v>Senior Project Engineer - Signalling</v>
      </c>
      <c r="D802" s="45" t="s">
        <v>457</v>
      </c>
      <c r="E802" s="47">
        <v>44209.768275462964</v>
      </c>
      <c r="F802" s="45" t="s">
        <v>164</v>
      </c>
    </row>
    <row r="803" spans="1:6" ht="14.25">
      <c r="A803" s="45"/>
      <c r="B803" s="45" t="s">
        <v>176</v>
      </c>
      <c r="C803" s="46" t="str">
        <f>HYPERLINK("https://au.indeed.com/viewjob?jk=ee638599dd9c5788","Project Engineer")</f>
        <v>Project Engineer</v>
      </c>
      <c r="D803" s="45" t="s">
        <v>592</v>
      </c>
      <c r="E803" s="47">
        <v>44209.768333333333</v>
      </c>
      <c r="F803" s="45" t="s">
        <v>237</v>
      </c>
    </row>
    <row r="804" spans="1:6" ht="14.25">
      <c r="A804" s="45"/>
      <c r="B804" s="45" t="s">
        <v>176</v>
      </c>
      <c r="C804" s="46" t="str">
        <f>HYPERLINK("https://au.indeed.com/viewjob?jk=3612876bfdd5a932","Project Engineer - Track Installation")</f>
        <v>Project Engineer - Track Installation</v>
      </c>
      <c r="D804" s="45" t="s">
        <v>568</v>
      </c>
      <c r="E804" s="47">
        <v>44209.768472222226</v>
      </c>
      <c r="F804" s="45" t="s">
        <v>164</v>
      </c>
    </row>
    <row r="805" spans="1:6" ht="14.25">
      <c r="A805" s="45"/>
      <c r="B805" s="45" t="s">
        <v>176</v>
      </c>
      <c r="C805" s="46" t="str">
        <f>HYPERLINK("https://au.indeed.com/viewjob?jk=180c62eac1024a8a","Civil Project Engineer")</f>
        <v>Civil Project Engineer</v>
      </c>
      <c r="D805" s="45" t="s">
        <v>265</v>
      </c>
      <c r="E805" s="47">
        <v>44209.768506944441</v>
      </c>
      <c r="F805" s="45" t="s">
        <v>237</v>
      </c>
    </row>
    <row r="806" spans="1:6" ht="14.25">
      <c r="A806" s="45"/>
      <c r="B806" s="45" t="s">
        <v>176</v>
      </c>
      <c r="C806" s="46" t="str">
        <f>HYPERLINK("https://au.indeed.com/viewjob?jk=342fc929e2a0b716","Project Engineer/ Supervisor")</f>
        <v>Project Engineer/ Supervisor</v>
      </c>
      <c r="D806" s="45" t="s">
        <v>391</v>
      </c>
      <c r="E806" s="47">
        <v>44209.768750000003</v>
      </c>
      <c r="F806" s="45" t="s">
        <v>237</v>
      </c>
    </row>
    <row r="807" spans="1:6" ht="14.25">
      <c r="A807" s="45"/>
      <c r="B807" s="45" t="s">
        <v>176</v>
      </c>
      <c r="C807" s="46" t="str">
        <f>HYPERLINK("https://au.indeed.com/viewjob?jk=b111107461faf2d1","Project Engineer")</f>
        <v>Project Engineer</v>
      </c>
      <c r="D807" s="45" t="s">
        <v>577</v>
      </c>
      <c r="E807" s="47">
        <v>44209.769120370373</v>
      </c>
      <c r="F807" s="45" t="s">
        <v>164</v>
      </c>
    </row>
    <row r="808" spans="1:6" ht="14.25">
      <c r="A808" s="45"/>
      <c r="B808" s="45" t="s">
        <v>176</v>
      </c>
      <c r="C808" s="46" t="str">
        <f>HYPERLINK("https://au.indeed.com/viewjob?jk=e5c916bf876b53e9","Project Engineer")</f>
        <v>Project Engineer</v>
      </c>
      <c r="D808" s="45" t="s">
        <v>594</v>
      </c>
      <c r="E808" s="47">
        <v>44209.769490740742</v>
      </c>
      <c r="F808" s="45" t="s">
        <v>237</v>
      </c>
    </row>
    <row r="809" spans="1:6" ht="14.25">
      <c r="A809" s="45"/>
      <c r="B809" s="45" t="s">
        <v>176</v>
      </c>
      <c r="C809" s="46" t="str">
        <f>HYPERLINK("https://au.indeed.com/viewjob?jk=85905de3fa296991","Mechanical Project Engineer")</f>
        <v>Mechanical Project Engineer</v>
      </c>
      <c r="D809" s="45" t="s">
        <v>434</v>
      </c>
      <c r="E809" s="47">
        <v>44209.77</v>
      </c>
      <c r="F809" s="45" t="s">
        <v>237</v>
      </c>
    </row>
    <row r="810" spans="1:6" ht="14.25">
      <c r="A810" s="45"/>
      <c r="B810" s="45" t="s">
        <v>176</v>
      </c>
      <c r="C810" s="46" t="str">
        <f>HYPERLINK("https://au.indeed.com/viewjob?jk=337db460d42c091a","Civil Project Engineer – Local / metro infrastructure")</f>
        <v>Civil Project Engineer – Local / metro infrastructure</v>
      </c>
      <c r="D810" s="45" t="s">
        <v>592</v>
      </c>
      <c r="E810" s="47">
        <v>44209.770590277774</v>
      </c>
      <c r="F810" s="45" t="s">
        <v>237</v>
      </c>
    </row>
    <row r="811" spans="1:6" ht="14.25">
      <c r="A811" s="45"/>
      <c r="B811" s="45" t="s">
        <v>176</v>
      </c>
      <c r="C811" s="46" t="str">
        <f>HYPERLINK("https://au.indeed.com/viewjob?jk=a2e24cee4d929795","Casual Project Engineer")</f>
        <v>Casual Project Engineer</v>
      </c>
      <c r="D811" s="45" t="s">
        <v>458</v>
      </c>
      <c r="E811" s="47">
        <v>44209.770624999997</v>
      </c>
      <c r="F811" s="45" t="s">
        <v>164</v>
      </c>
    </row>
    <row r="812" spans="1:6" ht="14.25">
      <c r="A812" s="45"/>
      <c r="B812" s="45" t="s">
        <v>176</v>
      </c>
      <c r="C812" s="46" t="str">
        <f>HYPERLINK("https://au.indeed.com/viewjob?jk=0f1863e03d5058e7","Senior Structural Engineer - Residential and Commercial Projects")</f>
        <v>Senior Structural Engineer - Residential and Commercial Projects</v>
      </c>
      <c r="D812" s="45" t="s">
        <v>419</v>
      </c>
      <c r="E812" s="47">
        <v>44209.770752314813</v>
      </c>
      <c r="F812" s="45" t="s">
        <v>164</v>
      </c>
    </row>
    <row r="813" spans="1:6" ht="14.25">
      <c r="A813" s="45"/>
      <c r="B813" s="45" t="s">
        <v>176</v>
      </c>
      <c r="C813" s="46" t="str">
        <f>HYPERLINK("https://au.indeed.com/viewjob?jk=7f22baa190f10a87","Senior Structural Engineer | Residential Projects")</f>
        <v>Senior Structural Engineer | Residential Projects</v>
      </c>
      <c r="D813" s="45" t="s">
        <v>419</v>
      </c>
      <c r="E813" s="47">
        <v>44209.770891203705</v>
      </c>
      <c r="F813" s="45" t="s">
        <v>164</v>
      </c>
    </row>
    <row r="814" spans="1:6" ht="14.25">
      <c r="A814" s="45"/>
      <c r="B814" s="45" t="s">
        <v>176</v>
      </c>
      <c r="C814" s="46" t="str">
        <f>HYPERLINK("https://au.indeed.com/viewjob?jk=34e257f0b178554f","Project Engineer")</f>
        <v>Project Engineer</v>
      </c>
      <c r="D814" s="45" t="s">
        <v>591</v>
      </c>
      <c r="E814" s="47">
        <v>44209.771041666667</v>
      </c>
      <c r="F814" s="45" t="s">
        <v>164</v>
      </c>
    </row>
    <row r="815" spans="1:6" ht="14.25">
      <c r="A815" s="45"/>
      <c r="B815" s="45" t="s">
        <v>176</v>
      </c>
      <c r="C815" s="46" t="str">
        <f>HYPERLINK("https://au.indeed.com/viewjob?jk=f61b650e0e81c0a7","TMR Site / Project Engineer")</f>
        <v>TMR Site / Project Engineer</v>
      </c>
      <c r="D815" s="45" t="s">
        <v>592</v>
      </c>
      <c r="E815" s="47">
        <v>44209.771249999998</v>
      </c>
      <c r="F815" s="45" t="s">
        <v>237</v>
      </c>
    </row>
    <row r="816" spans="1:6" ht="14.25">
      <c r="A816" s="45"/>
      <c r="B816" s="45" t="s">
        <v>176</v>
      </c>
      <c r="C816" s="46" t="str">
        <f>HYPERLINK("https://au.indeed.com/viewjob?jk=f2f8c9d9552d156e","Project Engineer Major Civil Infrastructure Project")</f>
        <v>Project Engineer Major Civil Infrastructure Project</v>
      </c>
      <c r="D816" s="45" t="s">
        <v>498</v>
      </c>
      <c r="E816" s="47">
        <v>44209.77138888889</v>
      </c>
      <c r="F816" s="45" t="s">
        <v>237</v>
      </c>
    </row>
    <row r="817" spans="1:6" ht="14.25">
      <c r="A817" s="45"/>
      <c r="B817" s="45" t="s">
        <v>176</v>
      </c>
      <c r="C817" s="46" t="str">
        <f>HYPERLINK("https://au.indeed.com/viewjob?jk=252b4c32a983e9eb","Project Engineer")</f>
        <v>Project Engineer</v>
      </c>
      <c r="D817" s="45" t="s">
        <v>595</v>
      </c>
      <c r="E817" s="47">
        <v>44209.772118055553</v>
      </c>
      <c r="F817" s="45" t="s">
        <v>164</v>
      </c>
    </row>
    <row r="818" spans="1:6" ht="14.25">
      <c r="A818" s="45"/>
      <c r="B818" s="45" t="s">
        <v>176</v>
      </c>
      <c r="C818" s="46" t="str">
        <f>HYPERLINK("https://au.indeed.com/viewjob?jk=f37ce41d41baec39","Level 3 Engineer, Project and Solution Services")</f>
        <v>Level 3 Engineer, Project and Solution Services</v>
      </c>
      <c r="D818" s="45" t="s">
        <v>596</v>
      </c>
      <c r="E818" s="47">
        <v>44209.772291666668</v>
      </c>
      <c r="F818" s="45" t="s">
        <v>164</v>
      </c>
    </row>
    <row r="819" spans="1:6" ht="14.25">
      <c r="A819" s="45"/>
      <c r="B819" s="45" t="s">
        <v>176</v>
      </c>
      <c r="C819" s="46" t="str">
        <f>HYPERLINK("https://au.indeed.com/viewjob?jk=8027da6713b907fd","Service Project Engineer")</f>
        <v>Service Project Engineer</v>
      </c>
      <c r="D819" s="45" t="s">
        <v>467</v>
      </c>
      <c r="E819" s="47">
        <v>44209.772905092592</v>
      </c>
      <c r="F819" s="45" t="s">
        <v>164</v>
      </c>
    </row>
    <row r="820" spans="1:6" ht="14.25">
      <c r="A820" s="45"/>
      <c r="B820" s="45" t="s">
        <v>176</v>
      </c>
      <c r="C820" s="46" t="str">
        <f>HYPERLINK("https://au.indeed.com/viewjob?jk=07d3dd69406e8d5c","Project Engineer - Transport Access Program")</f>
        <v>Project Engineer - Transport Access Program</v>
      </c>
      <c r="D820" s="45" t="s">
        <v>456</v>
      </c>
      <c r="E820" s="47">
        <v>44209.773043981484</v>
      </c>
      <c r="F820" s="45" t="s">
        <v>164</v>
      </c>
    </row>
    <row r="821" spans="1:6" ht="14.25">
      <c r="A821" s="45"/>
      <c r="B821" s="45" t="s">
        <v>176</v>
      </c>
      <c r="C821" s="46" t="str">
        <f>HYPERLINK("https://au.indeed.com/viewjob?jk=8115cc7783efcd6a","Project Engineer")</f>
        <v>Project Engineer</v>
      </c>
      <c r="D821" s="45" t="s">
        <v>564</v>
      </c>
      <c r="E821" s="47">
        <v>44209.773159722223</v>
      </c>
      <c r="F821" s="45" t="s">
        <v>164</v>
      </c>
    </row>
    <row r="822" spans="1:6" ht="14.25">
      <c r="A822" s="45"/>
      <c r="B822" s="45" t="s">
        <v>176</v>
      </c>
      <c r="C822" s="46" t="str">
        <f>HYPERLINK("https://au.indeed.com/viewjob?jk=d7db0d7ac7541df1","Project Engineer - Mechanical/Piping")</f>
        <v>Project Engineer - Mechanical/Piping</v>
      </c>
      <c r="D822" s="45" t="s">
        <v>551</v>
      </c>
      <c r="E822" s="47">
        <v>44209.773402777777</v>
      </c>
      <c r="F822" s="45" t="s">
        <v>237</v>
      </c>
    </row>
    <row r="823" spans="1:6" ht="14.25">
      <c r="A823" s="45"/>
      <c r="B823" s="45" t="s">
        <v>176</v>
      </c>
      <c r="C823" s="46" t="str">
        <f>HYPERLINK("https://au.indeed.com/viewjob?jk=5ca72b2daa7d3881","Project Engineer x 2")</f>
        <v>Project Engineer x 2</v>
      </c>
      <c r="D823" s="46" t="s">
        <v>597</v>
      </c>
      <c r="E823" s="47">
        <v>44209.773692129631</v>
      </c>
      <c r="F823" s="45" t="s">
        <v>164</v>
      </c>
    </row>
    <row r="824" spans="1:6" ht="14.25">
      <c r="A824" s="45"/>
      <c r="B824" s="45" t="s">
        <v>176</v>
      </c>
      <c r="C824" s="46" t="str">
        <f>HYPERLINK("https://au.indeed.com/viewjob?jk=f4959d083f1cf9f1","Project Engineer")</f>
        <v>Project Engineer</v>
      </c>
      <c r="D824" s="45" t="s">
        <v>595</v>
      </c>
      <c r="E824" s="47">
        <v>44209.77380787037</v>
      </c>
      <c r="F824" s="45" t="s">
        <v>164</v>
      </c>
    </row>
    <row r="825" spans="1:6" ht="14.25">
      <c r="A825" s="45"/>
      <c r="B825" s="45" t="s">
        <v>176</v>
      </c>
      <c r="C825" s="46" t="str">
        <f>HYPERLINK("https://au.indeed.com/viewjob?jk=87878af4afed344c","Senior Project Engineer")</f>
        <v>Senior Project Engineer</v>
      </c>
      <c r="D825" s="45" t="s">
        <v>577</v>
      </c>
      <c r="E825" s="47">
        <v>44209.773912037039</v>
      </c>
      <c r="F825" s="45" t="s">
        <v>164</v>
      </c>
    </row>
    <row r="826" spans="1:6" ht="14.25">
      <c r="A826" s="45"/>
      <c r="B826" s="45" t="s">
        <v>176</v>
      </c>
      <c r="C826" s="46" t="str">
        <f>HYPERLINK("https://au.indeed.com/viewjob?jk=3ea9d835afbb7158","Project Engineer")</f>
        <v>Project Engineer</v>
      </c>
      <c r="D826" s="45" t="s">
        <v>498</v>
      </c>
      <c r="E826" s="47">
        <v>44209.773935185185</v>
      </c>
      <c r="F826" s="45" t="s">
        <v>237</v>
      </c>
    </row>
    <row r="827" spans="1:6" ht="14.25">
      <c r="A827" s="45"/>
      <c r="B827" s="45" t="s">
        <v>176</v>
      </c>
      <c r="C827" s="46" t="str">
        <f>HYPERLINK("https://au.indeed.com/viewjob?jk=d51e545e1c80bcb0","Project Engineer - Pavements")</f>
        <v>Project Engineer - Pavements</v>
      </c>
      <c r="D827" s="45" t="s">
        <v>457</v>
      </c>
      <c r="E827" s="47">
        <v>44209.77416666667</v>
      </c>
      <c r="F827" s="45" t="s">
        <v>164</v>
      </c>
    </row>
    <row r="828" spans="1:6" ht="14.25">
      <c r="A828" s="45"/>
      <c r="B828" s="45" t="s">
        <v>176</v>
      </c>
      <c r="C828" s="46" t="str">
        <f>HYPERLINK("https://au.indeed.com/viewjob?jk=4f272d830a084a72","Project Engineer")</f>
        <v>Project Engineer</v>
      </c>
      <c r="D828" s="45" t="s">
        <v>598</v>
      </c>
      <c r="E828" s="47">
        <v>44209.774282407408</v>
      </c>
      <c r="F828" s="45" t="s">
        <v>164</v>
      </c>
    </row>
    <row r="829" spans="1:6" ht="14.25">
      <c r="A829" s="45"/>
      <c r="B829" s="45" t="s">
        <v>176</v>
      </c>
      <c r="C829" s="46" t="str">
        <f>HYPERLINK("https://au.indeed.com/viewjob?jk=a6a7f0076d3852dd","EOI - Project Engineers (Linewide Project)")</f>
        <v>EOI - Project Engineers (Linewide Project)</v>
      </c>
      <c r="D829" s="45" t="s">
        <v>568</v>
      </c>
      <c r="E829" s="47">
        <v>44209.774756944447</v>
      </c>
      <c r="F829" s="45" t="s">
        <v>164</v>
      </c>
    </row>
    <row r="830" spans="1:6" ht="14.25">
      <c r="A830" s="45"/>
      <c r="B830" s="45" t="s">
        <v>176</v>
      </c>
      <c r="C830" s="46" t="str">
        <f>HYPERLINK("https://au.indeed.com/viewjob?jk=0563a3e7a770d77c","Project Engineer - Communications Wireless")</f>
        <v>Project Engineer - Communications Wireless</v>
      </c>
      <c r="D830" s="45" t="s">
        <v>456</v>
      </c>
      <c r="E830" s="47">
        <v>44209.775208333333</v>
      </c>
      <c r="F830" s="45" t="s">
        <v>164</v>
      </c>
    </row>
    <row r="831" spans="1:6" ht="14.25">
      <c r="A831" s="45"/>
      <c r="B831" s="45" t="s">
        <v>176</v>
      </c>
      <c r="C831" s="46" t="str">
        <f>HYPERLINK("https://au.indeed.com/viewjob?jk=b5c7d1b5326fbb6b","Project Engineer - Communications")</f>
        <v>Project Engineer - Communications</v>
      </c>
      <c r="D831" s="45" t="s">
        <v>214</v>
      </c>
      <c r="E831" s="47">
        <v>44209.775347222225</v>
      </c>
      <c r="F831" s="45" t="s">
        <v>164</v>
      </c>
    </row>
    <row r="832" spans="1:6" ht="14.25">
      <c r="A832" s="45"/>
      <c r="B832" s="45" t="s">
        <v>176</v>
      </c>
      <c r="C832" s="46" t="str">
        <f>HYPERLINK("https://au.indeed.com/viewjob?jk=73ccf67debad764c","Senior Project Engineers (Water)")</f>
        <v>Senior Project Engineers (Water)</v>
      </c>
      <c r="D832" s="45" t="s">
        <v>450</v>
      </c>
      <c r="E832" s="47">
        <v>44209.77548611111</v>
      </c>
      <c r="F832" s="45" t="s">
        <v>164</v>
      </c>
    </row>
    <row r="833" spans="1:6" ht="14.25">
      <c r="A833" s="45"/>
      <c r="B833" s="45" t="s">
        <v>235</v>
      </c>
      <c r="C833" s="46" t="str">
        <f>HYPERLINK("https://au.indeed.com/viewjob?jk=792edc0cc2001d3a","System Engineer (Electronics &amp; Defence)")</f>
        <v>System Engineer (Electronics &amp; Defence)</v>
      </c>
      <c r="D833" s="45" t="s">
        <v>518</v>
      </c>
      <c r="E833" s="47">
        <v>44209.776273148149</v>
      </c>
      <c r="F833" s="45" t="s">
        <v>237</v>
      </c>
    </row>
    <row r="834" spans="1:6" ht="14.25">
      <c r="A834" s="45"/>
      <c r="B834" s="45" t="s">
        <v>176</v>
      </c>
      <c r="C834" s="46" t="str">
        <f>HYPERLINK("https://au.indeed.com/viewjob?jk=1d3d909585024e6a","Project Engineer (Defence)")</f>
        <v>Project Engineer (Defence)</v>
      </c>
      <c r="D834" s="45" t="s">
        <v>295</v>
      </c>
      <c r="E834" s="47">
        <v>44209.776597222219</v>
      </c>
      <c r="F834" s="45" t="s">
        <v>164</v>
      </c>
    </row>
    <row r="835" spans="1:6" ht="14.25">
      <c r="A835" s="45"/>
      <c r="B835" s="45" t="s">
        <v>235</v>
      </c>
      <c r="C835" s="46" t="str">
        <f>HYPERLINK("https://au.indeed.com/viewjob?jk=da37af9a66994a23","Electronic Design Engineer")</f>
        <v>Electronic Design Engineer</v>
      </c>
      <c r="D835" s="45" t="s">
        <v>599</v>
      </c>
      <c r="E835" s="47">
        <v>44209.776875000003</v>
      </c>
      <c r="F835" s="45" t="s">
        <v>237</v>
      </c>
    </row>
    <row r="836" spans="1:6" ht="14.25">
      <c r="A836" s="45"/>
      <c r="B836" s="45" t="s">
        <v>213</v>
      </c>
      <c r="C836" s="46" t="str">
        <f>HYPERLINK("https://au.indeed.com/viewjob?jk=5ef1e87120c1c5ae","Site Engineer")</f>
        <v>Site Engineer</v>
      </c>
      <c r="D836" s="45" t="s">
        <v>571</v>
      </c>
      <c r="E836" s="47">
        <v>44209.777222222219</v>
      </c>
      <c r="F836" s="45" t="s">
        <v>296</v>
      </c>
    </row>
    <row r="837" spans="1:6" ht="14.25">
      <c r="A837" s="45"/>
      <c r="B837" s="45" t="s">
        <v>176</v>
      </c>
      <c r="C837" s="46" t="str">
        <f>HYPERLINK("https://au.indeed.com/viewjob?jk=a2da51b52b0b3785","Project Manager &amp; Project Engineer")</f>
        <v>Project Manager &amp; Project Engineer</v>
      </c>
      <c r="D837" s="45" t="s">
        <v>600</v>
      </c>
      <c r="E837" s="47">
        <v>44209.777280092596</v>
      </c>
      <c r="F837" s="45" t="s">
        <v>164</v>
      </c>
    </row>
    <row r="838" spans="1:6" ht="14.25">
      <c r="A838" s="45"/>
      <c r="B838" s="45" t="s">
        <v>176</v>
      </c>
      <c r="C838" s="46" t="str">
        <f>HYPERLINK("https://au.indeed.com/viewjob?jk=0697f73fdcf231d0","T&amp;D Engineer / Project Manager")</f>
        <v>T&amp;D Engineer / Project Manager</v>
      </c>
      <c r="D838" s="45" t="s">
        <v>356</v>
      </c>
      <c r="E838" s="47">
        <v>44209.777407407404</v>
      </c>
      <c r="F838" s="45" t="s">
        <v>164</v>
      </c>
    </row>
    <row r="839" spans="1:6" ht="14.25">
      <c r="A839" s="45"/>
      <c r="B839" s="45" t="s">
        <v>235</v>
      </c>
      <c r="C839" s="46" t="str">
        <f>HYPERLINK("https://au.indeed.com/viewjob?jk=d9a7c08ef19741b3","Senior Electronics Engineer - Medical Devices")</f>
        <v>Senior Electronics Engineer - Medical Devices</v>
      </c>
      <c r="D839" s="45" t="s">
        <v>419</v>
      </c>
      <c r="E839" s="47">
        <v>44209.777418981481</v>
      </c>
      <c r="F839" s="45" t="s">
        <v>237</v>
      </c>
    </row>
    <row r="840" spans="1:6" ht="14.25">
      <c r="A840" s="45"/>
      <c r="B840" s="45" t="s">
        <v>213</v>
      </c>
      <c r="C840" s="46" t="str">
        <f>HYPERLINK("https://au.indeed.com/viewjob?jk=829c8899110d1753","Site Engineer")</f>
        <v>Site Engineer</v>
      </c>
      <c r="D840" s="45" t="s">
        <v>561</v>
      </c>
      <c r="E840" s="47">
        <v>44209.777708333335</v>
      </c>
      <c r="F840" s="45" t="s">
        <v>296</v>
      </c>
    </row>
    <row r="841" spans="1:6" ht="14.25">
      <c r="A841" s="45"/>
      <c r="B841" s="45" t="s">
        <v>213</v>
      </c>
      <c r="C841" s="46" t="str">
        <f>HYPERLINK("https://au.indeed.com/viewjob?jk=511ce294391dcfac","Site Reliability Engineer/s")</f>
        <v>Site Reliability Engineer/s</v>
      </c>
      <c r="D841" s="45" t="s">
        <v>601</v>
      </c>
      <c r="E841" s="47">
        <v>44209.777812499997</v>
      </c>
      <c r="F841" s="45" t="s">
        <v>296</v>
      </c>
    </row>
    <row r="842" spans="1:6" ht="14.25">
      <c r="A842" s="45"/>
      <c r="B842" s="45" t="s">
        <v>213</v>
      </c>
      <c r="C842" s="46" t="str">
        <f>HYPERLINK("https://au.indeed.com/viewjob?jk=1cacea353910dc5f","Site Engineer (Fire &amp; Hydraulics)")</f>
        <v>Site Engineer (Fire &amp; Hydraulics)</v>
      </c>
      <c r="D842" s="45" t="s">
        <v>457</v>
      </c>
      <c r="E842" s="47">
        <v>44209.777916666666</v>
      </c>
      <c r="F842" s="45" t="s">
        <v>296</v>
      </c>
    </row>
    <row r="843" spans="1:6" ht="14.25">
      <c r="A843" s="45"/>
      <c r="B843" s="45" t="s">
        <v>235</v>
      </c>
      <c r="C843" s="46" t="str">
        <f>HYPERLINK("https://au.indeed.com/viewjob?jk=04eaddeb6ede12b8","Quality Engineer - Electronics")</f>
        <v>Quality Engineer - Electronics</v>
      </c>
      <c r="D843" s="45" t="s">
        <v>419</v>
      </c>
      <c r="E843" s="47">
        <v>44209.778148148151</v>
      </c>
      <c r="F843" s="45" t="s">
        <v>237</v>
      </c>
    </row>
    <row r="844" spans="1:6" ht="14.25">
      <c r="A844" s="45"/>
      <c r="B844" s="45" t="s">
        <v>235</v>
      </c>
      <c r="C844" s="46" t="str">
        <f>HYPERLINK("https://au.indeed.com/viewjob?jk=5fcb215cfdfeb19f","Hardware / Electronics Engineer (Australia)")</f>
        <v>Hardware / Electronics Engineer (Australia)</v>
      </c>
      <c r="D844" s="45" t="s">
        <v>602</v>
      </c>
      <c r="E844" s="47">
        <v>44209.778449074074</v>
      </c>
      <c r="F844" s="45" t="s">
        <v>237</v>
      </c>
    </row>
    <row r="845" spans="1:6" ht="14.25">
      <c r="A845" s="45"/>
      <c r="B845" s="45" t="s">
        <v>213</v>
      </c>
      <c r="C845" s="46" t="str">
        <f>HYPERLINK("https://au.indeed.com/viewjob?jk=8892192bd136ea1d","Site Engineer - Building")</f>
        <v>Site Engineer - Building</v>
      </c>
      <c r="D845" s="45" t="s">
        <v>457</v>
      </c>
      <c r="E845" s="47">
        <v>44209.77920138889</v>
      </c>
      <c r="F845" s="45" t="s">
        <v>296</v>
      </c>
    </row>
    <row r="846" spans="1:6" ht="14.25">
      <c r="A846" s="45"/>
      <c r="B846" s="45" t="s">
        <v>235</v>
      </c>
      <c r="C846" s="46" t="str">
        <f>HYPERLINK("https://au.indeed.com/viewjob?jk=274848bde0ac4098","System Engineer (Electronics &amp; Defence)")</f>
        <v>System Engineer (Electronics &amp; Defence)</v>
      </c>
      <c r="D846" s="45" t="s">
        <v>518</v>
      </c>
      <c r="E846" s="47">
        <v>44209.779282407406</v>
      </c>
      <c r="F846" s="45" t="s">
        <v>237</v>
      </c>
    </row>
    <row r="847" spans="1:6" ht="14.25">
      <c r="A847" s="45"/>
      <c r="B847" s="45" t="s">
        <v>213</v>
      </c>
      <c r="C847" s="46" t="str">
        <f>HYPERLINK("https://au.indeed.com/viewjob?jk=58dd89da4197a434","Site Reliability Engineer (Investment Data)")</f>
        <v>Site Reliability Engineer (Investment Data)</v>
      </c>
      <c r="D847" s="45" t="s">
        <v>481</v>
      </c>
      <c r="E847" s="47">
        <v>44209.779351851852</v>
      </c>
      <c r="F847" s="45" t="s">
        <v>296</v>
      </c>
    </row>
    <row r="848" spans="1:6" ht="14.25">
      <c r="A848" s="45"/>
      <c r="B848" s="45" t="s">
        <v>213</v>
      </c>
      <c r="C848" s="46" t="str">
        <f>HYPERLINK("https://au.indeed.com/viewjob?jk=35a8005e8e907ed2","Site Engineer")</f>
        <v>Site Engineer</v>
      </c>
      <c r="D848" s="45" t="s">
        <v>455</v>
      </c>
      <c r="E848" s="47">
        <v>44209.779456018521</v>
      </c>
      <c r="F848" s="45" t="s">
        <v>296</v>
      </c>
    </row>
    <row r="849" spans="1:6" ht="14.25">
      <c r="A849" s="45"/>
      <c r="B849" s="45" t="s">
        <v>213</v>
      </c>
      <c r="C849" s="46" t="str">
        <f>HYPERLINK("https://au.indeed.com/viewjob?jk=85d94d2069d8e584","Site Engineer - Gas")</f>
        <v>Site Engineer - Gas</v>
      </c>
      <c r="D849" s="45" t="s">
        <v>450</v>
      </c>
      <c r="E849" s="47">
        <v>44209.780057870368</v>
      </c>
      <c r="F849" s="45" t="s">
        <v>296</v>
      </c>
    </row>
    <row r="850" spans="1:6" ht="14.25">
      <c r="A850" s="45"/>
      <c r="B850" s="45" t="s">
        <v>213</v>
      </c>
      <c r="C850" s="46" t="str">
        <f>HYPERLINK("https://au.indeed.com/viewjob?jk=8b01e00f390ebdf8","Site Engineer")</f>
        <v>Site Engineer</v>
      </c>
      <c r="D850" s="45" t="s">
        <v>561</v>
      </c>
      <c r="E850" s="47">
        <v>44209.780185185184</v>
      </c>
      <c r="F850" s="45" t="s">
        <v>296</v>
      </c>
    </row>
    <row r="851" spans="1:6" ht="14.25">
      <c r="A851" s="45"/>
      <c r="B851" s="45" t="s">
        <v>301</v>
      </c>
      <c r="C851" s="46" t="str">
        <f>HYPERLINK("https://au.indeed.com/viewjob?jk=565fb2eff44a289d","JavaScript Engineer")</f>
        <v>JavaScript Engineer</v>
      </c>
      <c r="D851" s="46" t="s">
        <v>603</v>
      </c>
      <c r="E851" s="47">
        <v>44209.780081018522</v>
      </c>
      <c r="F851" s="45" t="s">
        <v>237</v>
      </c>
    </row>
    <row r="852" spans="1:6" ht="14.25">
      <c r="A852" s="45"/>
      <c r="B852" s="45" t="s">
        <v>213</v>
      </c>
      <c r="C852" s="46" t="str">
        <f>HYPERLINK("https://au.indeed.com/viewjob?jk=6e0f405ae2c0f21d","Site Engineer - (Traction Sub Stations)")</f>
        <v>Site Engineer - (Traction Sub Stations)</v>
      </c>
      <c r="D852" s="45" t="s">
        <v>541</v>
      </c>
      <c r="E852" s="47">
        <v>44209.780300925922</v>
      </c>
      <c r="F852" s="45" t="s">
        <v>296</v>
      </c>
    </row>
    <row r="853" spans="1:6" ht="14.25">
      <c r="A853" s="45"/>
      <c r="B853" s="45" t="s">
        <v>213</v>
      </c>
      <c r="C853" s="46" t="str">
        <f>HYPERLINK("https://au.indeed.com/viewjob?jk=44de1a63ec5e1e92","Site Reliability Engineer")</f>
        <v>Site Reliability Engineer</v>
      </c>
      <c r="D853" s="45" t="s">
        <v>604</v>
      </c>
      <c r="E853" s="47">
        <v>44209.780405092592</v>
      </c>
      <c r="F853" s="45" t="s">
        <v>296</v>
      </c>
    </row>
    <row r="854" spans="1:6" ht="14.25">
      <c r="A854" s="45"/>
      <c r="B854" s="45" t="s">
        <v>213</v>
      </c>
      <c r="C854" s="46" t="str">
        <f>HYPERLINK("https://au.indeed.com/viewjob?jk=0ccee39bcfef7cc8","Site Reliability Engineer - Managed Services")</f>
        <v>Site Reliability Engineer - Managed Services</v>
      </c>
      <c r="D854" s="45" t="s">
        <v>369</v>
      </c>
      <c r="E854" s="47">
        <v>44209.78052083333</v>
      </c>
      <c r="F854" s="45" t="s">
        <v>296</v>
      </c>
    </row>
    <row r="855" spans="1:6" ht="14.25">
      <c r="A855" s="45"/>
      <c r="B855" s="45" t="s">
        <v>176</v>
      </c>
      <c r="C855" s="46" t="str">
        <f>HYPERLINK("https://au.indeed.com/viewjob?jk=a9ad1fc7cdbcd454","Senior Project Engineer - Track")</f>
        <v>Senior Project Engineer - Track</v>
      </c>
      <c r="D855" s="45" t="s">
        <v>457</v>
      </c>
      <c r="E855" s="47">
        <v>44209.780532407407</v>
      </c>
      <c r="F855" s="45" t="s">
        <v>164</v>
      </c>
    </row>
    <row r="856" spans="1:6" ht="14.25">
      <c r="A856" s="45"/>
      <c r="B856" s="45" t="s">
        <v>213</v>
      </c>
      <c r="C856" s="46" t="str">
        <f>HYPERLINK("https://au.indeed.com/viewjob?jk=76e26b5bcee25d5b","Site Engineers - Pitt Street Station")</f>
        <v>Site Engineers - Pitt Street Station</v>
      </c>
      <c r="D856" s="45" t="s">
        <v>568</v>
      </c>
      <c r="E856" s="47">
        <v>44209.780613425923</v>
      </c>
      <c r="F856" s="45" t="s">
        <v>296</v>
      </c>
    </row>
    <row r="857" spans="1:6" ht="14.25">
      <c r="A857" s="45"/>
      <c r="B857" s="45" t="s">
        <v>213</v>
      </c>
      <c r="C857" s="46" t="str">
        <f>HYPERLINK("https://au.indeed.com/viewjob?jk=6455c239a530e11f","Site Engineer - EOI")</f>
        <v>Site Engineer - EOI</v>
      </c>
      <c r="D857" s="45" t="s">
        <v>568</v>
      </c>
      <c r="E857" s="47">
        <v>44209.780729166669</v>
      </c>
      <c r="F857" s="45" t="s">
        <v>296</v>
      </c>
    </row>
    <row r="858" spans="1:6" ht="14.25">
      <c r="A858" s="45"/>
      <c r="B858" s="45" t="s">
        <v>213</v>
      </c>
      <c r="C858" s="46" t="str">
        <f>HYPERLINK("https://au.indeed.com/viewjob?jk=e690eda294e0882f","Site Engineers - Pitt Street Station")</f>
        <v>Site Engineers - Pitt Street Station</v>
      </c>
      <c r="D858" s="45" t="s">
        <v>541</v>
      </c>
      <c r="E858" s="47">
        <v>44209.780833333331</v>
      </c>
      <c r="F858" s="45" t="s">
        <v>296</v>
      </c>
    </row>
    <row r="859" spans="1:6" ht="14.25">
      <c r="A859" s="45"/>
      <c r="B859" s="45" t="s">
        <v>301</v>
      </c>
      <c r="C859" s="46" t="str">
        <f>HYPERLINK("https://au.indeed.com/viewjob?jk=52e8c9075920ed02","Material Operations Engineer")</f>
        <v>Material Operations Engineer</v>
      </c>
      <c r="D859" s="45" t="s">
        <v>605</v>
      </c>
      <c r="E859" s="47">
        <v>44209.780868055554</v>
      </c>
      <c r="F859" s="45" t="s">
        <v>237</v>
      </c>
    </row>
    <row r="860" spans="1:6" ht="14.25">
      <c r="A860" s="45"/>
      <c r="B860" s="45" t="s">
        <v>213</v>
      </c>
      <c r="C860" s="46" t="str">
        <f>HYPERLINK("https://au.indeed.com/viewjob?jk=9ffa12d2b1e027f4","Site Engineer")</f>
        <v>Site Engineer</v>
      </c>
      <c r="D860" s="45" t="s">
        <v>606</v>
      </c>
      <c r="E860" s="47">
        <v>44209.780949074076</v>
      </c>
      <c r="F860" s="45" t="s">
        <v>296</v>
      </c>
    </row>
    <row r="861" spans="1:6" ht="14.25">
      <c r="A861" s="45"/>
      <c r="B861" s="45" t="s">
        <v>213</v>
      </c>
      <c r="C861" s="46" t="str">
        <f>HYPERLINK("https://au.indeed.com/viewjob?jk=94220a54d64f899e","Site/Project Engineer")</f>
        <v>Site/Project Engineer</v>
      </c>
      <c r="D861" s="45" t="s">
        <v>607</v>
      </c>
      <c r="E861" s="47">
        <v>44209.781087962961</v>
      </c>
      <c r="F861" s="45" t="s">
        <v>296</v>
      </c>
    </row>
    <row r="862" spans="1:6" ht="14.25">
      <c r="A862" s="45"/>
      <c r="B862" s="45" t="s">
        <v>213</v>
      </c>
      <c r="C862" s="46" t="str">
        <f>HYPERLINK("https://au.indeed.com/viewjob?jk=5920a921b1d2e678","Civil Site Engineer")</f>
        <v>Civil Site Engineer</v>
      </c>
      <c r="D862" s="45" t="s">
        <v>456</v>
      </c>
      <c r="E862" s="47">
        <v>44209.781180555554</v>
      </c>
      <c r="F862" s="45" t="s">
        <v>296</v>
      </c>
    </row>
    <row r="863" spans="1:6" ht="14.25">
      <c r="A863" s="45"/>
      <c r="B863" s="45" t="s">
        <v>213</v>
      </c>
      <c r="C863" s="46" t="str">
        <f>HYPERLINK("https://au.indeed.com/viewjob?jk=d002d748b22597c4","Site Engineer - Earthworks")</f>
        <v>Site Engineer - Earthworks</v>
      </c>
      <c r="D863" s="45" t="s">
        <v>457</v>
      </c>
      <c r="E863" s="47">
        <v>44209.781284722223</v>
      </c>
      <c r="F863" s="45" t="s">
        <v>296</v>
      </c>
    </row>
    <row r="864" spans="1:6" ht="14.25">
      <c r="A864" s="45"/>
      <c r="B864" s="45" t="s">
        <v>213</v>
      </c>
      <c r="C864" s="46" t="str">
        <f>HYPERLINK("https://au.indeed.com/viewjob?jk=afafc3cd572e587e","Principal Site Reliability Engineer")</f>
        <v>Principal Site Reliability Engineer</v>
      </c>
      <c r="D864" s="45" t="s">
        <v>608</v>
      </c>
      <c r="E864" s="47">
        <v>44209.781423611108</v>
      </c>
      <c r="F864" s="45" t="s">
        <v>296</v>
      </c>
    </row>
    <row r="865" spans="1:6" ht="14.25">
      <c r="A865" s="45"/>
      <c r="B865" s="45" t="s">
        <v>213</v>
      </c>
      <c r="C865" s="46" t="str">
        <f>HYPERLINK("https://au.indeed.com/viewjob?jk=cd6b66385dff6ddf","Site Reliability Engineer (Network Operations)")</f>
        <v>Site Reliability Engineer (Network Operations)</v>
      </c>
      <c r="D865" s="45" t="s">
        <v>609</v>
      </c>
      <c r="E865" s="47">
        <v>44209.781527777777</v>
      </c>
      <c r="F865" s="45" t="s">
        <v>296</v>
      </c>
    </row>
    <row r="866" spans="1:6" ht="14.25">
      <c r="A866" s="45"/>
      <c r="B866" s="45" t="s">
        <v>213</v>
      </c>
      <c r="C866" s="46" t="str">
        <f>HYPERLINK("https://au.indeed.com/viewjob?jk=9b30e134e1b0128c","Site Engineer")</f>
        <v>Site Engineer</v>
      </c>
      <c r="D866" s="45" t="s">
        <v>610</v>
      </c>
      <c r="E866" s="47">
        <v>44209.78162037037</v>
      </c>
      <c r="F866" s="45" t="s">
        <v>296</v>
      </c>
    </row>
    <row r="867" spans="1:6" ht="14.25">
      <c r="A867" s="45"/>
      <c r="B867" s="45" t="s">
        <v>213</v>
      </c>
      <c r="C867" s="46" t="str">
        <f>HYPERLINK("https://au.indeed.com/viewjob?jk=589c5d704570996e","Site Project Engineer")</f>
        <v>Site Project Engineer</v>
      </c>
      <c r="D867" s="45" t="s">
        <v>611</v>
      </c>
      <c r="E867" s="47">
        <v>44209.781747685185</v>
      </c>
      <c r="F867" s="45" t="s">
        <v>296</v>
      </c>
    </row>
    <row r="868" spans="1:6" ht="14.25">
      <c r="A868" s="45"/>
      <c r="B868" s="45" t="s">
        <v>176</v>
      </c>
      <c r="C868" s="46" t="str">
        <f>HYPERLINK("https://au.indeed.com/viewjob?jk=fee7306c45330aef","Junior Project Engineer")</f>
        <v>Junior Project Engineer</v>
      </c>
      <c r="D868" s="45" t="s">
        <v>419</v>
      </c>
      <c r="E868" s="47">
        <v>44209.782037037039</v>
      </c>
      <c r="F868" s="45" t="s">
        <v>164</v>
      </c>
    </row>
    <row r="869" spans="1:6" ht="14.25">
      <c r="A869" s="45"/>
      <c r="B869" s="45" t="s">
        <v>213</v>
      </c>
      <c r="C869" s="46" t="str">
        <f>HYPERLINK("https://au.indeed.com/viewjob?jk=8c473dcbc78708e7","Site Engineer - Civil")</f>
        <v>Site Engineer - Civil</v>
      </c>
      <c r="D869" s="45" t="s">
        <v>457</v>
      </c>
      <c r="E869" s="47">
        <v>44209.782337962963</v>
      </c>
      <c r="F869" s="45" t="s">
        <v>296</v>
      </c>
    </row>
    <row r="870" spans="1:6" ht="14.25">
      <c r="A870" s="45"/>
      <c r="B870" s="45" t="s">
        <v>176</v>
      </c>
      <c r="C870" s="46" t="str">
        <f>HYPERLINK("https://au.indeed.com/viewjob?jk=3dc70723dcccf788","Project Engineer")</f>
        <v>Project Engineer</v>
      </c>
      <c r="D870" s="45" t="s">
        <v>391</v>
      </c>
      <c r="E870" s="47">
        <v>44209.782604166663</v>
      </c>
      <c r="F870" s="45" t="s">
        <v>164</v>
      </c>
    </row>
    <row r="871" spans="1:6" ht="14.25">
      <c r="A871" s="45"/>
      <c r="B871" s="45" t="s">
        <v>213</v>
      </c>
      <c r="C871" s="46" t="str">
        <f>HYPERLINK("https://au.indeed.com/viewjob?jk=1b362f7f53de27b9","Graduate Site Engineer - 2021 Intake")</f>
        <v>Graduate Site Engineer - 2021 Intake</v>
      </c>
      <c r="D871" s="45" t="s">
        <v>562</v>
      </c>
      <c r="E871" s="47">
        <v>44209.782916666663</v>
      </c>
      <c r="F871" s="45" t="s">
        <v>296</v>
      </c>
    </row>
    <row r="872" spans="1:6" ht="14.25">
      <c r="A872" s="45"/>
      <c r="B872" s="45" t="s">
        <v>301</v>
      </c>
      <c r="C872" s="46" t="str">
        <f>HYPERLINK("https://au.indeed.com/viewjob?jk=f46ce48490f6d237","Project Engineer")</f>
        <v>Project Engineer</v>
      </c>
      <c r="D872" s="45" t="s">
        <v>612</v>
      </c>
      <c r="E872" s="47">
        <v>44209.783067129632</v>
      </c>
      <c r="F872" s="45" t="s">
        <v>237</v>
      </c>
    </row>
    <row r="873" spans="1:6" ht="14.25">
      <c r="A873" s="45"/>
      <c r="B873" s="45" t="s">
        <v>213</v>
      </c>
      <c r="C873" s="46" t="str">
        <f>HYPERLINK("https://au.indeed.com/viewjob?jk=3eb4e4de00f79bfa","Site Reliability Engineer")</f>
        <v>Site Reliability Engineer</v>
      </c>
      <c r="D873" s="45" t="s">
        <v>479</v>
      </c>
      <c r="E873" s="47">
        <v>44209.783530092594</v>
      </c>
      <c r="F873" s="45" t="s">
        <v>296</v>
      </c>
    </row>
    <row r="874" spans="1:6" ht="14.25">
      <c r="A874" s="45"/>
      <c r="B874" s="45" t="s">
        <v>176</v>
      </c>
      <c r="C874" s="46" t="str">
        <f>HYPERLINK("https://au.indeed.com/viewjob?jk=101e821c5316931e","Senior Project Engineer")</f>
        <v>Senior Project Engineer</v>
      </c>
      <c r="D874" s="45" t="s">
        <v>461</v>
      </c>
      <c r="E874" s="47">
        <v>44209.78361111111</v>
      </c>
      <c r="F874" s="45" t="s">
        <v>164</v>
      </c>
    </row>
    <row r="875" spans="1:6" ht="14.25">
      <c r="A875" s="45"/>
      <c r="B875" s="45" t="s">
        <v>213</v>
      </c>
      <c r="C875" s="46" t="str">
        <f>HYPERLINK("https://au.indeed.com/viewjob?jk=63e51356ddfa1c4a","Site Reliability Engineer (Remote, AUS)")</f>
        <v>Site Reliability Engineer (Remote, AUS)</v>
      </c>
      <c r="D875" s="45" t="s">
        <v>480</v>
      </c>
      <c r="E875" s="47">
        <v>44209.783634259256</v>
      </c>
      <c r="F875" s="45" t="s">
        <v>296</v>
      </c>
    </row>
    <row r="876" spans="1:6" ht="14.25">
      <c r="A876" s="45"/>
      <c r="B876" s="45" t="s">
        <v>213</v>
      </c>
      <c r="C876" s="46" t="str">
        <f>HYPERLINK("https://au.indeed.com/viewjob?jk=a5a1f8b31271bba4","Civil Infrastructure – Site Engineer")</f>
        <v>Civil Infrastructure – Site Engineer</v>
      </c>
      <c r="D876" s="45" t="s">
        <v>460</v>
      </c>
      <c r="E876" s="47">
        <v>44209.783750000002</v>
      </c>
      <c r="F876" s="45" t="s">
        <v>296</v>
      </c>
    </row>
    <row r="877" spans="1:6" ht="14.25">
      <c r="A877" s="45"/>
      <c r="B877" s="45" t="s">
        <v>213</v>
      </c>
      <c r="C877" s="46" t="str">
        <f>HYPERLINK("https://au.indeed.com/viewjob?jk=f5b678fd2205a971","Site Engineer - EOI")</f>
        <v>Site Engineer - EOI</v>
      </c>
      <c r="D877" s="45" t="s">
        <v>541</v>
      </c>
      <c r="E877" s="47">
        <v>44209.783842592595</v>
      </c>
      <c r="F877" s="45" t="s">
        <v>296</v>
      </c>
    </row>
    <row r="878" spans="1:6" ht="14.25">
      <c r="A878" s="45"/>
      <c r="B878" s="45" t="s">
        <v>213</v>
      </c>
      <c r="C878" s="46" t="str">
        <f>HYPERLINK("https://au.indeed.com/viewjob?jk=6183cefe84d34954","Site Reliability Engineer (Jira Cloud)")</f>
        <v>Site Reliability Engineer (Jira Cloud)</v>
      </c>
      <c r="D878" s="45" t="s">
        <v>380</v>
      </c>
      <c r="E878" s="47">
        <v>44209.783946759257</v>
      </c>
      <c r="F878" s="45" t="s">
        <v>296</v>
      </c>
    </row>
    <row r="879" spans="1:6" ht="14.25">
      <c r="A879" s="45"/>
      <c r="B879" s="45" t="s">
        <v>213</v>
      </c>
      <c r="C879" s="46" t="str">
        <f>HYPERLINK("https://au.indeed.com/viewjob?jk=d0628d0afb576539","Senior Site Reliability Engineer - Federal")</f>
        <v>Senior Site Reliability Engineer - Federal</v>
      </c>
      <c r="D879" s="45" t="s">
        <v>478</v>
      </c>
      <c r="E879" s="47">
        <v>44209.784050925926</v>
      </c>
      <c r="F879" s="45" t="s">
        <v>296</v>
      </c>
    </row>
    <row r="880" spans="1:6" ht="14.25">
      <c r="A880" s="45"/>
      <c r="B880" s="45" t="s">
        <v>301</v>
      </c>
      <c r="C880" s="46" t="str">
        <f>HYPERLINK("https://au.indeed.com/viewjob?jk=2d57345dfaed01f6","Project Engineer")</f>
        <v>Project Engineer</v>
      </c>
      <c r="D880" s="45" t="s">
        <v>541</v>
      </c>
      <c r="E880" s="47">
        <v>44209.784074074072</v>
      </c>
      <c r="F880" s="45" t="s">
        <v>237</v>
      </c>
    </row>
    <row r="881" spans="1:6" ht="14.25">
      <c r="A881" s="45"/>
      <c r="B881" s="45" t="s">
        <v>213</v>
      </c>
      <c r="C881" s="46" t="str">
        <f>HYPERLINK("https://au.indeed.com/viewjob?jk=b0add64b271bcd1e","Site Engineer - (Traction Sub Stations)")</f>
        <v>Site Engineer - (Traction Sub Stations)</v>
      </c>
      <c r="D881" s="45" t="s">
        <v>568</v>
      </c>
      <c r="E881" s="47">
        <v>44209.784166666665</v>
      </c>
      <c r="F881" s="45" t="s">
        <v>296</v>
      </c>
    </row>
    <row r="882" spans="1:6" ht="14.25">
      <c r="A882" s="45"/>
      <c r="B882" s="45" t="s">
        <v>213</v>
      </c>
      <c r="C882" s="46" t="str">
        <f>HYPERLINK("https://au.indeed.com/viewjob?jk=4036966cd0cda98f","Site Reliability Engineer (AUS, NZ)")</f>
        <v>Site Reliability Engineer (AUS, NZ)</v>
      </c>
      <c r="D882" s="45" t="s">
        <v>613</v>
      </c>
      <c r="E882" s="47">
        <v>44209.784270833334</v>
      </c>
      <c r="F882" s="45" t="s">
        <v>296</v>
      </c>
    </row>
    <row r="883" spans="1:6" ht="14.25">
      <c r="A883" s="45"/>
      <c r="B883" s="45" t="s">
        <v>301</v>
      </c>
      <c r="C883" s="46" t="str">
        <f>HYPERLINK("https://au.indeed.com/viewjob?jk=2aa2cbe72c5850b2","Project Engineer - Sewer &amp; Water")</f>
        <v>Project Engineer - Sewer &amp; Water</v>
      </c>
      <c r="D883" s="45" t="s">
        <v>450</v>
      </c>
      <c r="E883" s="47">
        <v>44209.784270833334</v>
      </c>
      <c r="F883" s="45" t="s">
        <v>237</v>
      </c>
    </row>
    <row r="884" spans="1:6" ht="14.25">
      <c r="A884" s="45"/>
      <c r="B884" s="45" t="s">
        <v>165</v>
      </c>
      <c r="C884" s="46" t="str">
        <f>HYPERLINK("https://au.indeed.com/viewjob?jk=7b1928f1c89df078","Principal Aviation Mechanical Engineer")</f>
        <v>Principal Aviation Mechanical Engineer</v>
      </c>
      <c r="D884" s="45" t="s">
        <v>529</v>
      </c>
      <c r="E884" s="47">
        <v>44217.741932870369</v>
      </c>
      <c r="F884" s="45" t="s">
        <v>164</v>
      </c>
    </row>
    <row r="885" spans="1:6" ht="14.25">
      <c r="A885" s="45"/>
      <c r="B885" s="45" t="s">
        <v>165</v>
      </c>
      <c r="C885" s="46" t="str">
        <f>HYPERLINK("https://au.indeed.com/viewjob?jk=869f301001931837","Mechanical Design Engineer")</f>
        <v>Mechanical Design Engineer</v>
      </c>
      <c r="D885" s="45" t="s">
        <v>414</v>
      </c>
      <c r="E885" s="47">
        <v>44217.743217592593</v>
      </c>
      <c r="F885" s="45" t="s">
        <v>164</v>
      </c>
    </row>
    <row r="886" spans="1:6" ht="14.25">
      <c r="A886" s="45"/>
      <c r="B886" s="45" t="s">
        <v>165</v>
      </c>
      <c r="C886" s="46" t="str">
        <f>HYPERLINK("https://au.indeed.com/viewjob?jk=7ac4ad0991284ffe","Principal Aviation Mechanical Engineer")</f>
        <v>Principal Aviation Mechanical Engineer</v>
      </c>
      <c r="D886" s="45" t="s">
        <v>522</v>
      </c>
      <c r="E886" s="47">
        <v>44217.743750000001</v>
      </c>
      <c r="F886" s="45" t="s">
        <v>164</v>
      </c>
    </row>
    <row r="887" spans="1:6" ht="14.25">
      <c r="A887" s="45"/>
      <c r="B887" s="45" t="s">
        <v>165</v>
      </c>
      <c r="C887" s="46" t="str">
        <f>HYPERLINK("https://au.indeed.com/viewjob?jk=0631e7b4bdf1ebd4","Mechanical/Electrical Engineer")</f>
        <v>Mechanical/Electrical Engineer</v>
      </c>
      <c r="D887" s="45"/>
      <c r="E887" s="47">
        <v>44217.74422453704</v>
      </c>
      <c r="F887" s="45" t="s">
        <v>164</v>
      </c>
    </row>
    <row r="888" spans="1:6" ht="14.25">
      <c r="A888" s="45"/>
      <c r="B888" s="45" t="s">
        <v>165</v>
      </c>
      <c r="C888" s="46" t="str">
        <f>HYPERLINK("https://au.indeed.com/viewjob?jk=b120a176901eec1b","Mechanical Design Engineer")</f>
        <v>Mechanical Design Engineer</v>
      </c>
      <c r="D888" s="45" t="s">
        <v>414</v>
      </c>
      <c r="E888" s="47">
        <v>44217.744328703702</v>
      </c>
      <c r="F888" s="45" t="s">
        <v>164</v>
      </c>
    </row>
    <row r="889" spans="1:6" ht="14.25">
      <c r="A889" s="45"/>
      <c r="B889" s="45" t="s">
        <v>165</v>
      </c>
      <c r="C889" s="46" t="str">
        <f>HYPERLINK("https://au.indeed.com/viewjob?jk=2c3216c168d1a6dc","Apprentice Aircraft Maintenance Engineer (Mechanical)")</f>
        <v>Apprentice Aircraft Maintenance Engineer (Mechanical)</v>
      </c>
      <c r="D889" s="45" t="s">
        <v>529</v>
      </c>
      <c r="E889" s="47">
        <v>44217.744456018518</v>
      </c>
      <c r="F889" s="45" t="s">
        <v>164</v>
      </c>
    </row>
    <row r="890" spans="1:6" ht="14.25">
      <c r="A890" s="45"/>
      <c r="B890" s="45" t="s">
        <v>165</v>
      </c>
      <c r="C890" s="46" t="str">
        <f>HYPERLINK("https://au.indeed.com/viewjob?jk=7b81c5cb904ea936","Senior Mechanical Engineer")</f>
        <v>Senior Mechanical Engineer</v>
      </c>
      <c r="D890" s="45" t="s">
        <v>354</v>
      </c>
      <c r="E890" s="47">
        <v>44217.744583333333</v>
      </c>
      <c r="F890" s="45" t="s">
        <v>164</v>
      </c>
    </row>
    <row r="891" spans="1:6" ht="14.25">
      <c r="A891" s="45"/>
      <c r="B891" s="45" t="s">
        <v>165</v>
      </c>
      <c r="C891" s="46" t="str">
        <f>HYPERLINK("https://au.indeed.com/viewjob?jk=faee325ab9296399","Mechanical or Mechatronics Engineer")</f>
        <v>Mechanical or Mechatronics Engineer</v>
      </c>
      <c r="D891" s="45" t="s">
        <v>187</v>
      </c>
      <c r="E891" s="47">
        <v>44217.745324074072</v>
      </c>
      <c r="F891" s="45" t="s">
        <v>164</v>
      </c>
    </row>
    <row r="892" spans="1:6" ht="14.25">
      <c r="A892" s="45"/>
      <c r="B892" s="45" t="s">
        <v>165</v>
      </c>
      <c r="C892" s="46" t="str">
        <f>HYPERLINK("https://au.indeed.com/viewjob?jk=620e104872638fb1","Apprentice Aircraft Maintenance Engineer (Mechanical)")</f>
        <v>Apprentice Aircraft Maintenance Engineer (Mechanical)</v>
      </c>
      <c r="D892" s="45" t="s">
        <v>522</v>
      </c>
      <c r="E892" s="47">
        <v>44217.74590277778</v>
      </c>
      <c r="F892" s="45" t="s">
        <v>164</v>
      </c>
    </row>
    <row r="893" spans="1:6" ht="14.25">
      <c r="A893" s="45"/>
      <c r="B893" s="45" t="s">
        <v>165</v>
      </c>
      <c r="C893" s="46" t="str">
        <f>HYPERLINK("https://au.indeed.com/viewjob?jk=0c24412d6f32d9d1","Mechanical or Mechatronics Engineer")</f>
        <v>Mechanical or Mechatronics Engineer</v>
      </c>
      <c r="D893" s="45" t="s">
        <v>187</v>
      </c>
      <c r="E893" s="47">
        <v>44217.74690972222</v>
      </c>
      <c r="F893" s="45" t="s">
        <v>164</v>
      </c>
    </row>
    <row r="894" spans="1:6" ht="14.25">
      <c r="A894" s="45"/>
      <c r="B894" s="45" t="s">
        <v>243</v>
      </c>
      <c r="C894" s="46" t="str">
        <f>HYPERLINK("https://au.indeed.com/viewjob?jk=e1b1229b435e1a1f","Senior Automation Test Engineer")</f>
        <v>Senior Automation Test Engineer</v>
      </c>
      <c r="D894" s="45" t="s">
        <v>397</v>
      </c>
      <c r="E894" s="47">
        <v>44217.74695601852</v>
      </c>
      <c r="F894" s="45" t="s">
        <v>237</v>
      </c>
    </row>
    <row r="895" spans="1:6" ht="14.25">
      <c r="A895" s="45"/>
      <c r="B895" s="45" t="s">
        <v>246</v>
      </c>
      <c r="C895" s="46" t="str">
        <f>HYPERLINK("https://au.indeed.com/viewjob?jk=8f38ab7a1f3c3942","TEST ANALYST - AUTOMATION")</f>
        <v>TEST ANALYST - AUTOMATION</v>
      </c>
      <c r="D895" s="45" t="s">
        <v>614</v>
      </c>
      <c r="E895" s="47">
        <v>44217.747106481482</v>
      </c>
      <c r="F895" s="45" t="s">
        <v>237</v>
      </c>
    </row>
    <row r="896" spans="1:6" ht="14.25">
      <c r="A896" s="45"/>
      <c r="B896" s="45" t="s">
        <v>246</v>
      </c>
      <c r="C896" s="46" t="str">
        <f>HYPERLINK("https://au.indeed.com/viewjob?jk=2f88b380f87b8339","Test Automation Development Lead")</f>
        <v>Test Automation Development Lead</v>
      </c>
      <c r="D896" s="45" t="s">
        <v>615</v>
      </c>
      <c r="E896" s="47">
        <v>44217.747256944444</v>
      </c>
      <c r="F896" s="45" t="s">
        <v>237</v>
      </c>
    </row>
    <row r="897" spans="1:6" ht="14.25">
      <c r="A897" s="45"/>
      <c r="B897" s="45" t="s">
        <v>246</v>
      </c>
      <c r="C897" s="46" t="str">
        <f>HYPERLINK("https://au.indeed.com/viewjob?jk=ce612d26444588c1","Automation Test Analyst")</f>
        <v>Automation Test Analyst</v>
      </c>
      <c r="D897" s="45" t="s">
        <v>527</v>
      </c>
      <c r="E897" s="47">
        <v>44217.747384259259</v>
      </c>
      <c r="F897" s="45" t="s">
        <v>237</v>
      </c>
    </row>
    <row r="898" spans="1:6" ht="14.25">
      <c r="A898" s="45"/>
      <c r="B898" s="45" t="s">
        <v>217</v>
      </c>
      <c r="C898" s="46" t="str">
        <f>HYPERLINK("https://au.indeed.com/viewjob?jk=a3e49fdc95d964ef","Asset Engineer")</f>
        <v>Asset Engineer</v>
      </c>
      <c r="D898" s="45" t="s">
        <v>464</v>
      </c>
      <c r="E898" s="47">
        <v>44217.747800925928</v>
      </c>
      <c r="F898" s="45" t="s">
        <v>164</v>
      </c>
    </row>
    <row r="899" spans="1:6" ht="14.25">
      <c r="A899" s="45"/>
      <c r="B899" s="45" t="s">
        <v>217</v>
      </c>
      <c r="C899" s="46" t="str">
        <f>HYPERLINK("https://au.indeed.com/viewjob?jk=7b98605b996b1528","Asset Backed Products Financial Engineer")</f>
        <v>Asset Backed Products Financial Engineer</v>
      </c>
      <c r="D899" s="45" t="s">
        <v>616</v>
      </c>
      <c r="E899" s="47">
        <v>44217.747916666667</v>
      </c>
      <c r="F899" s="45" t="s">
        <v>164</v>
      </c>
    </row>
    <row r="900" spans="1:6" ht="14.25">
      <c r="A900" s="45"/>
      <c r="B900" s="45" t="s">
        <v>246</v>
      </c>
      <c r="C900" s="46" t="str">
        <f>HYPERLINK("https://au.indeed.com/viewjob?jk=932c062502fd77e8","Senior Test Analyst (Agile &amp; Automation)")</f>
        <v>Senior Test Analyst (Agile &amp; Automation)</v>
      </c>
      <c r="D900" s="45" t="s">
        <v>432</v>
      </c>
      <c r="E900" s="47">
        <v>44217.748437499999</v>
      </c>
      <c r="F900" s="45" t="s">
        <v>237</v>
      </c>
    </row>
    <row r="901" spans="1:6" ht="14.25">
      <c r="A901" s="45"/>
      <c r="B901" s="45" t="s">
        <v>246</v>
      </c>
      <c r="C901" s="46" t="str">
        <f>HYPERLINK("https://au.indeed.com/viewjob?jk=20ef8be12fb9424b","Automation Test Consultant (Mid to Senior level)")</f>
        <v>Automation Test Consultant (Mid to Senior level)</v>
      </c>
      <c r="D901" s="45" t="s">
        <v>617</v>
      </c>
      <c r="E901" s="47">
        <v>44217.748530092591</v>
      </c>
      <c r="F901" s="45" t="s">
        <v>237</v>
      </c>
    </row>
    <row r="902" spans="1:6" ht="14.25">
      <c r="A902" s="45"/>
      <c r="B902" s="45" t="s">
        <v>249</v>
      </c>
      <c r="C902" s="46" t="str">
        <f>HYPERLINK("https://au.indeed.com/viewjob?jk=fdad4224eed5c2fa","Controls Support Engineer")</f>
        <v>Controls Support Engineer</v>
      </c>
      <c r="D902" s="45" t="s">
        <v>618</v>
      </c>
      <c r="E902" s="47">
        <v>44217.749120370368</v>
      </c>
      <c r="F902" s="45" t="s">
        <v>237</v>
      </c>
    </row>
    <row r="903" spans="1:6" ht="14.25">
      <c r="A903" s="45"/>
      <c r="B903" s="45" t="s">
        <v>162</v>
      </c>
      <c r="C903" s="46" t="str">
        <f>HYPERLINK("https://au.indeed.com/viewjob?jk=192e79d1a99bd5ee","Senior Design Engineer")</f>
        <v>Senior Design Engineer</v>
      </c>
      <c r="D903" s="45" t="s">
        <v>619</v>
      </c>
      <c r="E903" s="47">
        <v>44217.749803240738</v>
      </c>
      <c r="F903" s="45" t="s">
        <v>164</v>
      </c>
    </row>
    <row r="904" spans="1:6" ht="14.25">
      <c r="A904" s="45"/>
      <c r="B904" s="45" t="s">
        <v>165</v>
      </c>
      <c r="C904" s="46" t="str">
        <f>HYPERLINK("https://au.indeed.com/viewjob?jk=7e7664823a8e151f","Mechanical Engineer")</f>
        <v>Mechanical Engineer</v>
      </c>
      <c r="D904" s="45" t="s">
        <v>620</v>
      </c>
      <c r="E904" s="47">
        <v>44221.638159722221</v>
      </c>
      <c r="F904" s="45" t="s">
        <v>164</v>
      </c>
    </row>
    <row r="905" spans="1:6" ht="14.25">
      <c r="A905" s="45"/>
      <c r="B905" s="45" t="s">
        <v>165</v>
      </c>
      <c r="C905" s="46" t="str">
        <f>HYPERLINK("https://au.indeed.com/viewjob?jk=fc27d8562faa5b34","Lead Mechanical Engineer - Snowy 2.0")</f>
        <v>Lead Mechanical Engineer - Snowy 2.0</v>
      </c>
      <c r="D905" s="45" t="s">
        <v>621</v>
      </c>
      <c r="E905" s="47">
        <v>44221.638252314813</v>
      </c>
      <c r="F905" s="45" t="s">
        <v>164</v>
      </c>
    </row>
    <row r="906" spans="1:6" ht="14.25">
      <c r="A906" s="45"/>
      <c r="B906" s="45" t="s">
        <v>165</v>
      </c>
      <c r="C906" s="46" t="str">
        <f>HYPERLINK("https://au.indeed.com/viewjob?jk=83b7b8e3971c7e0f","Senior Mechanical Engineer")</f>
        <v>Senior Mechanical Engineer</v>
      </c>
      <c r="D906" s="45" t="s">
        <v>447</v>
      </c>
      <c r="E906" s="47">
        <v>44221.638344907406</v>
      </c>
      <c r="F906" s="45" t="s">
        <v>164</v>
      </c>
    </row>
    <row r="907" spans="1:6" ht="14.25">
      <c r="A907" s="45"/>
      <c r="B907" s="45" t="s">
        <v>165</v>
      </c>
      <c r="C907" s="46" t="str">
        <f>HYPERLINK("https://au.indeed.com/viewjob?jk=b3461f8b85ff4ee7","Principal Mechanical Engineer")</f>
        <v>Principal Mechanical Engineer</v>
      </c>
      <c r="D907" s="45" t="s">
        <v>622</v>
      </c>
      <c r="E907" s="47">
        <v>44221.638472222221</v>
      </c>
      <c r="F907" s="45" t="s">
        <v>164</v>
      </c>
    </row>
    <row r="908" spans="1:6" ht="14.25">
      <c r="A908" s="45"/>
      <c r="B908" s="45" t="s">
        <v>165</v>
      </c>
      <c r="C908" s="46" t="str">
        <f>HYPERLINK("https://au.indeed.com/viewjob?jk=f46ac5b5a51f042f","Mechanical Engineer")</f>
        <v>Mechanical Engineer</v>
      </c>
      <c r="D908" s="45" t="s">
        <v>623</v>
      </c>
      <c r="E908" s="47">
        <v>44221.638854166667</v>
      </c>
      <c r="F908" s="45" t="s">
        <v>164</v>
      </c>
    </row>
    <row r="909" spans="1:6" ht="14.25">
      <c r="A909" s="45"/>
      <c r="B909" s="45" t="s">
        <v>165</v>
      </c>
      <c r="C909" s="46" t="str">
        <f>HYPERLINK("https://au.indeed.com/viewjob?jk=b08ba6b21138380e","Mechanical Engineer")</f>
        <v>Mechanical Engineer</v>
      </c>
      <c r="D909" s="45" t="s">
        <v>623</v>
      </c>
      <c r="E909" s="47">
        <v>44221.639247685183</v>
      </c>
      <c r="F909" s="45" t="s">
        <v>164</v>
      </c>
    </row>
    <row r="910" spans="1:6" ht="14.25">
      <c r="A910" s="45"/>
      <c r="B910" s="45" t="s">
        <v>162</v>
      </c>
      <c r="C910" s="46" t="str">
        <f>HYPERLINK("https://au.indeed.com/viewjob?jk=fdb2c50c2ce9ad17","Senior Electrical Design Engineer")</f>
        <v>Senior Electrical Design Engineer</v>
      </c>
      <c r="D910" s="45" t="s">
        <v>537</v>
      </c>
      <c r="E910" s="47">
        <v>44221.64298611111</v>
      </c>
      <c r="F910" s="45" t="s">
        <v>164</v>
      </c>
    </row>
    <row r="911" spans="1:6" ht="14.25">
      <c r="A911" s="45"/>
      <c r="B911" s="45" t="s">
        <v>162</v>
      </c>
      <c r="C911" s="46" t="str">
        <f>HYPERLINK("https://au.indeed.com/viewjob?jk=d9732bb196a0e4e6","SENIOR SIGNALING DESIGN ENGINEER")</f>
        <v>SENIOR SIGNALING DESIGN ENGINEER</v>
      </c>
      <c r="D911" s="45" t="s">
        <v>426</v>
      </c>
      <c r="E911" s="47">
        <v>44221.643564814818</v>
      </c>
      <c r="F911" s="45" t="s">
        <v>164</v>
      </c>
    </row>
    <row r="912" spans="1:6" ht="14.25">
      <c r="A912" s="45"/>
      <c r="B912" s="45" t="s">
        <v>162</v>
      </c>
      <c r="C912" s="46" t="str">
        <f>HYPERLINK("https://au.indeed.com/viewjob?jk=b7bcdb464e7dc499","Transformer Design Engineer")</f>
        <v>Transformer Design Engineer</v>
      </c>
      <c r="D912" s="45" t="s">
        <v>550</v>
      </c>
      <c r="E912" s="47">
        <v>44221.644050925926</v>
      </c>
      <c r="F912" s="45" t="s">
        <v>164</v>
      </c>
    </row>
    <row r="913" spans="1:6" ht="14.25">
      <c r="A913" s="45"/>
      <c r="B913" s="45" t="s">
        <v>162</v>
      </c>
      <c r="C913" s="46" t="str">
        <f>HYPERLINK("https://au.indeed.com/viewjob?jk=0028f1791518c498","RFFE Filter Design Engineer - Maitland, FL")</f>
        <v>RFFE Filter Design Engineer - Maitland, FL</v>
      </c>
      <c r="D913" s="45" t="s">
        <v>624</v>
      </c>
      <c r="E913" s="47">
        <v>44221.644618055558</v>
      </c>
      <c r="F913" s="45" t="s">
        <v>164</v>
      </c>
    </row>
    <row r="914" spans="1:6" ht="14.25">
      <c r="A914" s="45"/>
      <c r="B914" s="45" t="s">
        <v>186</v>
      </c>
      <c r="C914" s="46" t="str">
        <f>HYPERLINK("https://au.indeed.com/viewjob?jk=124d9c9faadabef4","Development Engineer")</f>
        <v>Development Engineer</v>
      </c>
      <c r="D914" s="45" t="s">
        <v>625</v>
      </c>
      <c r="E914" s="47">
        <v>44221.646099537036</v>
      </c>
      <c r="F914" s="45" t="s">
        <v>164</v>
      </c>
    </row>
    <row r="915" spans="1:6" ht="14.25">
      <c r="A915" s="45"/>
      <c r="B915" s="45" t="s">
        <v>186</v>
      </c>
      <c r="C915" s="46" t="str">
        <f>HYPERLINK("https://au.indeed.com/viewjob?jk=05d7edf793dff1cc","Senior Software Engineer - Front End Development")</f>
        <v>Senior Software Engineer - Front End Development</v>
      </c>
      <c r="D915" s="45" t="s">
        <v>582</v>
      </c>
      <c r="E915" s="47">
        <v>44221.64738425926</v>
      </c>
      <c r="F915" s="45" t="s">
        <v>164</v>
      </c>
    </row>
    <row r="916" spans="1:6" ht="14.25">
      <c r="A916" s="45"/>
      <c r="B916" s="45" t="s">
        <v>186</v>
      </c>
      <c r="C916" s="46" t="str">
        <f>HYPERLINK("https://au.indeed.com/viewjob?jk=9ccc6e5af34a66f1","Senior Network Development Engineer")</f>
        <v>Senior Network Development Engineer</v>
      </c>
      <c r="D916" s="45" t="s">
        <v>423</v>
      </c>
      <c r="E916" s="47">
        <v>44221.647870370369</v>
      </c>
      <c r="F916" s="45" t="s">
        <v>164</v>
      </c>
    </row>
    <row r="917" spans="1:6" ht="14.25">
      <c r="A917" s="45"/>
      <c r="B917" s="45" t="s">
        <v>186</v>
      </c>
      <c r="C917" s="46" t="str">
        <f>HYPERLINK("https://au.indeed.com/viewjob?jk=95b2d956b9293868","Software Development Engineer - AWS Developer Tools")</f>
        <v>Software Development Engineer - AWS Developer Tools</v>
      </c>
      <c r="D917" s="45" t="s">
        <v>429</v>
      </c>
      <c r="E917" s="47">
        <v>44221.647974537038</v>
      </c>
      <c r="F917" s="45" t="s">
        <v>164</v>
      </c>
    </row>
    <row r="918" spans="1:6" ht="14.25">
      <c r="A918" s="45"/>
      <c r="B918" s="45" t="s">
        <v>186</v>
      </c>
      <c r="C918" s="46" t="str">
        <f>HYPERLINK("https://au.indeed.com/viewjob?jk=2ad95f0703613a6d","Software Development Engineer - AWS - Networking")</f>
        <v>Software Development Engineer - AWS - Networking</v>
      </c>
      <c r="D918" s="45" t="s">
        <v>423</v>
      </c>
      <c r="E918" s="47">
        <v>44221.6484375</v>
      </c>
      <c r="F918" s="45" t="s">
        <v>164</v>
      </c>
    </row>
    <row r="919" spans="1:6" ht="14.25">
      <c r="A919" s="45"/>
      <c r="B919" s="45" t="s">
        <v>186</v>
      </c>
      <c r="C919" s="46" t="str">
        <f>HYPERLINK("https://au.indeed.com/viewjob?jk=7a3a2e0c3fc8cc93","Land Development Engineer")</f>
        <v>Land Development Engineer</v>
      </c>
      <c r="D919" s="45" t="s">
        <v>626</v>
      </c>
      <c r="E919" s="47">
        <v>44221.648564814815</v>
      </c>
      <c r="F919" s="45" t="s">
        <v>164</v>
      </c>
    </row>
    <row r="920" spans="1:6" ht="14.25">
      <c r="A920" s="45"/>
      <c r="B920" s="45" t="s">
        <v>186</v>
      </c>
      <c r="C920" s="46" t="str">
        <f>HYPERLINK("https://au.indeed.com/viewjob?jk=d3b437d9afe66a6a","Senior Development Engineer")</f>
        <v>Senior Development Engineer</v>
      </c>
      <c r="D920" s="45" t="s">
        <v>501</v>
      </c>
      <c r="E920" s="47">
        <v>44221.648692129631</v>
      </c>
      <c r="F920" s="45" t="s">
        <v>164</v>
      </c>
    </row>
    <row r="921" spans="1:6" ht="14.25">
      <c r="A921" s="45"/>
      <c r="B921" s="45" t="s">
        <v>186</v>
      </c>
      <c r="C921" s="46" t="str">
        <f>HYPERLINK("https://au.indeed.com/viewjob?jk=bca89415bbf05606","Systems Development Engineer-Enterprise Network")</f>
        <v>Systems Development Engineer-Enterprise Network</v>
      </c>
      <c r="D921" s="45" t="s">
        <v>423</v>
      </c>
      <c r="E921" s="47">
        <v>44221.64880787037</v>
      </c>
      <c r="F921" s="45" t="s">
        <v>164</v>
      </c>
    </row>
    <row r="922" spans="1:6" ht="14.25">
      <c r="A922" s="45"/>
      <c r="B922" s="45" t="s">
        <v>186</v>
      </c>
      <c r="C922" s="46" t="str">
        <f>HYPERLINK("https://au.indeed.com/viewjob?jk=36c5dd2b6e7019ed","Development Engineer")</f>
        <v>Development Engineer</v>
      </c>
      <c r="D922" s="45" t="s">
        <v>625</v>
      </c>
      <c r="E922" s="47">
        <v>44221.649270833332</v>
      </c>
      <c r="F922" s="45" t="s">
        <v>164</v>
      </c>
    </row>
    <row r="923" spans="1:6" ht="14.25">
      <c r="A923" s="45"/>
      <c r="B923" s="45" t="s">
        <v>186</v>
      </c>
      <c r="C923" s="46" t="str">
        <f>HYPERLINK("https://au.indeed.com/viewjob?jk=02b352c81041424d","Product Development Engineer")</f>
        <v>Product Development Engineer</v>
      </c>
      <c r="D923" s="45" t="s">
        <v>627</v>
      </c>
      <c r="E923" s="47">
        <v>44221.649363425924</v>
      </c>
      <c r="F923" s="45" t="s">
        <v>164</v>
      </c>
    </row>
    <row r="924" spans="1:6" ht="14.25">
      <c r="A924" s="45"/>
      <c r="B924" s="45" t="s">
        <v>186</v>
      </c>
      <c r="C924" s="46" t="str">
        <f>HYPERLINK("https://au.indeed.com/viewjob?jk=da571cf530cd2a38","Software Development Engineer in Test")</f>
        <v>Software Development Engineer in Test</v>
      </c>
      <c r="D924" s="45" t="s">
        <v>628</v>
      </c>
      <c r="E924" s="47">
        <v>44221.649502314816</v>
      </c>
      <c r="F924" s="45" t="s">
        <v>164</v>
      </c>
    </row>
    <row r="925" spans="1:6" ht="14.25">
      <c r="A925" s="45"/>
      <c r="B925" s="45" t="s">
        <v>186</v>
      </c>
      <c r="C925" s="46" t="str">
        <f>HYPERLINK("https://au.indeed.com/viewjob?jk=388ecbb4b987e2b6","Development Engineer")</f>
        <v>Development Engineer</v>
      </c>
      <c r="D925" s="45" t="s">
        <v>474</v>
      </c>
      <c r="E925" s="47">
        <v>44221.650046296294</v>
      </c>
      <c r="F925" s="45" t="s">
        <v>164</v>
      </c>
    </row>
    <row r="926" spans="1:6" ht="14.25">
      <c r="A926" s="45"/>
      <c r="B926" s="45" t="s">
        <v>186</v>
      </c>
      <c r="C926" s="46" t="str">
        <f>HYPERLINK("https://au.indeed.com/viewjob?jk=423756da82a3161a","Senior Civil Engineer - $155k-$133k. Land/Urban Development")</f>
        <v>Senior Civil Engineer - $155k-$133k. Land/Urban Development</v>
      </c>
      <c r="D926" s="45" t="s">
        <v>431</v>
      </c>
      <c r="E926" s="47">
        <v>44221.650150462963</v>
      </c>
      <c r="F926" s="45" t="s">
        <v>164</v>
      </c>
    </row>
    <row r="927" spans="1:6" ht="14.25">
      <c r="A927" s="45"/>
      <c r="B927" s="45" t="s">
        <v>220</v>
      </c>
      <c r="C927" s="46" t="str">
        <f>HYPERLINK("https://au.indeed.com/viewjob?jk=01ad2654c285e649","Lead Test Engineer - Industrial Communication Systems")</f>
        <v>Lead Test Engineer - Industrial Communication Systems</v>
      </c>
      <c r="D927" s="45" t="s">
        <v>187</v>
      </c>
      <c r="E927" s="47">
        <v>44221.650300925925</v>
      </c>
      <c r="F927" s="45" t="s">
        <v>164</v>
      </c>
    </row>
    <row r="928" spans="1:6" ht="14.25">
      <c r="A928" s="45"/>
      <c r="B928" s="45" t="s">
        <v>167</v>
      </c>
      <c r="C928" s="46" t="str">
        <f>HYPERLINK("https://au.indeed.com/viewjob?jk=9e94302d0604d955","Infrastructure Engineer")</f>
        <v>Infrastructure Engineer</v>
      </c>
      <c r="D928" s="45" t="s">
        <v>629</v>
      </c>
      <c r="E928" s="47">
        <v>44221.651319444441</v>
      </c>
      <c r="F928" s="45" t="s">
        <v>164</v>
      </c>
    </row>
    <row r="929" spans="1:6" ht="14.25">
      <c r="A929" s="45"/>
      <c r="B929" s="45" t="s">
        <v>167</v>
      </c>
      <c r="C929" s="46" t="str">
        <f>HYPERLINK("https://au.indeed.com/viewjob?jk=78bafaf3f396a835","Infrastructure Project Engineer")</f>
        <v>Infrastructure Project Engineer</v>
      </c>
      <c r="D929" s="45" t="s">
        <v>630</v>
      </c>
      <c r="E929" s="47">
        <v>44221.651828703703</v>
      </c>
      <c r="F929" s="45" t="s">
        <v>164</v>
      </c>
    </row>
    <row r="930" spans="1:6" ht="14.25">
      <c r="A930" s="45"/>
      <c r="B930" s="45" t="s">
        <v>167</v>
      </c>
      <c r="C930" s="46" t="str">
        <f>HYPERLINK("https://au.indeed.com/viewjob?jk=f60c0db5d4d94fb1","Senior IT Infrastructure Engineer (Systems Engineering)")</f>
        <v>Senior IT Infrastructure Engineer (Systems Engineering)</v>
      </c>
      <c r="D930" s="45" t="s">
        <v>432</v>
      </c>
      <c r="E930" s="47">
        <v>44221.65247685185</v>
      </c>
      <c r="F930" s="45" t="s">
        <v>164</v>
      </c>
    </row>
    <row r="931" spans="1:6" ht="14.25">
      <c r="A931" s="45"/>
      <c r="B931" s="45" t="s">
        <v>167</v>
      </c>
      <c r="C931" s="46" t="str">
        <f>HYPERLINK("https://au.indeed.com/viewjob?jk=682440ac6a3181bc","Infrastructure Engineer")</f>
        <v>Infrastructure Engineer</v>
      </c>
      <c r="D931" s="45" t="s">
        <v>629</v>
      </c>
      <c r="E931" s="47">
        <v>44221.652581018519</v>
      </c>
      <c r="F931" s="45" t="s">
        <v>164</v>
      </c>
    </row>
    <row r="932" spans="1:6" ht="14.25">
      <c r="A932" s="45"/>
      <c r="B932" s="45" t="s">
        <v>167</v>
      </c>
      <c r="C932" s="46" t="str">
        <f>HYPERLINK("https://au.indeed.com/viewjob?jk=702104a7d9644064","Infrastructure Engineer - EUC")</f>
        <v>Infrastructure Engineer - EUC</v>
      </c>
      <c r="D932" s="45" t="s">
        <v>628</v>
      </c>
      <c r="E932" s="47">
        <v>44221.652685185189</v>
      </c>
      <c r="F932" s="45" t="s">
        <v>164</v>
      </c>
    </row>
    <row r="933" spans="1:6" ht="14.25">
      <c r="A933" s="45"/>
      <c r="B933" s="45" t="s">
        <v>167</v>
      </c>
      <c r="C933" s="46" t="str">
        <f>HYPERLINK("https://au.indeed.com/viewjob?jk=ea77c162dda1d304","Cloud Technical Solutions Engineer, Infrastructure")</f>
        <v>Cloud Technical Solutions Engineer, Infrastructure</v>
      </c>
      <c r="D933" s="45" t="s">
        <v>358</v>
      </c>
      <c r="E933" s="47">
        <v>44221.655219907407</v>
      </c>
      <c r="F933" s="45" t="s">
        <v>164</v>
      </c>
    </row>
    <row r="934" spans="1:6" ht="14.25">
      <c r="A934" s="45"/>
      <c r="B934" s="45" t="s">
        <v>190</v>
      </c>
      <c r="C934" s="46" t="str">
        <f>HYPERLINK("https://au.indeed.com/viewjob?jk=cafae1591281816e","Aircraft Maintenance Engineer (Maintenance Manager): Avionics")</f>
        <v>Aircraft Maintenance Engineer (Maintenance Manager): Avionics</v>
      </c>
      <c r="D934" s="45" t="s">
        <v>441</v>
      </c>
      <c r="E934" s="47">
        <v>44221.655370370368</v>
      </c>
      <c r="F934" s="45" t="s">
        <v>164</v>
      </c>
    </row>
    <row r="935" spans="1:6" ht="14.25">
      <c r="A935" s="45"/>
      <c r="B935" s="45" t="s">
        <v>190</v>
      </c>
      <c r="C935" s="46" t="str">
        <f>HYPERLINK("https://au.indeed.com/viewjob?jk=8860e151eb2aea23","Aircraft Maintenance Engineer - Avionics")</f>
        <v>Aircraft Maintenance Engineer - Avionics</v>
      </c>
      <c r="D935" s="45" t="s">
        <v>441</v>
      </c>
      <c r="E935" s="47">
        <v>44221.655509259261</v>
      </c>
      <c r="F935" s="45" t="s">
        <v>164</v>
      </c>
    </row>
    <row r="936" spans="1:6" ht="14.25">
      <c r="A936" s="45"/>
      <c r="B936" s="45" t="s">
        <v>190</v>
      </c>
      <c r="C936" s="46" t="str">
        <f>HYPERLINK("https://au.indeed.com/viewjob?jk=f335eda8c68e54c0","Maintenance Engineer - Electrician")</f>
        <v>Maintenance Engineer - Electrician</v>
      </c>
      <c r="D936" s="45" t="s">
        <v>631</v>
      </c>
      <c r="E936" s="47">
        <v>44221.655613425923</v>
      </c>
      <c r="F936" s="45" t="s">
        <v>164</v>
      </c>
    </row>
    <row r="937" spans="1:6" ht="14.25">
      <c r="A937" s="45"/>
      <c r="B937" s="45" t="s">
        <v>190</v>
      </c>
      <c r="C937" s="46" t="str">
        <f>HYPERLINK("https://au.indeed.com/viewjob?jk=70f4181ce2ebcc7a","Part Time Aircraft Maintenance Engineer - Level 2")</f>
        <v>Part Time Aircraft Maintenance Engineer - Level 2</v>
      </c>
      <c r="D937" s="45" t="s">
        <v>632</v>
      </c>
      <c r="E937" s="47">
        <v>44221.655706018515</v>
      </c>
      <c r="F937" s="45" t="s">
        <v>164</v>
      </c>
    </row>
    <row r="938" spans="1:6" ht="14.25">
      <c r="A938" s="45"/>
      <c r="B938" s="45" t="s">
        <v>284</v>
      </c>
      <c r="C938" s="46" t="str">
        <f>HYPERLINK("https://au.indeed.com/viewjob?jk=06074f51d2c4efc4","Senior Mining Engineer / Alt. Underground Manager")</f>
        <v>Senior Mining Engineer / Alt. Underground Manager</v>
      </c>
      <c r="D938" s="45" t="s">
        <v>498</v>
      </c>
      <c r="E938" s="47">
        <v>44221.655868055554</v>
      </c>
      <c r="F938" s="45" t="s">
        <v>164</v>
      </c>
    </row>
    <row r="939" spans="1:6" ht="14.25">
      <c r="A939" s="45"/>
      <c r="B939" s="45" t="s">
        <v>284</v>
      </c>
      <c r="C939" s="46" t="str">
        <f>HYPERLINK("https://au.indeed.com/viewjob?jk=122689cc5cfbd74d","Senior Mining Engineer – Weekly Scheduling")</f>
        <v>Senior Mining Engineer – Weekly Scheduling</v>
      </c>
      <c r="D939" s="45" t="s">
        <v>633</v>
      </c>
      <c r="E939" s="47">
        <v>44221.655972222223</v>
      </c>
      <c r="F939" s="45" t="s">
        <v>164</v>
      </c>
    </row>
    <row r="940" spans="1:6" ht="14.25">
      <c r="A940" s="45"/>
      <c r="B940" s="45" t="s">
        <v>223</v>
      </c>
      <c r="C940" s="46" t="str">
        <f>HYPERLINK("https://au.indeed.com/viewjob?jk=1a5f565994205352","Treatment Process Engineer")</f>
        <v>Treatment Process Engineer</v>
      </c>
      <c r="D940" s="45" t="s">
        <v>634</v>
      </c>
      <c r="E940" s="47">
        <v>44221.656122685185</v>
      </c>
      <c r="F940" s="45" t="s">
        <v>164</v>
      </c>
    </row>
    <row r="941" spans="1:6" ht="14.25">
      <c r="A941" s="45"/>
      <c r="B941" s="45" t="s">
        <v>223</v>
      </c>
      <c r="C941" s="46" t="str">
        <f>HYPERLINK("https://au.indeed.com/viewjob?jk=030b5c8cd2159624","Safety &amp; Process Engineer")</f>
        <v>Safety &amp; Process Engineer</v>
      </c>
      <c r="D941" s="45" t="s">
        <v>620</v>
      </c>
      <c r="E941" s="47">
        <v>44221.656226851854</v>
      </c>
      <c r="F941" s="45" t="s">
        <v>164</v>
      </c>
    </row>
    <row r="942" spans="1:6" ht="14.25">
      <c r="A942" s="45"/>
      <c r="B942" s="45" t="s">
        <v>223</v>
      </c>
      <c r="C942" s="46" t="str">
        <f>HYPERLINK("https://au.indeed.com/viewjob?jk=24f7bd90b5c5a38b","Treatment Process Engineer")</f>
        <v>Treatment Process Engineer</v>
      </c>
      <c r="D942" s="45"/>
      <c r="E942" s="47">
        <v>44221.656354166669</v>
      </c>
      <c r="F942" s="45" t="s">
        <v>164</v>
      </c>
    </row>
    <row r="943" spans="1:6" ht="14.25">
      <c r="A943" s="45"/>
      <c r="B943" s="45" t="s">
        <v>223</v>
      </c>
      <c r="C943" s="46" t="str">
        <f>HYPERLINK("https://au.indeed.com/viewjob?jk=9fb5d2677f3276a9","Senior Process Engineer")</f>
        <v>Senior Process Engineer</v>
      </c>
      <c r="D943" s="45" t="s">
        <v>635</v>
      </c>
      <c r="E943" s="47">
        <v>44221.656863425924</v>
      </c>
      <c r="F943" s="45" t="s">
        <v>164</v>
      </c>
    </row>
    <row r="944" spans="1:6" ht="14.25">
      <c r="A944" s="45"/>
      <c r="B944" s="45" t="s">
        <v>176</v>
      </c>
      <c r="C944" s="46" t="str">
        <f>HYPERLINK("https://au.indeed.com/viewjob?jk=c6a21d949b5be657","Senior Project Engineer")</f>
        <v>Senior Project Engineer</v>
      </c>
      <c r="D944" s="45" t="s">
        <v>422</v>
      </c>
      <c r="E944" s="47">
        <v>44221.657500000001</v>
      </c>
      <c r="F944" s="45" t="s">
        <v>164</v>
      </c>
    </row>
    <row r="945" spans="1:6" ht="14.25">
      <c r="A945" s="45"/>
      <c r="B945" s="45" t="s">
        <v>176</v>
      </c>
      <c r="C945" s="46" t="str">
        <f>HYPERLINK("https://au.indeed.com/viewjob?jk=e084c59e553bc901","Project Engineer - Utilites/Transmission/Electricity")</f>
        <v>Project Engineer - Utilites/Transmission/Electricity</v>
      </c>
      <c r="D945" s="45" t="s">
        <v>500</v>
      </c>
      <c r="E945" s="47">
        <v>44221.657604166663</v>
      </c>
      <c r="F945" s="45" t="s">
        <v>164</v>
      </c>
    </row>
    <row r="946" spans="1:6" ht="14.25">
      <c r="A946" s="45"/>
      <c r="B946" s="45" t="s">
        <v>176</v>
      </c>
      <c r="C946" s="46" t="str">
        <f>HYPERLINK("https://au.indeed.com/viewjob?jk=7f7c3dd0d42d8e68","Project Engineer")</f>
        <v>Project Engineer</v>
      </c>
      <c r="D946" s="45" t="s">
        <v>636</v>
      </c>
      <c r="E946" s="47">
        <v>44221.658055555556</v>
      </c>
      <c r="F946" s="45" t="s">
        <v>164</v>
      </c>
    </row>
    <row r="947" spans="1:6" ht="14.25">
      <c r="A947" s="45"/>
      <c r="B947" s="45" t="s">
        <v>176</v>
      </c>
      <c r="C947" s="46" t="str">
        <f>HYPERLINK("https://au.indeed.com/viewjob?jk=7b8db364f6ac584f","Project Engineer_Central Coast")</f>
        <v>Project Engineer_Central Coast</v>
      </c>
      <c r="D947" s="45" t="s">
        <v>637</v>
      </c>
      <c r="E947" s="47">
        <v>44221.658159722225</v>
      </c>
      <c r="F947" s="45" t="s">
        <v>164</v>
      </c>
    </row>
    <row r="948" spans="1:6" ht="14.25">
      <c r="A948" s="45"/>
      <c r="B948" s="45" t="s">
        <v>176</v>
      </c>
      <c r="C948" s="46" t="str">
        <f>HYPERLINK("https://au.indeed.com/viewjob?jk=2cf67f6d490cfe5d","High Voltage Project Manager/Engineer")</f>
        <v>High Voltage Project Manager/Engineer</v>
      </c>
      <c r="D948" s="45" t="s">
        <v>638</v>
      </c>
      <c r="E948" s="47">
        <v>44221.658692129633</v>
      </c>
      <c r="F948" s="45" t="s">
        <v>164</v>
      </c>
    </row>
    <row r="949" spans="1:6" ht="14.25">
      <c r="A949" s="45"/>
      <c r="B949" s="45" t="s">
        <v>176</v>
      </c>
      <c r="C949" s="46" t="str">
        <f>HYPERLINK("https://au.indeed.com/viewjob?jk=dd7bd1316a923ba9","Senior Project Engineer")</f>
        <v>Senior Project Engineer</v>
      </c>
      <c r="D949" s="45" t="s">
        <v>500</v>
      </c>
      <c r="E949" s="47">
        <v>44221.659201388888</v>
      </c>
      <c r="F949" s="45" t="s">
        <v>164</v>
      </c>
    </row>
    <row r="950" spans="1:6" ht="14.25">
      <c r="A950" s="45"/>
      <c r="B950" s="45" t="s">
        <v>176</v>
      </c>
      <c r="C950" s="46" t="str">
        <f>HYPERLINK("https://au.indeed.com/viewjob?jk=fd39a2ac9ea54323","Project Engineer (NSW/VIC)")</f>
        <v>Project Engineer (NSW/VIC)</v>
      </c>
      <c r="D950" s="45" t="s">
        <v>541</v>
      </c>
      <c r="E950" s="47">
        <v>44221.659722222219</v>
      </c>
      <c r="F950" s="45" t="s">
        <v>164</v>
      </c>
    </row>
    <row r="951" spans="1:6" ht="14.25">
      <c r="A951" s="45"/>
      <c r="B951" s="45" t="s">
        <v>176</v>
      </c>
      <c r="C951" s="46" t="str">
        <f>HYPERLINK("https://au.indeed.com/viewjob?jk=96fb06f4e2e7b60e","Project Engineer")</f>
        <v>Project Engineer</v>
      </c>
      <c r="D951" s="45" t="s">
        <v>639</v>
      </c>
      <c r="E951" s="47">
        <v>44221.659849537034</v>
      </c>
      <c r="F951" s="45" t="s">
        <v>164</v>
      </c>
    </row>
    <row r="952" spans="1:6" ht="14.25">
      <c r="A952" s="45"/>
      <c r="B952" s="45" t="s">
        <v>176</v>
      </c>
      <c r="C952" s="46" t="str">
        <f>HYPERLINK("https://au.indeed.com/viewjob?jk=ff515a5d4f9b8f8c","Project Engineer")</f>
        <v>Project Engineer</v>
      </c>
      <c r="D952" s="45" t="s">
        <v>547</v>
      </c>
      <c r="E952" s="47">
        <v>44221.661273148151</v>
      </c>
      <c r="F952" s="45" t="s">
        <v>164</v>
      </c>
    </row>
    <row r="953" spans="1:6" ht="14.25">
      <c r="A953" s="45"/>
      <c r="B953" s="45" t="s">
        <v>176</v>
      </c>
      <c r="C953" s="46" t="str">
        <f>HYPERLINK("https://au.indeed.com/viewjob?jk=0bc4376efb35cfd6","Project Engineer - Civil Engineering")</f>
        <v>Project Engineer - Civil Engineering</v>
      </c>
      <c r="D953" s="45" t="s">
        <v>640</v>
      </c>
      <c r="E953" s="47">
        <v>44221.66138888889</v>
      </c>
      <c r="F953" s="45" t="s">
        <v>164</v>
      </c>
    </row>
    <row r="954" spans="1:6" ht="14.25">
      <c r="A954" s="45"/>
      <c r="B954" s="45" t="s">
        <v>176</v>
      </c>
      <c r="C954" s="46" t="str">
        <f>HYPERLINK("https://au.indeed.com/viewjob?jk=d7e1be228bf6fda8","Project Engineer")</f>
        <v>Project Engineer</v>
      </c>
      <c r="D954" s="45" t="s">
        <v>636</v>
      </c>
      <c r="E954" s="47">
        <v>44221.661481481482</v>
      </c>
      <c r="F954" s="45" t="s">
        <v>164</v>
      </c>
    </row>
    <row r="955" spans="1:6" ht="14.25">
      <c r="A955" s="45"/>
      <c r="B955" s="45" t="s">
        <v>176</v>
      </c>
      <c r="C955" s="46" t="str">
        <f>HYPERLINK("https://au.indeed.com/viewjob?jk=2470573b0dec2372","Project Engineer - Track Installation")</f>
        <v>Project Engineer - Track Installation</v>
      </c>
      <c r="D955" s="45" t="s">
        <v>541</v>
      </c>
      <c r="E955" s="47">
        <v>44221.661608796298</v>
      </c>
      <c r="F955" s="45" t="s">
        <v>164</v>
      </c>
    </row>
    <row r="956" spans="1:6" ht="14.25">
      <c r="A956" s="45"/>
      <c r="B956" s="45" t="s">
        <v>176</v>
      </c>
      <c r="C956" s="46" t="str">
        <f>HYPERLINK("https://au.indeed.com/viewjob?jk=9166c3a0b066e79b","Special Project Engineer")</f>
        <v>Special Project Engineer</v>
      </c>
      <c r="D956" s="45"/>
      <c r="E956" s="47">
        <v>44221.662164351852</v>
      </c>
      <c r="F956" s="45" t="s">
        <v>164</v>
      </c>
    </row>
    <row r="957" spans="1:6" ht="14.25">
      <c r="A957" s="45"/>
      <c r="B957" s="45" t="s">
        <v>176</v>
      </c>
      <c r="C957" s="46" t="str">
        <f>HYPERLINK("https://au.indeed.com/viewjob?jk=b627c2fc239f9d52","Project Engineer")</f>
        <v>Project Engineer</v>
      </c>
      <c r="D957" s="45" t="s">
        <v>419</v>
      </c>
      <c r="E957" s="47">
        <v>44221.662268518521</v>
      </c>
      <c r="F957" s="45" t="s">
        <v>164</v>
      </c>
    </row>
    <row r="958" spans="1:6" ht="14.25">
      <c r="A958" s="45"/>
      <c r="B958" s="45" t="s">
        <v>176</v>
      </c>
      <c r="C958" s="46" t="str">
        <f>HYPERLINK("https://au.indeed.com/viewjob?jk=4f4cd0488bfae97e","Senior Project Engineer - Pavements")</f>
        <v>Senior Project Engineer - Pavements</v>
      </c>
      <c r="D958" s="45" t="s">
        <v>457</v>
      </c>
      <c r="E958" s="47">
        <v>44221.66238425926</v>
      </c>
      <c r="F958" s="45" t="s">
        <v>164</v>
      </c>
    </row>
    <row r="959" spans="1:6" ht="14.25">
      <c r="A959" s="45"/>
      <c r="B959" s="45" t="s">
        <v>176</v>
      </c>
      <c r="C959" s="46" t="str">
        <f>HYPERLINK("https://au.indeed.com/viewjob?jk=be19b140fe7836c9","Senior Project Engineer (SAED)")</f>
        <v>Senior Project Engineer (SAED)</v>
      </c>
      <c r="D959" s="45" t="s">
        <v>619</v>
      </c>
      <c r="E959" s="47">
        <v>44221.663842592592</v>
      </c>
      <c r="F959" s="45" t="s">
        <v>164</v>
      </c>
    </row>
    <row r="960" spans="1:6" ht="14.25">
      <c r="A960" s="45"/>
      <c r="B960" s="45" t="s">
        <v>176</v>
      </c>
      <c r="C960" s="46" t="str">
        <f>HYPERLINK("https://au.indeed.com/viewjob?jk=3015b93dc932dc01","Electrical Project Engineer")</f>
        <v>Electrical Project Engineer</v>
      </c>
      <c r="D960" s="45" t="s">
        <v>391</v>
      </c>
      <c r="E960" s="47">
        <v>44221.665601851855</v>
      </c>
      <c r="F960" s="45" t="s">
        <v>164</v>
      </c>
    </row>
    <row r="961" spans="1:6" ht="14.25">
      <c r="A961" s="45"/>
      <c r="B961" s="45" t="s">
        <v>176</v>
      </c>
      <c r="C961" s="46" t="str">
        <f>HYPERLINK("https://au.indeed.com/viewjob?jk=e27cd5482bfa81de","Special Project Engineer")</f>
        <v>Special Project Engineer</v>
      </c>
      <c r="D961" s="45" t="s">
        <v>501</v>
      </c>
      <c r="E961" s="47">
        <v>44221.666967592595</v>
      </c>
      <c r="F961" s="45" t="s">
        <v>164</v>
      </c>
    </row>
    <row r="962" spans="1:6" ht="14.25">
      <c r="A962" s="45"/>
      <c r="B962" s="45" t="s">
        <v>176</v>
      </c>
      <c r="C962" s="46" t="str">
        <f>HYPERLINK("https://au.indeed.com/viewjob?jk=55179ddb4528b987","Project Engineer - Utilites/Transmission/Electricity")</f>
        <v>Project Engineer - Utilites/Transmission/Electricity</v>
      </c>
      <c r="D962" s="45" t="s">
        <v>500</v>
      </c>
      <c r="E962" s="47">
        <v>44221.669270833336</v>
      </c>
      <c r="F962" s="45" t="s">
        <v>164</v>
      </c>
    </row>
    <row r="963" spans="1:6" ht="14.25">
      <c r="A963" s="45"/>
      <c r="B963" s="45" t="s">
        <v>176</v>
      </c>
      <c r="C963" s="46" t="str">
        <f>HYPERLINK("https://au.indeed.com/viewjob?jk=e30ffe4ef233d1da","Project Engineer")</f>
        <v>Project Engineer</v>
      </c>
      <c r="D963" s="45" t="s">
        <v>641</v>
      </c>
      <c r="E963" s="47">
        <v>44221.669398148151</v>
      </c>
      <c r="F963" s="45" t="s">
        <v>164</v>
      </c>
    </row>
    <row r="964" spans="1:6" ht="14.25">
      <c r="A964" s="45"/>
      <c r="B964" s="45" t="s">
        <v>176</v>
      </c>
      <c r="C964" s="46" t="str">
        <f>HYPERLINK("https://au.indeed.com/viewjob?jk=01b557a358b03dac","BMS Project Engineer")</f>
        <v>BMS Project Engineer</v>
      </c>
      <c r="D964" s="45" t="s">
        <v>473</v>
      </c>
      <c r="E964" s="47">
        <v>44221.671643518515</v>
      </c>
      <c r="F964" s="45" t="s">
        <v>164</v>
      </c>
    </row>
    <row r="965" spans="1:6" ht="14.25">
      <c r="A965" s="45"/>
      <c r="B965" s="45" t="s">
        <v>176</v>
      </c>
      <c r="C965" s="46" t="str">
        <f>HYPERLINK("https://au.indeed.com/viewjob?jk=520b856c7ad2cc0f","EOI - Site Engineers (Linewide Project)")</f>
        <v>EOI - Site Engineers (Linewide Project)</v>
      </c>
      <c r="D965" s="45" t="s">
        <v>541</v>
      </c>
      <c r="E965" s="47">
        <v>44221.671747685185</v>
      </c>
      <c r="F965" s="45" t="s">
        <v>164</v>
      </c>
    </row>
    <row r="966" spans="1:6" ht="14.25">
      <c r="A966" s="45"/>
      <c r="B966" s="45" t="s">
        <v>176</v>
      </c>
      <c r="C966" s="46" t="str">
        <f>HYPERLINK("https://au.indeed.com/viewjob?jk=d5b4e559b15d9213","Project Engineer")</f>
        <v>Project Engineer</v>
      </c>
      <c r="D966" s="45" t="s">
        <v>295</v>
      </c>
      <c r="E966" s="47">
        <v>44221.673136574071</v>
      </c>
      <c r="F966" s="45" t="s">
        <v>164</v>
      </c>
    </row>
    <row r="967" spans="1:6" ht="14.25">
      <c r="A967" s="45"/>
      <c r="B967" s="45" t="s">
        <v>176</v>
      </c>
      <c r="C967" s="46" t="str">
        <f>HYPERLINK("https://au.indeed.com/viewjob?jk=11004bd34284abb1","Senior Project Engineer")</f>
        <v>Senior Project Engineer</v>
      </c>
      <c r="D967" s="45" t="s">
        <v>500</v>
      </c>
      <c r="E967" s="47">
        <v>44221.673657407409</v>
      </c>
      <c r="F967" s="45" t="s">
        <v>164</v>
      </c>
    </row>
    <row r="968" spans="1:6" ht="14.25">
      <c r="A968" s="45"/>
      <c r="B968" s="45" t="s">
        <v>176</v>
      </c>
      <c r="C968" s="46" t="str">
        <f>HYPERLINK("https://au.indeed.com/viewjob?jk=05ef30f19235075b","EOI - Project Engineers (Linewide Project)")</f>
        <v>EOI - Project Engineers (Linewide Project)</v>
      </c>
      <c r="D968" s="45" t="s">
        <v>541</v>
      </c>
      <c r="E968" s="47">
        <v>44221.674212962964</v>
      </c>
      <c r="F968" s="45" t="s">
        <v>164</v>
      </c>
    </row>
    <row r="969" spans="1:6" ht="14.25">
      <c r="A969" s="45"/>
      <c r="B969" s="45" t="s">
        <v>176</v>
      </c>
      <c r="C969" s="46" t="str">
        <f>HYPERLINK("https://au.indeed.com/viewjob?jk=2ab0ace66ab9ef77","Project Engineer")</f>
        <v>Project Engineer</v>
      </c>
      <c r="D969" s="45" t="s">
        <v>474</v>
      </c>
      <c r="E969" s="47">
        <v>44221.674317129633</v>
      </c>
      <c r="F969" s="45" t="s">
        <v>164</v>
      </c>
    </row>
    <row r="970" spans="1:6" ht="14.25">
      <c r="A970" s="45"/>
      <c r="B970" s="45" t="s">
        <v>176</v>
      </c>
      <c r="C970" s="46" t="str">
        <f>HYPERLINK("https://au.indeed.com/viewjob?jk=fb84e05d3a5ad182","EOI - Site Engineers (Linewide Project)")</f>
        <v>EOI - Site Engineers (Linewide Project)</v>
      </c>
      <c r="D970" s="45" t="s">
        <v>568</v>
      </c>
      <c r="E970" s="47">
        <v>44221.674849537034</v>
      </c>
      <c r="F970" s="45" t="s">
        <v>164</v>
      </c>
    </row>
    <row r="971" spans="1:6" ht="14.25">
      <c r="A971" s="45"/>
      <c r="B971" s="45" t="s">
        <v>176</v>
      </c>
      <c r="C971" s="46" t="str">
        <f>HYPERLINK("https://au.indeed.com/viewjob?jk=b3f36fb0a7ca78c6","Project Engineer")</f>
        <v>Project Engineer</v>
      </c>
      <c r="D971" s="45" t="s">
        <v>498</v>
      </c>
      <c r="E971" s="47">
        <v>44221.675405092596</v>
      </c>
      <c r="F971" s="45" t="s">
        <v>164</v>
      </c>
    </row>
    <row r="972" spans="1:6" ht="14.25">
      <c r="A972" s="45"/>
      <c r="B972" s="45" t="s">
        <v>176</v>
      </c>
      <c r="C972" s="46" t="str">
        <f>HYPERLINK("https://au.indeed.com/viewjob?jk=33905cf7d3f24add","Senior Project Engineer - Civil")</f>
        <v>Senior Project Engineer - Civil</v>
      </c>
      <c r="D972" s="45" t="s">
        <v>474</v>
      </c>
      <c r="E972" s="47">
        <v>44221.675520833334</v>
      </c>
      <c r="F972" s="45" t="s">
        <v>164</v>
      </c>
    </row>
    <row r="973" spans="1:6" ht="14.25">
      <c r="A973" s="45"/>
      <c r="B973" s="45" t="s">
        <v>332</v>
      </c>
      <c r="C973" s="46" t="str">
        <f>HYPERLINK("https://au.indeed.com/viewjob?jk=dc3d840350f2838d","Site Capital Projects - Mechanical Specialist")</f>
        <v>Site Capital Projects - Mechanical Specialist</v>
      </c>
      <c r="D973" s="45" t="s">
        <v>633</v>
      </c>
      <c r="E973" s="47">
        <v>44221.676076388889</v>
      </c>
      <c r="F973" s="45" t="s">
        <v>164</v>
      </c>
    </row>
    <row r="974" spans="1:6" ht="14.25">
      <c r="A974" s="45"/>
      <c r="B974" s="45" t="s">
        <v>332</v>
      </c>
      <c r="C974" s="46" t="str">
        <f>HYPERLINK("https://au.indeed.com/viewjob?jk=5df8825d98597081","Mechanical HVAC Project Manager")</f>
        <v>Mechanical HVAC Project Manager</v>
      </c>
      <c r="D974" s="45" t="s">
        <v>391</v>
      </c>
      <c r="E974" s="47">
        <v>44221.67659722222</v>
      </c>
      <c r="F974" s="45" t="s">
        <v>164</v>
      </c>
    </row>
    <row r="975" spans="1:6" ht="14.25">
      <c r="A975" s="45"/>
      <c r="B975" s="45" t="s">
        <v>202</v>
      </c>
      <c r="C975" s="46" t="str">
        <f>HYPERLINK("https://au.indeed.com/viewjob?jk=81f6d276221a2ee4","Software Engineer, Site Reliability Engineering (Part-time)")</f>
        <v>Software Engineer, Site Reliability Engineering (Part-time)</v>
      </c>
      <c r="D975" s="45" t="s">
        <v>358</v>
      </c>
      <c r="E975" s="47">
        <v>44221.678043981483</v>
      </c>
      <c r="F975" s="45" t="s">
        <v>164</v>
      </c>
    </row>
    <row r="976" spans="1:6" ht="14.25">
      <c r="A976" s="45"/>
      <c r="B976" s="45" t="s">
        <v>202</v>
      </c>
      <c r="C976" s="46" t="str">
        <f>HYPERLINK("https://au.indeed.com/viewjob?jk=67d2871ae054418b","Software Reliability Engineer")</f>
        <v>Software Reliability Engineer</v>
      </c>
      <c r="D976" s="45" t="s">
        <v>642</v>
      </c>
      <c r="E976" s="47">
        <v>44221.678159722222</v>
      </c>
      <c r="F976" s="45" t="s">
        <v>164</v>
      </c>
    </row>
    <row r="977" spans="1:6" ht="14.25">
      <c r="A977" s="45"/>
      <c r="B977" s="45" t="s">
        <v>202</v>
      </c>
      <c r="C977" s="46" t="str">
        <f>HYPERLINK("https://au.indeed.com/viewjob?jk=2111618ff9a67a09","Site Reliability Engineer | FinTech | Sydney")</f>
        <v>Site Reliability Engineer | FinTech | Sydney</v>
      </c>
      <c r="D977" s="45" t="s">
        <v>489</v>
      </c>
      <c r="E977" s="47">
        <v>44221.678738425922</v>
      </c>
      <c r="F977" s="45" t="s">
        <v>164</v>
      </c>
    </row>
    <row r="978" spans="1:6" ht="14.25">
      <c r="A978" s="45"/>
      <c r="B978" s="45" t="s">
        <v>202</v>
      </c>
      <c r="C978" s="46" t="str">
        <f>HYPERLINK("https://au.indeed.com/viewjob?jk=e4a962ccbf86527f","Systems Engineer, Site Reliability Engineering")</f>
        <v>Systems Engineer, Site Reliability Engineering</v>
      </c>
      <c r="D978" s="45" t="s">
        <v>358</v>
      </c>
      <c r="E978" s="47">
        <v>44221.678842592592</v>
      </c>
      <c r="F978" s="45" t="s">
        <v>164</v>
      </c>
    </row>
    <row r="979" spans="1:6" ht="14.25">
      <c r="A979" s="45"/>
      <c r="B979" s="45" t="s">
        <v>202</v>
      </c>
      <c r="C979" s="46" t="str">
        <f>HYPERLINK("https://au.indeed.com/viewjob?jk=f0d4b4bf959a8b60","Senior Site Reliability Engineer")</f>
        <v>Senior Site Reliability Engineer</v>
      </c>
      <c r="D979" s="45" t="s">
        <v>609</v>
      </c>
      <c r="E979" s="47">
        <v>44221.680115740739</v>
      </c>
      <c r="F979" s="45" t="s">
        <v>164</v>
      </c>
    </row>
    <row r="980" spans="1:6" ht="14.25">
      <c r="A980" s="45"/>
      <c r="B980" s="45" t="s">
        <v>202</v>
      </c>
      <c r="C980" s="46" t="str">
        <f>HYPERLINK("https://au.indeed.com/viewjob?jk=b4a7eae0dd36762e","Electrical Reliability Engineer")</f>
        <v>Electrical Reliability Engineer</v>
      </c>
      <c r="D980" s="45" t="s">
        <v>639</v>
      </c>
      <c r="E980" s="47">
        <v>44221.680648148147</v>
      </c>
      <c r="F980" s="45" t="s">
        <v>164</v>
      </c>
    </row>
    <row r="981" spans="1:6" ht="14.25">
      <c r="A981" s="45"/>
      <c r="B981" s="45" t="s">
        <v>202</v>
      </c>
      <c r="C981" s="46" t="str">
        <f>HYPERLINK("https://au.indeed.com/viewjob?jk=c2f3478b53e62c7b","Site Reliability Engineer - APAC")</f>
        <v>Site Reliability Engineer - APAC</v>
      </c>
      <c r="D981" s="45" t="s">
        <v>643</v>
      </c>
      <c r="E981" s="47">
        <v>44221.680787037039</v>
      </c>
      <c r="F981" s="45" t="s">
        <v>164</v>
      </c>
    </row>
    <row r="982" spans="1:6" ht="14.25">
      <c r="A982" s="45"/>
      <c r="B982" s="45" t="s">
        <v>202</v>
      </c>
      <c r="C982" s="46" t="str">
        <f>HYPERLINK("https://au.indeed.com/viewjob?jk=286e3b90d756d808","Software Engineer, Site Reliability Engineering")</f>
        <v>Software Engineer, Site Reliability Engineering</v>
      </c>
      <c r="D982" s="45" t="s">
        <v>358</v>
      </c>
      <c r="E982" s="47">
        <v>44221.680891203701</v>
      </c>
      <c r="F982" s="45" t="s">
        <v>164</v>
      </c>
    </row>
    <row r="983" spans="1:6" ht="14.25">
      <c r="A983" s="45"/>
      <c r="B983" s="45" t="s">
        <v>202</v>
      </c>
      <c r="C983" s="46" t="str">
        <f>HYPERLINK("https://au.indeed.com/viewjob?jk=da8c81bf0f7473d2","Site Reliability Engineer")</f>
        <v>Site Reliability Engineer</v>
      </c>
      <c r="D983" s="45" t="s">
        <v>488</v>
      </c>
      <c r="E983" s="47">
        <v>44221.680995370371</v>
      </c>
      <c r="F983" s="45" t="s">
        <v>164</v>
      </c>
    </row>
    <row r="984" spans="1:6" ht="14.25">
      <c r="A984" s="45"/>
      <c r="B984" s="45" t="s">
        <v>202</v>
      </c>
      <c r="C984" s="46" t="str">
        <f>HYPERLINK("https://au.indeed.com/viewjob?jk=cd6b66385dff6ddf","Site Reliability Engineer (Network Operations)")</f>
        <v>Site Reliability Engineer (Network Operations)</v>
      </c>
      <c r="D984" s="45" t="s">
        <v>609</v>
      </c>
      <c r="E984" s="47">
        <v>44221.681701388887</v>
      </c>
      <c r="F984" s="45" t="s">
        <v>164</v>
      </c>
    </row>
    <row r="985" spans="1:6" ht="14.25">
      <c r="A985" s="45"/>
      <c r="B985" s="45" t="s">
        <v>202</v>
      </c>
      <c r="C985" s="46" t="str">
        <f>HYPERLINK("https://au.indeed.com/viewjob?jk=d3c5465930c4e24f","Senior Site Reliability Engineer (Fully Remote)")</f>
        <v>Senior Site Reliability Engineer (Fully Remote)</v>
      </c>
      <c r="D985" s="45" t="s">
        <v>483</v>
      </c>
      <c r="E985" s="47">
        <v>44221.681805555556</v>
      </c>
      <c r="F985" s="45" t="s">
        <v>164</v>
      </c>
    </row>
    <row r="986" spans="1:6" ht="14.25">
      <c r="A986" s="45"/>
      <c r="B986" s="45" t="s">
        <v>202</v>
      </c>
      <c r="C986" s="46" t="str">
        <f>HYPERLINK("https://au.indeed.com/viewjob?jk=1bb36f783e18aa1c","Systems Reliability Engineer")</f>
        <v>Systems Reliability Engineer</v>
      </c>
      <c r="D986" s="45" t="s">
        <v>365</v>
      </c>
      <c r="E986" s="47">
        <v>44221.681932870371</v>
      </c>
      <c r="F986" s="45" t="s">
        <v>164</v>
      </c>
    </row>
    <row r="987" spans="1:6" ht="14.25">
      <c r="A987" s="45"/>
      <c r="B987" s="45" t="s">
        <v>202</v>
      </c>
      <c r="C987" s="46" t="str">
        <f>HYPERLINK("https://au.indeed.com/viewjob?jk=9c995dde66854f50","Site Reliability Engineer")</f>
        <v>Site Reliability Engineer</v>
      </c>
      <c r="D987" s="45" t="s">
        <v>609</v>
      </c>
      <c r="E987" s="47">
        <v>44221.682500000003</v>
      </c>
      <c r="F987" s="45" t="s">
        <v>164</v>
      </c>
    </row>
    <row r="988" spans="1:6" ht="14.25">
      <c r="A988" s="45"/>
      <c r="B988" s="45" t="s">
        <v>202</v>
      </c>
      <c r="C988" s="46" t="str">
        <f>HYPERLINK("https://au.indeed.com/viewjob?jk=fa593eecc4c7ee2c","Site Reliability Engineer - (Remote)")</f>
        <v>Site Reliability Engineer - (Remote)</v>
      </c>
      <c r="D988" s="45" t="s">
        <v>483</v>
      </c>
      <c r="E988" s="47">
        <v>44221.682604166665</v>
      </c>
      <c r="F988" s="45" t="s">
        <v>164</v>
      </c>
    </row>
    <row r="989" spans="1:6" ht="14.25">
      <c r="A989" s="45"/>
      <c r="B989" s="45" t="s">
        <v>202</v>
      </c>
      <c r="C989" s="46" t="str">
        <f>HYPERLINK("https://au.indeed.com/viewjob?jk=2c0f3f27250bfd24","Reliability Engineers")</f>
        <v>Reliability Engineers</v>
      </c>
      <c r="D989" s="45" t="s">
        <v>639</v>
      </c>
      <c r="E989" s="47">
        <v>44221.683148148149</v>
      </c>
      <c r="F989" s="45" t="s">
        <v>164</v>
      </c>
    </row>
    <row r="990" spans="1:6" ht="14.25">
      <c r="A990" s="45"/>
      <c r="B990" s="45" t="s">
        <v>202</v>
      </c>
      <c r="C990" s="46" t="str">
        <f>HYPERLINK("https://au.indeed.com/viewjob?jk=d0628d0afb576539","Senior Site Reliability Engineer - Federal")</f>
        <v>Senior Site Reliability Engineer - Federal</v>
      </c>
      <c r="D990" s="45" t="s">
        <v>478</v>
      </c>
      <c r="E990" s="47">
        <v>44221.683252314811</v>
      </c>
      <c r="F990" s="45" t="s">
        <v>164</v>
      </c>
    </row>
    <row r="991" spans="1:6" ht="14.25">
      <c r="A991" s="45"/>
      <c r="B991" s="45" t="s">
        <v>202</v>
      </c>
      <c r="C991" s="46" t="str">
        <f>HYPERLINK("https://au.indeed.com/viewjob?jk=cd247d8486596dc1","Site Reliability Engineer")</f>
        <v>Site Reliability Engineer</v>
      </c>
      <c r="D991" s="45" t="s">
        <v>432</v>
      </c>
      <c r="E991" s="47">
        <v>44221.683356481481</v>
      </c>
      <c r="F991" s="45" t="s">
        <v>164</v>
      </c>
    </row>
    <row r="992" spans="1:6" ht="14.25">
      <c r="A992" s="45"/>
      <c r="B992" s="45" t="s">
        <v>202</v>
      </c>
      <c r="C992" s="46" t="str">
        <f>HYPERLINK("https://au.indeed.com/viewjob?jk=17ba8273a1696c7e","Site Reliability Engineer")</f>
        <v>Site Reliability Engineer</v>
      </c>
      <c r="D992" s="45" t="s">
        <v>644</v>
      </c>
      <c r="E992" s="47">
        <v>44221.683819444443</v>
      </c>
      <c r="F992" s="45" t="s">
        <v>164</v>
      </c>
    </row>
    <row r="993" spans="1:6" ht="14.25">
      <c r="A993" s="45"/>
      <c r="B993" s="45" t="s">
        <v>202</v>
      </c>
      <c r="C993" s="46" t="str">
        <f>HYPERLINK("https://au.indeed.com/viewjob?jk=7c01f4186de4a346","Senior Reliability Engineer")</f>
        <v>Senior Reliability Engineer</v>
      </c>
      <c r="D993" s="45" t="s">
        <v>367</v>
      </c>
      <c r="E993" s="47">
        <v>44221.683946759258</v>
      </c>
      <c r="F993" s="45" t="s">
        <v>164</v>
      </c>
    </row>
    <row r="994" spans="1:6" ht="14.25">
      <c r="A994" s="45"/>
      <c r="B994" s="45" t="s">
        <v>209</v>
      </c>
      <c r="C994" s="46" t="str">
        <f>HYPERLINK("https://au.indeed.com/viewjob?jk=845bced8943b47ce","Field Service Engineer")</f>
        <v>Field Service Engineer</v>
      </c>
      <c r="D994" s="45" t="s">
        <v>645</v>
      </c>
      <c r="E994" s="47">
        <v>44221.684918981482</v>
      </c>
      <c r="F994" s="45" t="s">
        <v>164</v>
      </c>
    </row>
    <row r="995" spans="1:6" ht="14.25">
      <c r="A995" s="45"/>
      <c r="B995" s="45" t="s">
        <v>209</v>
      </c>
      <c r="C995" s="46" t="str">
        <f>HYPERLINK("https://au.indeed.com/viewjob?jk=672cea43a6812c00","Senior Network Engineer, Amazon Web Services - Sydney, Australia")</f>
        <v>Senior Network Engineer, Amazon Web Services - Sydney, Australia</v>
      </c>
      <c r="D995" s="45" t="s">
        <v>423</v>
      </c>
      <c r="E995" s="47">
        <v>44221.685023148151</v>
      </c>
      <c r="F995" s="45" t="s">
        <v>164</v>
      </c>
    </row>
    <row r="996" spans="1:6" ht="14.25">
      <c r="A996" s="45"/>
      <c r="B996" s="45" t="s">
        <v>209</v>
      </c>
      <c r="C996" s="46" t="str">
        <f>HYPERLINK("https://au.indeed.com/viewjob?jk=de79ccacebd4a2ce","Field Service Engineer")</f>
        <v>Field Service Engineer</v>
      </c>
      <c r="D996" s="45" t="s">
        <v>646</v>
      </c>
      <c r="E996" s="47">
        <v>44221.685532407406</v>
      </c>
      <c r="F996" s="45" t="s">
        <v>164</v>
      </c>
    </row>
    <row r="997" spans="1:6" ht="14.25">
      <c r="A997" s="45"/>
      <c r="B997" s="45" t="s">
        <v>209</v>
      </c>
      <c r="C997" s="46" t="str">
        <f>HYPERLINK("https://au.indeed.com/viewjob?jk=e4ad828ef80f3197","Sr. Full Stack Engineer/Tech Lead - Cloud Services")</f>
        <v>Sr. Full Stack Engineer/Tech Lead - Cloud Services</v>
      </c>
      <c r="D997" s="45" t="s">
        <v>647</v>
      </c>
      <c r="E997" s="47">
        <v>44221.686041666668</v>
      </c>
      <c r="F997" s="45" t="s">
        <v>164</v>
      </c>
    </row>
    <row r="998" spans="1:6" ht="14.25">
      <c r="A998" s="45"/>
      <c r="B998" s="45" t="s">
        <v>209</v>
      </c>
      <c r="C998" s="46" t="str">
        <f>HYPERLINK("https://au.indeed.com/viewjob?jk=10bdca945466a875","Field Service Engineer")</f>
        <v>Field Service Engineer</v>
      </c>
      <c r="D998" s="45" t="s">
        <v>648</v>
      </c>
      <c r="E998" s="47">
        <v>44221.686145833337</v>
      </c>
      <c r="F998" s="45" t="s">
        <v>164</v>
      </c>
    </row>
    <row r="999" spans="1:6" ht="14.25">
      <c r="A999" s="45"/>
      <c r="B999" s="45" t="s">
        <v>209</v>
      </c>
      <c r="C999" s="46" t="str">
        <f>HYPERLINK("https://au.indeed.com/viewjob?jk=69b0bae89f138b1e","Strategic Cloud Engineer, Cloud Professional Services")</f>
        <v>Strategic Cloud Engineer, Cloud Professional Services</v>
      </c>
      <c r="D999" s="45" t="s">
        <v>358</v>
      </c>
      <c r="E999" s="47">
        <v>44221.686273148145</v>
      </c>
      <c r="F999" s="45" t="s">
        <v>164</v>
      </c>
    </row>
    <row r="1000" spans="1:6" ht="14.25">
      <c r="A1000" s="45"/>
      <c r="B1000" s="45" t="s">
        <v>209</v>
      </c>
      <c r="C1000" s="46" t="str">
        <f>HYPERLINK("https://au.indeed.com/viewjob?jk=e40d5192b810b64b","Field Service Engineer - Advanced")</f>
        <v>Field Service Engineer - Advanced</v>
      </c>
      <c r="D1000" s="45" t="s">
        <v>649</v>
      </c>
      <c r="E1000" s="47">
        <v>44221.686377314814</v>
      </c>
      <c r="F1000" s="45" t="s">
        <v>164</v>
      </c>
    </row>
    <row r="1001" spans="1:6" ht="14.25">
      <c r="A1001" s="45"/>
      <c r="B1001" s="45" t="s">
        <v>209</v>
      </c>
      <c r="C1001" s="46" t="str">
        <f>HYPERLINK("https://au.indeed.com/viewjob?jk=fe6b090a73df93fb","Engineer - Fire Protection Services")</f>
        <v>Engineer - Fire Protection Services</v>
      </c>
      <c r="D1001" s="45" t="s">
        <v>650</v>
      </c>
      <c r="E1001" s="47">
        <v>44221.686921296299</v>
      </c>
      <c r="F1001" s="45" t="s">
        <v>164</v>
      </c>
    </row>
    <row r="1002" spans="1:6" ht="14.25">
      <c r="A1002" s="45"/>
      <c r="B1002" s="45" t="s">
        <v>209</v>
      </c>
      <c r="C1002" s="46" t="str">
        <f>HYPERLINK("https://au.indeed.com/viewjob?jk=81bd504a51c2dba0","SERVICE DESK ENGINEER")</f>
        <v>SERVICE DESK ENGINEER</v>
      </c>
      <c r="D1002" s="45" t="s">
        <v>651</v>
      </c>
      <c r="E1002" s="47">
        <v>44221.687025462961</v>
      </c>
      <c r="F1002" s="45" t="s">
        <v>164</v>
      </c>
    </row>
    <row r="1003" spans="1:6" ht="14.25">
      <c r="A1003" s="45"/>
      <c r="B1003" s="45" t="s">
        <v>209</v>
      </c>
      <c r="C1003" s="46" t="str">
        <f>HYPERLINK("https://au.indeed.com/viewjob?jk=8ada28eaad99f0ed","Field Service Engineer")</f>
        <v>Field Service Engineer</v>
      </c>
      <c r="D1003" s="45" t="s">
        <v>652</v>
      </c>
      <c r="E1003" s="47">
        <v>44221.687939814816</v>
      </c>
      <c r="F1003" s="45" t="s">
        <v>164</v>
      </c>
    </row>
    <row r="1004" spans="1:6" ht="14.25">
      <c r="A1004" s="45"/>
      <c r="B1004" s="45" t="s">
        <v>209</v>
      </c>
      <c r="C1004" s="46" t="str">
        <f>HYPERLINK("https://au.indeed.com/viewjob?jk=f55d66de7229db07","Technical Services Systems Engineer - Broadcast")</f>
        <v>Technical Services Systems Engineer - Broadcast</v>
      </c>
      <c r="D1004" s="45" t="s">
        <v>653</v>
      </c>
      <c r="E1004" s="47">
        <v>44221.688483796293</v>
      </c>
      <c r="F1004" s="45" t="s">
        <v>164</v>
      </c>
    </row>
    <row r="1005" spans="1:6" ht="14.25">
      <c r="A1005" s="45"/>
      <c r="B1005" s="45" t="s">
        <v>209</v>
      </c>
      <c r="C1005" s="46" t="str">
        <f>HYPERLINK("https://au.indeed.com/viewjob?jk=93cd06d84594b408","Technical Service Engineer")</f>
        <v>Technical Service Engineer</v>
      </c>
      <c r="D1005" s="45" t="s">
        <v>654</v>
      </c>
      <c r="E1005" s="47">
        <v>44221.688587962963</v>
      </c>
      <c r="F1005" s="45" t="s">
        <v>164</v>
      </c>
    </row>
    <row r="1006" spans="1:6" ht="14.25">
      <c r="A1006" s="45"/>
      <c r="B1006" s="45" t="s">
        <v>209</v>
      </c>
      <c r="C1006" s="46" t="str">
        <f>HYPERLINK("https://au.indeed.com/viewjob?jk=5cbe75491b208770","Security Engineer - Global Services")</f>
        <v>Security Engineer - Global Services</v>
      </c>
      <c r="D1006" s="45" t="s">
        <v>655</v>
      </c>
      <c r="E1006" s="47">
        <v>44221.688692129632</v>
      </c>
      <c r="F1006" s="45" t="s">
        <v>164</v>
      </c>
    </row>
    <row r="1007" spans="1:6" ht="14.25">
      <c r="A1007" s="45"/>
      <c r="B1007" s="45" t="s">
        <v>209</v>
      </c>
      <c r="C1007" s="46" t="str">
        <f>HYPERLINK("https://au.indeed.com/viewjob?jk=3ad61c8307c6fb9d","Field Service Engineer")</f>
        <v>Field Service Engineer</v>
      </c>
      <c r="D1007" s="45" t="s">
        <v>656</v>
      </c>
      <c r="E1007" s="47">
        <v>44221.689618055556</v>
      </c>
      <c r="F1007" s="45" t="s">
        <v>164</v>
      </c>
    </row>
    <row r="1008" spans="1:6" ht="14.25">
      <c r="A1008" s="45"/>
      <c r="B1008" s="45" t="s">
        <v>209</v>
      </c>
      <c r="C1008" s="46" t="str">
        <f>HYPERLINK("https://au.indeed.com/viewjob?jk=9363f023ac3a6eff","Customer Service Engineer- LD")</f>
        <v>Customer Service Engineer- LD</v>
      </c>
      <c r="D1008" s="45" t="s">
        <v>657</v>
      </c>
      <c r="E1008" s="47">
        <v>44221.689745370371</v>
      </c>
      <c r="F1008" s="45" t="s">
        <v>164</v>
      </c>
    </row>
    <row r="1009" spans="1:6" ht="14.25">
      <c r="A1009" s="45"/>
      <c r="B1009" s="45" t="s">
        <v>209</v>
      </c>
      <c r="C1009" s="46" t="str">
        <f>HYPERLINK("https://au.indeed.com/viewjob?jk=2d4572dae30415f5","Global Government Service Desk Engineer")</f>
        <v>Global Government Service Desk Engineer</v>
      </c>
      <c r="D1009" s="45" t="s">
        <v>658</v>
      </c>
      <c r="E1009" s="47">
        <v>44221.690196759257</v>
      </c>
      <c r="F1009" s="45" t="s">
        <v>164</v>
      </c>
    </row>
    <row r="1010" spans="1:6" ht="14.25">
      <c r="A1010" s="45"/>
      <c r="B1010" s="45" t="s">
        <v>209</v>
      </c>
      <c r="C1010" s="46" t="str">
        <f>HYPERLINK("https://au.indeed.com/viewjob?jk=257671abc5b3ea61","Sr. Engineer, Data Services (Remote, AUS)")</f>
        <v>Sr. Engineer, Data Services (Remote, AUS)</v>
      </c>
      <c r="D1010" s="45" t="s">
        <v>480</v>
      </c>
      <c r="E1010" s="47">
        <v>44221.690335648149</v>
      </c>
      <c r="F1010" s="45" t="s">
        <v>164</v>
      </c>
    </row>
    <row r="1011" spans="1:6" ht="14.25">
      <c r="A1011" s="45"/>
      <c r="B1011" s="45" t="s">
        <v>209</v>
      </c>
      <c r="C1011" s="46" t="str">
        <f>HYPERLINK("https://au.indeed.com/viewjob?jk=69a86505a8d662cf","Customer Solutions Engineer, gTech Professional Services")</f>
        <v>Customer Solutions Engineer, gTech Professional Services</v>
      </c>
      <c r="D1011" s="45" t="s">
        <v>358</v>
      </c>
      <c r="E1011" s="47">
        <v>44221.690439814818</v>
      </c>
      <c r="F1011" s="45" t="s">
        <v>164</v>
      </c>
    </row>
    <row r="1012" spans="1:6" ht="14.25">
      <c r="A1012" s="45"/>
      <c r="B1012" s="45" t="s">
        <v>209</v>
      </c>
      <c r="C1012" s="46" t="str">
        <f>HYPERLINK("https://au.indeed.com/viewjob?jk=ea408eb94c6333ae","Service and Support Engineer")</f>
        <v>Service and Support Engineer</v>
      </c>
      <c r="D1012" s="45" t="s">
        <v>659</v>
      </c>
      <c r="E1012" s="47">
        <v>44221.69054398148</v>
      </c>
      <c r="F1012" s="45" t="s">
        <v>164</v>
      </c>
    </row>
    <row r="1013" spans="1:6" ht="14.25">
      <c r="A1013" s="45"/>
      <c r="B1013" s="45" t="s">
        <v>209</v>
      </c>
      <c r="C1013" s="46" t="str">
        <f>HYPERLINK("https://au.indeed.com/viewjob?jk=999e279cf81c1ac8","Senior Service Engineer")</f>
        <v>Senior Service Engineer</v>
      </c>
      <c r="D1013" s="45" t="s">
        <v>363</v>
      </c>
      <c r="E1013" s="47">
        <v>44221.691064814811</v>
      </c>
      <c r="F1013" s="45" t="s">
        <v>164</v>
      </c>
    </row>
    <row r="1014" spans="1:6" ht="14.25">
      <c r="A1014" s="45"/>
      <c r="B1014" s="45" t="s">
        <v>209</v>
      </c>
      <c r="C1014" s="46" t="str">
        <f>HYPERLINK("https://au.indeed.com/viewjob?jk=345bab6443e9af59","Global Government Service Desk Engineer")</f>
        <v>Global Government Service Desk Engineer</v>
      </c>
      <c r="D1014" s="45" t="s">
        <v>658</v>
      </c>
      <c r="E1014" s="47">
        <v>44221.691203703704</v>
      </c>
      <c r="F1014" s="45" t="s">
        <v>164</v>
      </c>
    </row>
    <row r="1015" spans="1:6" ht="14.25">
      <c r="A1015" s="45"/>
      <c r="B1015" s="45" t="s">
        <v>209</v>
      </c>
      <c r="C1015" s="46" t="str">
        <f>HYPERLINK("https://au.indeed.com/viewjob?jk=fc3fa5e7535ae148","Field Service Engineer")</f>
        <v>Field Service Engineer</v>
      </c>
      <c r="D1015" s="45" t="s">
        <v>652</v>
      </c>
      <c r="E1015" s="47">
        <v>44221.691307870373</v>
      </c>
      <c r="F1015" s="45" t="s">
        <v>164</v>
      </c>
    </row>
    <row r="1016" spans="1:6" ht="14.25">
      <c r="A1016" s="45"/>
      <c r="B1016" s="45" t="s">
        <v>209</v>
      </c>
      <c r="C1016" s="46" t="str">
        <f>HYPERLINK("https://au.indeed.com/viewjob?jk=e81e453271b311b4","Field Service Engineer - Advanced")</f>
        <v>Field Service Engineer - Advanced</v>
      </c>
      <c r="D1016" s="45" t="s">
        <v>649</v>
      </c>
      <c r="E1016" s="47">
        <v>44221.691412037035</v>
      </c>
      <c r="F1016" s="45" t="s">
        <v>164</v>
      </c>
    </row>
    <row r="1017" spans="1:6" ht="14.25">
      <c r="A1017" s="45"/>
      <c r="B1017" s="45" t="s">
        <v>209</v>
      </c>
      <c r="C1017" s="46" t="str">
        <f>HYPERLINK("https://au.indeed.com/viewjob?jk=ad73945578a0c2b0","Field Service Engineer")</f>
        <v>Field Service Engineer</v>
      </c>
      <c r="D1017" s="45" t="s">
        <v>660</v>
      </c>
      <c r="E1017" s="47">
        <v>44221.691527777781</v>
      </c>
      <c r="F1017" s="45" t="s">
        <v>164</v>
      </c>
    </row>
    <row r="1018" spans="1:6" ht="14.25">
      <c r="A1018" s="45"/>
      <c r="B1018" s="45" t="s">
        <v>209</v>
      </c>
      <c r="C1018" s="46" t="str">
        <f>HYPERLINK("https://au.indeed.com/viewjob?jk=10c51d08d1d9ce47","Continual Service Improvement (CSI) Engineer")</f>
        <v>Continual Service Improvement (CSI) Engineer</v>
      </c>
      <c r="D1018" s="45" t="s">
        <v>661</v>
      </c>
      <c r="E1018" s="47">
        <v>44221.691620370373</v>
      </c>
      <c r="F1018" s="45" t="s">
        <v>164</v>
      </c>
    </row>
    <row r="1019" spans="1:6" ht="14.25">
      <c r="A1019" s="45"/>
      <c r="B1019" s="45" t="s">
        <v>209</v>
      </c>
      <c r="C1019" s="46" t="str">
        <f>HYPERLINK("https://au.indeed.com/viewjob?jk=803cfb8413b941ee","Field Service Engineer, Electron Microscopy")</f>
        <v>Field Service Engineer, Electron Microscopy</v>
      </c>
      <c r="D1019" s="45" t="s">
        <v>556</v>
      </c>
      <c r="E1019" s="47">
        <v>44221.691724537035</v>
      </c>
      <c r="F1019" s="45" t="s">
        <v>164</v>
      </c>
    </row>
    <row r="1020" spans="1:6" ht="14.25">
      <c r="A1020" s="45"/>
      <c r="B1020" s="45" t="s">
        <v>209</v>
      </c>
      <c r="C1020" s="46" t="str">
        <f>HYPERLINK("https://au.indeed.com/viewjob?jk=ad9f7dbee13fb503","Security Engineer - Global Services")</f>
        <v>Security Engineer - Global Services</v>
      </c>
      <c r="D1020" s="45" t="s">
        <v>662</v>
      </c>
      <c r="E1020" s="47">
        <v>44221.691828703704</v>
      </c>
      <c r="F1020" s="45" t="s">
        <v>164</v>
      </c>
    </row>
    <row r="1021" spans="1:6" ht="14.25">
      <c r="A1021" s="45"/>
      <c r="B1021" s="45" t="s">
        <v>209</v>
      </c>
      <c r="C1021" s="46" t="str">
        <f>HYPERLINK("https://au.indeed.com/viewjob?jk=20a40c40320d1808","Senior Staff DevOps Engineer - Cloud Services")</f>
        <v>Senior Staff DevOps Engineer - Cloud Services</v>
      </c>
      <c r="D1021" s="45" t="s">
        <v>647</v>
      </c>
      <c r="E1021" s="47">
        <v>44221.691944444443</v>
      </c>
      <c r="F1021" s="45" t="s">
        <v>164</v>
      </c>
    </row>
    <row r="1022" spans="1:6" ht="14.25">
      <c r="A1022" s="45"/>
      <c r="B1022" s="45" t="s">
        <v>209</v>
      </c>
      <c r="C1022" s="46" t="str">
        <f>HYPERLINK("https://au.indeed.com/viewjob?jk=12fef0bd76775e88","Service Support Engineer")</f>
        <v>Service Support Engineer</v>
      </c>
      <c r="D1022" s="45" t="s">
        <v>663</v>
      </c>
      <c r="E1022" s="47">
        <v>44221.692071759258</v>
      </c>
      <c r="F1022" s="45" t="s">
        <v>164</v>
      </c>
    </row>
    <row r="1023" spans="1:6" ht="14.25">
      <c r="A1023" s="45"/>
      <c r="B1023" s="45" t="s">
        <v>209</v>
      </c>
      <c r="C1023" s="46" t="str">
        <f>HYPERLINK("https://au.indeed.com/viewjob?jk=7aeedb17603ca2a1","Low Latency Network Engineer - Financial Services")</f>
        <v>Low Latency Network Engineer - Financial Services</v>
      </c>
      <c r="D1023" s="45" t="s">
        <v>664</v>
      </c>
      <c r="E1023" s="47">
        <v>44221.693356481483</v>
      </c>
      <c r="F1023" s="45" t="s">
        <v>164</v>
      </c>
    </row>
    <row r="1024" spans="1:6" ht="14.25">
      <c r="A1024" s="45"/>
      <c r="B1024" s="45" t="s">
        <v>209</v>
      </c>
      <c r="C1024" s="46" t="str">
        <f>HYPERLINK("https://au.indeed.com/viewjob?jk=876ec4175122d5fa","Senior Service Desk/Systems Engineer")</f>
        <v>Senior Service Desk/Systems Engineer</v>
      </c>
      <c r="D1024" s="45" t="s">
        <v>390</v>
      </c>
      <c r="E1024" s="47">
        <v>44221.693865740737</v>
      </c>
      <c r="F1024" s="45" t="s">
        <v>164</v>
      </c>
    </row>
    <row r="1025" spans="1:6" ht="14.25">
      <c r="A1025" s="45"/>
      <c r="B1025" s="45" t="s">
        <v>209</v>
      </c>
      <c r="C1025" s="46" t="str">
        <f>HYPERLINK("https://au.indeed.com/viewjob?jk=4f5e5f564b873271","Lead Solution Engineer | Service Cloud")</f>
        <v>Lead Solution Engineer | Service Cloud</v>
      </c>
      <c r="D1025" s="45" t="s">
        <v>381</v>
      </c>
      <c r="E1025" s="47">
        <v>44221.695219907408</v>
      </c>
      <c r="F1025" s="45" t="s">
        <v>164</v>
      </c>
    </row>
    <row r="1026" spans="1:6" ht="14.25">
      <c r="A1026" s="45"/>
      <c r="B1026" s="45" t="s">
        <v>209</v>
      </c>
      <c r="C1026" s="46" t="str">
        <f>HYPERLINK("https://au.indeed.com/viewjob?jk=70eded20c2380d61","Level 2-3 Service Desk/Systems Engineer")</f>
        <v>Level 2-3 Service Desk/Systems Engineer</v>
      </c>
      <c r="D1026" s="45" t="s">
        <v>390</v>
      </c>
      <c r="E1026" s="47">
        <v>44221.695335648146</v>
      </c>
      <c r="F1026" s="45" t="s">
        <v>164</v>
      </c>
    </row>
    <row r="1027" spans="1:6" ht="14.25">
      <c r="A1027" s="45"/>
      <c r="B1027" s="45" t="s">
        <v>209</v>
      </c>
      <c r="C1027" s="46" t="str">
        <f>HYPERLINK("https://au.indeed.com/viewjob?jk=d6d8d7ef9814e4d5","Media Services Technical Support Engineer")</f>
        <v>Media Services Technical Support Engineer</v>
      </c>
      <c r="D1027" s="45" t="s">
        <v>665</v>
      </c>
      <c r="E1027" s="47">
        <v>44221.696273148147</v>
      </c>
      <c r="F1027" s="45" t="s">
        <v>164</v>
      </c>
    </row>
    <row r="1028" spans="1:6" ht="14.25">
      <c r="A1028" s="45"/>
      <c r="B1028" s="45" t="s">
        <v>209</v>
      </c>
      <c r="C1028" s="46" t="str">
        <f>HYPERLINK("https://au.indeed.com/viewjob?jk=00d705393aff35ef","Service Engineer 2")</f>
        <v>Service Engineer 2</v>
      </c>
      <c r="D1028" s="45" t="s">
        <v>363</v>
      </c>
      <c r="E1028" s="47">
        <v>44221.696377314816</v>
      </c>
      <c r="F1028" s="45" t="s">
        <v>164</v>
      </c>
    </row>
    <row r="1029" spans="1:6" ht="14.25">
      <c r="A1029" s="45"/>
      <c r="B1029" s="45" t="s">
        <v>209</v>
      </c>
      <c r="C1029" s="46" t="str">
        <f>HYPERLINK("https://au.indeed.com/viewjob?jk=9cf5d17e58903676","Lead Sales Engineer - CItrix Service Providers (CSP)")</f>
        <v>Lead Sales Engineer - CItrix Service Providers (CSP)</v>
      </c>
      <c r="D1029" s="45" t="s">
        <v>666</v>
      </c>
      <c r="E1029" s="47">
        <v>44221.697812500002</v>
      </c>
      <c r="F1029" s="45" t="s">
        <v>164</v>
      </c>
    </row>
    <row r="1030" spans="1:6" ht="14.25">
      <c r="A1030" s="45"/>
      <c r="B1030" s="45" t="s">
        <v>209</v>
      </c>
      <c r="C1030" s="46" t="str">
        <f>HYPERLINK("https://au.indeed.com/viewjob?jk=0df0b34d037d3392","Level 2 Service Desk Support Engineer")</f>
        <v>Level 2 Service Desk Support Engineer</v>
      </c>
      <c r="D1030" s="45" t="s">
        <v>391</v>
      </c>
      <c r="E1030" s="47">
        <v>44221.698368055557</v>
      </c>
      <c r="F1030" s="45" t="s">
        <v>164</v>
      </c>
    </row>
    <row r="1031" spans="1:6" ht="14.25">
      <c r="A1031" s="45"/>
      <c r="B1031" s="45" t="s">
        <v>209</v>
      </c>
      <c r="C1031" s="46" t="str">
        <f>HYPERLINK("https://au.indeed.com/viewjob?jk=29fd8cd5b255715d","Technical Consulting Engineer (SIG Service Delivery) - English+Japanese")</f>
        <v>Technical Consulting Engineer (SIG Service Delivery) - English+Japanese</v>
      </c>
      <c r="D1031" s="45" t="s">
        <v>667</v>
      </c>
      <c r="E1031" s="47">
        <v>44221.698472222219</v>
      </c>
      <c r="F1031" s="45" t="s">
        <v>164</v>
      </c>
    </row>
    <row r="1032" spans="1:6" ht="14.25">
      <c r="A1032" s="45"/>
      <c r="B1032" s="45" t="s">
        <v>209</v>
      </c>
      <c r="C1032" s="46" t="str">
        <f>HYPERLINK("https://au.indeed.com/viewjob?jk=051bbc3c97b092b0","Technology - Securities Services Senior Java Software Engineer")</f>
        <v>Technology - Securities Services Senior Java Software Engineer</v>
      </c>
      <c r="D1032" s="45" t="s">
        <v>668</v>
      </c>
      <c r="E1032" s="47">
        <v>44221.698935185188</v>
      </c>
      <c r="F1032" s="45" t="s">
        <v>164</v>
      </c>
    </row>
    <row r="1033" spans="1:6" ht="14.25">
      <c r="A1033" s="45"/>
      <c r="B1033" s="45" t="s">
        <v>213</v>
      </c>
      <c r="C1033" s="46" t="str">
        <f>HYPERLINK("https://au.indeed.com/viewjob?jk=6e0f405ae2c0f21d","Site Engineer - (Traction Sub Stations)")</f>
        <v>Site Engineer - (Traction Sub Stations)</v>
      </c>
      <c r="D1033" s="45" t="s">
        <v>541</v>
      </c>
      <c r="E1033" s="47">
        <v>44221.701585648145</v>
      </c>
      <c r="F1033" s="45" t="s">
        <v>164</v>
      </c>
    </row>
    <row r="1034" spans="1:6" ht="14.25">
      <c r="A1034" s="45"/>
      <c r="B1034" s="45" t="s">
        <v>213</v>
      </c>
      <c r="C1034" s="46" t="str">
        <f>HYPERLINK("https://au.indeed.com/viewjob?jk=76e26b5bcee25d5b","Site Engineers - Pitt Street Station")</f>
        <v>Site Engineers - Pitt Street Station</v>
      </c>
      <c r="D1034" s="45" t="s">
        <v>568</v>
      </c>
      <c r="E1034" s="47">
        <v>44221.701689814814</v>
      </c>
      <c r="F1034" s="45" t="s">
        <v>164</v>
      </c>
    </row>
    <row r="1035" spans="1:6" ht="14.25">
      <c r="A1035" s="45"/>
      <c r="B1035" s="45" t="s">
        <v>213</v>
      </c>
      <c r="C1035" s="46" t="str">
        <f>HYPERLINK("https://au.indeed.com/viewjob?jk=e690eda294e0882f","Site Engineers - Pitt Street Station")</f>
        <v>Site Engineers - Pitt Street Station</v>
      </c>
      <c r="D1035" s="45" t="s">
        <v>541</v>
      </c>
      <c r="E1035" s="47">
        <v>44221.701817129629</v>
      </c>
      <c r="F1035" s="45" t="s">
        <v>164</v>
      </c>
    </row>
    <row r="1036" spans="1:6" ht="14.25">
      <c r="A1036" s="45"/>
      <c r="B1036" s="45" t="s">
        <v>213</v>
      </c>
      <c r="C1036" s="46" t="str">
        <f>HYPERLINK("https://au.indeed.com/viewjob?jk=c180b3f9874a6c46","Williamtown Site Systems Engineer")</f>
        <v>Williamtown Site Systems Engineer</v>
      </c>
      <c r="D1036" s="45" t="s">
        <v>632</v>
      </c>
      <c r="E1036" s="47">
        <v>44221.703229166669</v>
      </c>
      <c r="F1036" s="45" t="s">
        <v>164</v>
      </c>
    </row>
    <row r="1037" spans="1:6" ht="14.25">
      <c r="A1037" s="45"/>
      <c r="B1037" s="45" t="s">
        <v>213</v>
      </c>
      <c r="C1037" s="46" t="str">
        <f>HYPERLINK("https://au.indeed.com/viewjob?jk=b0add64b271bcd1e","Site Engineer - (Traction Sub Stations)")</f>
        <v>Site Engineer - (Traction Sub Stations)</v>
      </c>
      <c r="D1037" s="45" t="s">
        <v>568</v>
      </c>
      <c r="E1037" s="47">
        <v>44221.703784722224</v>
      </c>
      <c r="F1037" s="45" t="s">
        <v>164</v>
      </c>
    </row>
    <row r="1038" spans="1:6" ht="14.25">
      <c r="A1038" s="45"/>
      <c r="B1038" s="45" t="s">
        <v>213</v>
      </c>
      <c r="C1038" s="46" t="str">
        <f>HYPERLINK("https://au.indeed.com/viewjob?jk=fbd5622c09df1919","Site Engineer")</f>
        <v>Site Engineer</v>
      </c>
      <c r="D1038" s="45" t="s">
        <v>456</v>
      </c>
      <c r="E1038" s="47">
        <v>44221.704259259262</v>
      </c>
      <c r="F1038" s="45" t="s">
        <v>164</v>
      </c>
    </row>
    <row r="1039" spans="1:6" ht="14.25">
      <c r="A1039" s="45"/>
      <c r="B1039" s="45" t="s">
        <v>213</v>
      </c>
      <c r="C1039" s="46" t="str">
        <f>HYPERLINK("https://au.indeed.com/viewjob?jk=a0d5f748f9af9451","Site Engineer")</f>
        <v>Site Engineer</v>
      </c>
      <c r="D1039" s="45" t="s">
        <v>564</v>
      </c>
      <c r="E1039" s="47">
        <v>44221.704363425924</v>
      </c>
      <c r="F1039" s="45" t="s">
        <v>164</v>
      </c>
    </row>
    <row r="1040" spans="1:6" ht="14.25">
      <c r="A1040" s="45"/>
      <c r="B1040" s="45" t="s">
        <v>213</v>
      </c>
      <c r="C1040" s="46" t="str">
        <f>HYPERLINK("https://au.indeed.com/viewjob?jk=f65f797de29f4fdf","Network Engineer - Site Setups")</f>
        <v>Network Engineer - Site Setups</v>
      </c>
      <c r="D1040" s="45" t="s">
        <v>669</v>
      </c>
      <c r="E1040" s="47">
        <v>44221.70548611111</v>
      </c>
      <c r="F1040" s="45" t="s">
        <v>164</v>
      </c>
    </row>
    <row r="1041" spans="1:6" ht="14.25">
      <c r="A1041" s="45"/>
      <c r="B1041" s="45" t="s">
        <v>499</v>
      </c>
      <c r="C1041" s="46" t="str">
        <f>HYPERLINK("https://au.indeed.com/viewjob?jk=9ac386e023b46792","Engineer | Cleanroom Utilities | Pharmaceutical Industry")</f>
        <v>Engineer | Cleanroom Utilities | Pharmaceutical Industry</v>
      </c>
      <c r="D1041" s="45" t="s">
        <v>419</v>
      </c>
      <c r="E1041" s="47">
        <v>44221.706701388888</v>
      </c>
      <c r="F1041" s="45" t="s">
        <v>164</v>
      </c>
    </row>
    <row r="1042" spans="1:6" ht="14.25">
      <c r="A1042" s="45"/>
      <c r="B1042" s="45" t="s">
        <v>499</v>
      </c>
      <c r="C1042" s="46" t="str">
        <f>HYPERLINK("https://au.indeed.com/viewjob?jk=0f7ca011a42b0636","Civil Engineer - Utilities")</f>
        <v>Civil Engineer - Utilities</v>
      </c>
      <c r="D1042" s="45" t="s">
        <v>523</v>
      </c>
      <c r="E1042" s="47">
        <v>44221.706828703704</v>
      </c>
      <c r="F1042" s="45" t="s">
        <v>164</v>
      </c>
    </row>
    <row r="1043" spans="1:6" ht="14.25">
      <c r="A1043" s="45"/>
      <c r="B1043" s="45" t="s">
        <v>499</v>
      </c>
      <c r="C1043" s="46" t="str">
        <f>HYPERLINK("https://au.indeed.com/viewjob?jk=d5f8d987bb9694eb","Senior Civil Engineer - Utilities")</f>
        <v>Senior Civil Engineer - Utilities</v>
      </c>
      <c r="D1043" s="45" t="s">
        <v>523</v>
      </c>
      <c r="E1043" s="47">
        <v>44221.706944444442</v>
      </c>
      <c r="F1043" s="45" t="s">
        <v>164</v>
      </c>
    </row>
    <row r="1044" spans="1:6" ht="14.25">
      <c r="A1044" s="45"/>
      <c r="B1044" s="45" t="s">
        <v>499</v>
      </c>
      <c r="C1044" s="46" t="str">
        <f>HYPERLINK("https://au.indeed.com/viewjob?jk=d2d917f851b01f4a","Utilities Servicing Engineer")</f>
        <v>Utilities Servicing Engineer</v>
      </c>
      <c r="D1044" s="45" t="s">
        <v>391</v>
      </c>
      <c r="E1044" s="47">
        <v>44221.707060185188</v>
      </c>
      <c r="F1044" s="45" t="s">
        <v>164</v>
      </c>
    </row>
    <row r="1045" spans="1:6" ht="14.25">
      <c r="A1045" s="45"/>
      <c r="B1045" s="45" t="s">
        <v>347</v>
      </c>
      <c r="C1045" s="46" t="str">
        <f>HYPERLINK("https://au.indeed.com/viewjob?jk=54636a5ed2c3c8f0","Product Support Engineer")</f>
        <v>Product Support Engineer</v>
      </c>
      <c r="D1045" s="45" t="s">
        <v>670</v>
      </c>
      <c r="E1045" s="47">
        <v>44221.707187499997</v>
      </c>
      <c r="F1045" s="45" t="s">
        <v>164</v>
      </c>
    </row>
    <row r="1046" spans="1:6" ht="14.25">
      <c r="A1046" s="45"/>
      <c r="B1046" s="45" t="s">
        <v>347</v>
      </c>
      <c r="C1046" s="46" t="str">
        <f>HYPERLINK("https://au.indeed.com/viewjob?jk=7e787c9aa38e7941","Principal Product Engineer")</f>
        <v>Principal Product Engineer</v>
      </c>
      <c r="D1046" s="45" t="s">
        <v>488</v>
      </c>
      <c r="E1046" s="47">
        <v>44221.707314814812</v>
      </c>
      <c r="F1046" s="45" t="s">
        <v>164</v>
      </c>
    </row>
    <row r="1047" spans="1:6" ht="14.25">
      <c r="A1047" s="45"/>
      <c r="B1047" s="45" t="s">
        <v>347</v>
      </c>
      <c r="C1047" s="46" t="str">
        <f>HYPERLINK("https://au.indeed.com/viewjob?jk=769685e2dcb92f2d","Software Engineer - Java, Product &amp; Features")</f>
        <v>Software Engineer - Java, Product &amp; Features</v>
      </c>
      <c r="D1047" s="45" t="s">
        <v>383</v>
      </c>
      <c r="E1047" s="47">
        <v>44221.707835648151</v>
      </c>
      <c r="F1047" s="45" t="s">
        <v>164</v>
      </c>
    </row>
    <row r="1048" spans="1:6" ht="14.25">
      <c r="A1048" s="45"/>
      <c r="B1048" s="45" t="s">
        <v>347</v>
      </c>
      <c r="C1048" s="46" t="str">
        <f>HYPERLINK("https://au.indeed.com/viewjob?jk=e4f3e88c41c7f13a","Product &amp; Applications Engineer")</f>
        <v>Product &amp; Applications Engineer</v>
      </c>
      <c r="D1048" s="45" t="s">
        <v>671</v>
      </c>
      <c r="E1048" s="47">
        <v>44221.70989583333</v>
      </c>
      <c r="F1048" s="45" t="s">
        <v>164</v>
      </c>
    </row>
    <row r="1049" spans="1:6" ht="14.25">
      <c r="A1049" s="45"/>
      <c r="B1049" s="45" t="s">
        <v>347</v>
      </c>
      <c r="C1049" s="46" t="str">
        <f>HYPERLINK("https://au.indeed.com/viewjob?jk=f5975390e8e5496a","New Product Introduction Engineer")</f>
        <v>New Product Introduction Engineer</v>
      </c>
      <c r="D1049" s="45" t="s">
        <v>355</v>
      </c>
      <c r="E1049" s="47">
        <v>44221.710821759261</v>
      </c>
      <c r="F1049" s="45" t="s">
        <v>164</v>
      </c>
    </row>
    <row r="1050" spans="1:6" ht="14.25">
      <c r="A1050" s="45"/>
      <c r="B1050" s="45" t="s">
        <v>347</v>
      </c>
      <c r="C1050" s="46" t="str">
        <f>HYPERLINK("https://au.indeed.com/viewjob?jk=2ecf5aeb0409e14d","Principal Product Engineer")</f>
        <v>Principal Product Engineer</v>
      </c>
      <c r="D1050" s="45" t="s">
        <v>488</v>
      </c>
      <c r="E1050" s="47">
        <v>44221.710960648146</v>
      </c>
      <c r="F1050" s="45" t="s">
        <v>164</v>
      </c>
    </row>
    <row r="1051" spans="1:6" ht="14.25">
      <c r="A1051" s="45"/>
      <c r="B1051" s="45" t="s">
        <v>347</v>
      </c>
      <c r="C1051" s="46" t="str">
        <f>HYPERLINK("https://au.indeed.com/viewjob?jk=948a10115e6d4307","Data Engineer - Video Experiences - Product | Product")</f>
        <v>Data Engineer - Video Experiences - Product | Product</v>
      </c>
      <c r="D1051" s="45" t="s">
        <v>672</v>
      </c>
      <c r="E1051" s="47">
        <v>44221.711064814815</v>
      </c>
      <c r="F1051" s="45" t="s">
        <v>164</v>
      </c>
    </row>
    <row r="1052" spans="1:6" ht="14.25">
      <c r="A1052" s="45"/>
      <c r="B1052" s="45" t="s">
        <v>347</v>
      </c>
      <c r="C1052" s="46" t="str">
        <f>HYPERLINK("https://au.indeed.com/viewjob?jk=0a0d3bd4e20c3e28","Product Support Engineer")</f>
        <v>Product Support Engineer</v>
      </c>
      <c r="D1052" s="45" t="s">
        <v>673</v>
      </c>
      <c r="E1052" s="47">
        <v>44221.711180555554</v>
      </c>
      <c r="F1052" s="45" t="s">
        <v>164</v>
      </c>
    </row>
    <row r="1053" spans="1:6" ht="14.25">
      <c r="A1053" s="45"/>
      <c r="B1053" s="45" t="s">
        <v>243</v>
      </c>
      <c r="C1053" s="46" t="str">
        <f>HYPERLINK("https://au.indeed.com/viewjob?jk=4d76d5bffd5ae774","Port Automation Integration Engineer - Brisbane")</f>
        <v>Port Automation Integration Engineer - Brisbane</v>
      </c>
      <c r="D1053" s="45" t="s">
        <v>536</v>
      </c>
      <c r="E1053" s="47">
        <v>44221.71199074074</v>
      </c>
      <c r="F1053" s="45" t="s">
        <v>237</v>
      </c>
    </row>
    <row r="1054" spans="1:6" ht="14.25">
      <c r="A1054" s="45"/>
      <c r="B1054" s="45" t="s">
        <v>246</v>
      </c>
      <c r="C1054" s="46" t="str">
        <f>HYPERLINK("https://au.indeed.com/viewjob?jk=932c062502fd77e8","Senior Test Analyst (Agile &amp; Automation)")</f>
        <v>Senior Test Analyst (Agile &amp; Automation)</v>
      </c>
      <c r="D1054" s="45" t="s">
        <v>432</v>
      </c>
      <c r="E1054" s="47">
        <v>44221.712199074071</v>
      </c>
      <c r="F1054" s="45" t="s">
        <v>237</v>
      </c>
    </row>
    <row r="1055" spans="1:6" ht="14.25">
      <c r="A1055" s="45"/>
      <c r="B1055" s="45" t="s">
        <v>249</v>
      </c>
      <c r="C1055" s="46" t="str">
        <f>HYPERLINK("https://au.indeed.com/viewjob?jk=e0dfb6198ead0888","Senior Control Systems Engineer")</f>
        <v>Senior Control Systems Engineer</v>
      </c>
      <c r="D1055" s="45" t="s">
        <v>456</v>
      </c>
      <c r="E1055" s="47">
        <v>44221.712361111109</v>
      </c>
      <c r="F1055" s="45" t="s">
        <v>237</v>
      </c>
    </row>
    <row r="1056" spans="1:6" ht="14.25">
      <c r="A1056" s="45"/>
      <c r="B1056" s="45" t="s">
        <v>249</v>
      </c>
      <c r="C1056" s="46" t="str">
        <f>HYPERLINK("https://au.indeed.com/viewjob?jk=7ed9bdc37687ceab","Lead Control System Engineer")</f>
        <v>Lead Control System Engineer</v>
      </c>
      <c r="D1056" s="45" t="s">
        <v>674</v>
      </c>
      <c r="E1056" s="47">
        <v>44221.713101851848</v>
      </c>
      <c r="F1056" s="45" t="s">
        <v>237</v>
      </c>
    </row>
    <row r="1057" spans="1:6" ht="14.25">
      <c r="A1057" s="45"/>
      <c r="B1057" s="45" t="s">
        <v>249</v>
      </c>
      <c r="C1057" s="46" t="str">
        <f>HYPERLINK("https://au.indeed.com/viewjob?jk=0231c5cb010a9a6e","Control Systems Engineer")</f>
        <v>Control Systems Engineer</v>
      </c>
      <c r="D1057" s="45" t="s">
        <v>675</v>
      </c>
      <c r="E1057" s="47">
        <v>44221.713229166664</v>
      </c>
      <c r="F1057" s="45" t="s">
        <v>237</v>
      </c>
    </row>
    <row r="1058" spans="1:6" ht="14.25">
      <c r="A1058" s="45"/>
      <c r="B1058" s="45" t="s">
        <v>676</v>
      </c>
      <c r="C1058" s="46" t="str">
        <f>HYPERLINK("https://au.indeed.com/viewjob?jk=d7ed67678180efa0","Senior Control and Communications Systems Technician")</f>
        <v>Senior Control and Communications Systems Technician</v>
      </c>
      <c r="D1058" s="45" t="s">
        <v>677</v>
      </c>
      <c r="E1058" s="47">
        <v>44221.713391203702</v>
      </c>
      <c r="F1058" s="45" t="s">
        <v>237</v>
      </c>
    </row>
    <row r="1059" spans="1:6" ht="14.25">
      <c r="A1059" s="45"/>
      <c r="B1059" s="45" t="s">
        <v>165</v>
      </c>
      <c r="C1059" s="46" t="str">
        <f>HYPERLINK("https://au.indeed.com/viewjob?jk=468b980c3b142cb7","Mechanical Design Engineer")</f>
        <v>Mechanical Design Engineer</v>
      </c>
      <c r="D1059" s="45" t="s">
        <v>678</v>
      </c>
      <c r="E1059" s="47">
        <v>44381.985868055555</v>
      </c>
      <c r="F1059" s="45" t="s">
        <v>679</v>
      </c>
    </row>
    <row r="1060" spans="1:6" ht="14.25">
      <c r="A1060" s="45"/>
      <c r="B1060" s="45" t="s">
        <v>165</v>
      </c>
      <c r="C1060" s="46" t="str">
        <f>HYPERLINK("https://au.indeed.com/viewjob?jk=9b4c3d8360131763","HVAC Mechanical Engineer/Estimator")</f>
        <v>HVAC Mechanical Engineer/Estimator</v>
      </c>
      <c r="D1060" s="45" t="s">
        <v>680</v>
      </c>
      <c r="E1060" s="47">
        <v>44381.985925925925</v>
      </c>
      <c r="F1060" s="45" t="s">
        <v>679</v>
      </c>
    </row>
    <row r="1061" spans="1:6" ht="14.25">
      <c r="A1061" s="45"/>
      <c r="B1061" s="45" t="s">
        <v>165</v>
      </c>
      <c r="C1061" s="46" t="str">
        <f>HYPERLINK("https://au.indeed.com/viewjob?jk=506be2f17c80de82","Mechanical Engineer - Steelwork")</f>
        <v>Mechanical Engineer - Steelwork</v>
      </c>
      <c r="D1061" s="45" t="s">
        <v>448</v>
      </c>
      <c r="E1061" s="47">
        <v>44381.986064814817</v>
      </c>
      <c r="F1061" s="45" t="s">
        <v>679</v>
      </c>
    </row>
    <row r="1062" spans="1:6" ht="14.25">
      <c r="A1062" s="45"/>
      <c r="B1062" s="45" t="s">
        <v>165</v>
      </c>
      <c r="C1062" s="46" t="str">
        <f>HYPERLINK("https://au.indeed.com/viewjob?jk=7d1bad010cd3e856","Graduate Engineer | Mechanical or Mechatronics")</f>
        <v>Graduate Engineer | Mechanical or Mechatronics</v>
      </c>
      <c r="D1062" s="45" t="s">
        <v>681</v>
      </c>
      <c r="E1062" s="47">
        <v>44381.986747685187</v>
      </c>
      <c r="F1062" s="45" t="s">
        <v>679</v>
      </c>
    </row>
    <row r="1063" spans="1:6" ht="14.25">
      <c r="A1063" s="45"/>
      <c r="B1063" s="45" t="s">
        <v>165</v>
      </c>
      <c r="C1063" s="46" t="str">
        <f>HYPERLINK("https://au.indeed.com/viewjob?jk=9a6d19a899dcc1fd","Mechanical Design Engineer")</f>
        <v>Mechanical Design Engineer</v>
      </c>
      <c r="D1063" s="45" t="s">
        <v>414</v>
      </c>
      <c r="E1063" s="47">
        <v>44381.986793981479</v>
      </c>
      <c r="F1063" s="45" t="s">
        <v>679</v>
      </c>
    </row>
    <row r="1064" spans="1:6" ht="14.25">
      <c r="A1064" s="45"/>
      <c r="B1064" s="45" t="s">
        <v>165</v>
      </c>
      <c r="C1064" s="46" t="str">
        <f>HYPERLINK("https://au.indeed.com/viewjob?jk=3d49a723fa123448","Senior Mechanical Engineer")</f>
        <v>Senior Mechanical Engineer</v>
      </c>
      <c r="D1064" s="45" t="s">
        <v>356</v>
      </c>
      <c r="E1064" s="47">
        <v>44381.98710648148</v>
      </c>
      <c r="F1064" s="45" t="s">
        <v>679</v>
      </c>
    </row>
    <row r="1065" spans="1:6" ht="14.25">
      <c r="A1065" s="45"/>
      <c r="B1065" s="45" t="s">
        <v>165</v>
      </c>
      <c r="C1065" s="46" t="str">
        <f>HYPERLINK("https://au.indeed.com/viewjob?jk=e058ad2649cce47f","Mechanical Engineer")</f>
        <v>Mechanical Engineer</v>
      </c>
      <c r="D1065" s="45" t="s">
        <v>355</v>
      </c>
      <c r="E1065" s="47">
        <v>44381.98715277778</v>
      </c>
      <c r="F1065" s="45" t="s">
        <v>679</v>
      </c>
    </row>
    <row r="1066" spans="1:6" ht="14.25">
      <c r="A1066" s="45"/>
      <c r="B1066" s="45" t="s">
        <v>165</v>
      </c>
      <c r="C1066" s="46" t="str">
        <f>HYPERLINK("https://au.indeed.com/viewjob?jk=545a71070759f738","Mechanical Engineer")</f>
        <v>Mechanical Engineer</v>
      </c>
      <c r="D1066" s="45" t="s">
        <v>355</v>
      </c>
      <c r="E1066" s="47">
        <v>44381.987210648149</v>
      </c>
      <c r="F1066" s="45" t="s">
        <v>679</v>
      </c>
    </row>
    <row r="1067" spans="1:6" ht="14.25">
      <c r="A1067" s="45"/>
      <c r="B1067" s="45" t="s">
        <v>165</v>
      </c>
      <c r="C1067" s="46" t="str">
        <f>HYPERLINK("https://au.indeed.com/viewjob?jk=ec64bd295e1a0179","Lead Mechanical Engineer Water")</f>
        <v>Lead Mechanical Engineer Water</v>
      </c>
      <c r="D1067" s="45" t="s">
        <v>682</v>
      </c>
      <c r="E1067" s="47">
        <v>44381.987245370372</v>
      </c>
      <c r="F1067" s="45" t="s">
        <v>679</v>
      </c>
    </row>
    <row r="1068" spans="1:6" ht="14.25">
      <c r="A1068" s="45"/>
      <c r="B1068" s="45" t="s">
        <v>165</v>
      </c>
      <c r="C1068" s="46" t="str">
        <f>HYPERLINK("https://au.indeed.com/viewjob?jk=6b7f173f03ba9cd1","Principal Mechanical Engineer")</f>
        <v>Principal Mechanical Engineer</v>
      </c>
      <c r="D1068" s="45" t="s">
        <v>447</v>
      </c>
      <c r="E1068" s="47">
        <v>44381.987534722219</v>
      </c>
      <c r="F1068" s="45" t="s">
        <v>679</v>
      </c>
    </row>
    <row r="1069" spans="1:6" ht="14.25">
      <c r="A1069" s="45"/>
      <c r="B1069" s="45" t="s">
        <v>165</v>
      </c>
      <c r="C1069" s="46" t="str">
        <f>HYPERLINK("https://au.indeed.com/viewjob?jk=31ecf266d521cbb1","Senior Mechanical Engineer")</f>
        <v>Senior Mechanical Engineer</v>
      </c>
      <c r="D1069" s="45" t="s">
        <v>447</v>
      </c>
      <c r="E1069" s="47">
        <v>44381.987870370373</v>
      </c>
      <c r="F1069" s="45" t="s">
        <v>679</v>
      </c>
    </row>
    <row r="1070" spans="1:6" ht="14.25">
      <c r="A1070" s="45"/>
      <c r="B1070" s="45" t="s">
        <v>165</v>
      </c>
      <c r="C1070" s="46" t="str">
        <f>HYPERLINK("https://au.indeed.com/viewjob?jk=8228b8def3e22780","Mechanical Engineer - Combined Services and Space Proofing")</f>
        <v>Mechanical Engineer - Combined Services and Space Proofing</v>
      </c>
      <c r="D1070" s="45" t="s">
        <v>448</v>
      </c>
      <c r="E1070" s="47">
        <v>44381.988703703704</v>
      </c>
      <c r="F1070" s="45" t="s">
        <v>679</v>
      </c>
    </row>
    <row r="1071" spans="1:6" ht="14.25">
      <c r="A1071" s="45"/>
      <c r="B1071" s="45" t="s">
        <v>165</v>
      </c>
      <c r="C1071" s="46" t="str">
        <f>HYPERLINK("https://au.indeed.com/viewjob?jk=510101d27ddc52a8","Mechanical Design Engineer - Data Centers")</f>
        <v>Mechanical Design Engineer - Data Centers</v>
      </c>
      <c r="D1071" s="45" t="s">
        <v>423</v>
      </c>
      <c r="E1071" s="47">
        <v>44381.98877314815</v>
      </c>
      <c r="F1071" s="45" t="s">
        <v>679</v>
      </c>
    </row>
    <row r="1072" spans="1:6" ht="14.25">
      <c r="A1072" s="45"/>
      <c r="B1072" s="45" t="s">
        <v>165</v>
      </c>
      <c r="C1072" s="46" t="str">
        <f>HYPERLINK("https://au.indeed.com/viewjob?jk=a5415543828f03d1","HVAC Mechanical Engineer/Estimator")</f>
        <v>HVAC Mechanical Engineer/Estimator</v>
      </c>
      <c r="D1072" s="45" t="s">
        <v>680</v>
      </c>
      <c r="E1072" s="47">
        <v>44381.988807870373</v>
      </c>
      <c r="F1072" s="45" t="s">
        <v>679</v>
      </c>
    </row>
    <row r="1073" spans="1:6" ht="14.25">
      <c r="A1073" s="45"/>
      <c r="B1073" s="45" t="s">
        <v>165</v>
      </c>
      <c r="C1073" s="46" t="str">
        <f>HYPERLINK("https://au.indeed.com/viewjob?jk=1ae93d196ea97f61","Mechanical Engineer - Tunnel MVAC")</f>
        <v>Mechanical Engineer - Tunnel MVAC</v>
      </c>
      <c r="D1073" s="45" t="s">
        <v>448</v>
      </c>
      <c r="E1073" s="47">
        <v>44381.988854166666</v>
      </c>
      <c r="F1073" s="45" t="s">
        <v>679</v>
      </c>
    </row>
    <row r="1074" spans="1:6" ht="14.25">
      <c r="A1074" s="45"/>
      <c r="B1074" s="45" t="s">
        <v>165</v>
      </c>
      <c r="C1074" s="46" t="str">
        <f>HYPERLINK("https://au.indeed.com/viewjob?jk=367f2b26d7278fc7","Expressions of Interest: Structural, Mechanical, Electrical and Process Engineers")</f>
        <v>Expressions of Interest: Structural, Mechanical, Electrical and Process Engineers</v>
      </c>
      <c r="D1074" s="45" t="s">
        <v>496</v>
      </c>
      <c r="E1074" s="47">
        <v>44381.988888888889</v>
      </c>
      <c r="F1074" s="45" t="s">
        <v>679</v>
      </c>
    </row>
    <row r="1075" spans="1:6" ht="14.25">
      <c r="A1075" s="45"/>
      <c r="B1075" s="45" t="s">
        <v>165</v>
      </c>
      <c r="C1075" s="46" t="str">
        <f>HYPERLINK("https://au.indeed.com/viewjob?jk=77b076684376462e","Mechanical Engineer - Hard Rock CTE")</f>
        <v>Mechanical Engineer - Hard Rock CTE</v>
      </c>
      <c r="D1075" s="45" t="s">
        <v>528</v>
      </c>
      <c r="E1075" s="47">
        <v>44381.988923611112</v>
      </c>
      <c r="F1075" s="45" t="s">
        <v>679</v>
      </c>
    </row>
    <row r="1076" spans="1:6" ht="14.25">
      <c r="A1076" s="45"/>
      <c r="B1076" s="45" t="s">
        <v>165</v>
      </c>
      <c r="C1076" s="46" t="str">
        <f>HYPERLINK("https://au.indeed.com/viewjob?jk=ce66c6aad54ec611","Mechanical Engineer")</f>
        <v>Mechanical Engineer</v>
      </c>
      <c r="D1076" s="45" t="s">
        <v>517</v>
      </c>
      <c r="E1076" s="47">
        <v>44381.988969907405</v>
      </c>
      <c r="F1076" s="45" t="s">
        <v>679</v>
      </c>
    </row>
    <row r="1077" spans="1:6" ht="14.25">
      <c r="A1077" s="45"/>
      <c r="B1077" s="45" t="s">
        <v>165</v>
      </c>
      <c r="C1077" s="46" t="str">
        <f>HYPERLINK("https://au.indeed.com/viewjob?jk=5b7c1b34396fb216","Senior Mechanical Engineer")</f>
        <v>Senior Mechanical Engineer</v>
      </c>
      <c r="D1077" s="45" t="s">
        <v>623</v>
      </c>
      <c r="E1077" s="47">
        <v>44381.989490740743</v>
      </c>
      <c r="F1077" s="45" t="s">
        <v>679</v>
      </c>
    </row>
    <row r="1078" spans="1:6" ht="14.25">
      <c r="A1078" s="45"/>
      <c r="B1078" s="45" t="s">
        <v>165</v>
      </c>
      <c r="C1078" s="46" t="str">
        <f>HYPERLINK("https://au.indeed.com/viewjob?jk=bd364e0df96ada1b","Mechanical Engineer - Combined Services and Space Proofing")</f>
        <v>Mechanical Engineer - Combined Services and Space Proofing</v>
      </c>
      <c r="D1078" s="45" t="s">
        <v>448</v>
      </c>
      <c r="E1078" s="47">
        <v>44381.989537037036</v>
      </c>
      <c r="F1078" s="45" t="s">
        <v>679</v>
      </c>
    </row>
    <row r="1079" spans="1:6" ht="14.25">
      <c r="A1079" s="45"/>
      <c r="B1079" s="45" t="s">
        <v>165</v>
      </c>
      <c r="C1079" s="46" t="str">
        <f>HYPERLINK("https://au.indeed.com/viewjob?jk=2779daa21182e860","Mechanical Reliability Engineer")</f>
        <v>Mechanical Reliability Engineer</v>
      </c>
      <c r="D1079" s="45" t="s">
        <v>683</v>
      </c>
      <c r="E1079" s="47">
        <v>44381.989606481482</v>
      </c>
      <c r="F1079" s="45" t="s">
        <v>679</v>
      </c>
    </row>
    <row r="1080" spans="1:6" ht="14.25">
      <c r="A1080" s="45"/>
      <c r="B1080" s="45" t="s">
        <v>165</v>
      </c>
      <c r="C1080" s="46" t="str">
        <f>HYPERLINK("https://au.indeed.com/viewjob?jk=c91f3decac1834f3","MECHANICAL ENGINEER")</f>
        <v>MECHANICAL ENGINEER</v>
      </c>
      <c r="D1080" s="45" t="s">
        <v>684</v>
      </c>
      <c r="E1080" s="47">
        <v>44381.989895833336</v>
      </c>
      <c r="F1080" s="45" t="s">
        <v>679</v>
      </c>
    </row>
    <row r="1081" spans="1:6" ht="14.25">
      <c r="A1081" s="45"/>
      <c r="B1081" s="45" t="s">
        <v>165</v>
      </c>
      <c r="C1081" s="46" t="str">
        <f>HYPERLINK("https://au.indeed.com/viewjob?jk=252416abd4827076","Mechanical Project Engineer")</f>
        <v>Mechanical Project Engineer</v>
      </c>
      <c r="D1081" s="45" t="s">
        <v>501</v>
      </c>
      <c r="E1081" s="47">
        <v>44381.989930555559</v>
      </c>
      <c r="F1081" s="45" t="s">
        <v>679</v>
      </c>
    </row>
    <row r="1082" spans="1:6" ht="14.25">
      <c r="A1082" s="45"/>
      <c r="B1082" s="45" t="s">
        <v>165</v>
      </c>
      <c r="C1082" s="46" t="str">
        <f>HYPERLINK("https://au.indeed.com/viewjob?jk=99a7080ffeccc0c4","Mechanical Engineer-CHPP")</f>
        <v>Mechanical Engineer-CHPP</v>
      </c>
      <c r="D1082" s="45" t="s">
        <v>685</v>
      </c>
      <c r="E1082" s="47">
        <v>44381.989976851852</v>
      </c>
      <c r="F1082" s="45" t="s">
        <v>679</v>
      </c>
    </row>
    <row r="1083" spans="1:6" ht="14.25">
      <c r="A1083" s="45"/>
      <c r="B1083" s="45" t="s">
        <v>165</v>
      </c>
      <c r="C1083" s="46" t="str">
        <f>HYPERLINK("https://au.indeed.com/viewjob?jk=134cfd9a6e2be4db","Development Engineer Mechanical / Mechatronics")</f>
        <v>Development Engineer Mechanical / Mechatronics</v>
      </c>
      <c r="D1083" s="45" t="s">
        <v>686</v>
      </c>
      <c r="E1083" s="47">
        <v>44381.990497685183</v>
      </c>
      <c r="F1083" s="45" t="s">
        <v>679</v>
      </c>
    </row>
    <row r="1084" spans="1:6" ht="14.25">
      <c r="A1084" s="45"/>
      <c r="B1084" s="45" t="s">
        <v>165</v>
      </c>
      <c r="C1084" s="46" t="str">
        <f>HYPERLINK("https://au.indeed.com/viewjob?jk=f0377f663268e8ba","Engineer - Chemical, Electrical, Mechanical or Civil")</f>
        <v>Engineer - Chemical, Electrical, Mechanical or Civil</v>
      </c>
      <c r="D1084" s="45" t="s">
        <v>524</v>
      </c>
      <c r="E1084" s="47">
        <v>44381.990543981483</v>
      </c>
      <c r="F1084" s="45" t="s">
        <v>679</v>
      </c>
    </row>
    <row r="1085" spans="1:6" ht="14.25">
      <c r="A1085" s="45"/>
      <c r="B1085" s="45" t="s">
        <v>165</v>
      </c>
      <c r="C1085" s="46" t="str">
        <f>HYPERLINK("https://au.indeed.com/viewjob?jk=815a1c1ff544cf96","Mechanical Reliability Engineer")</f>
        <v>Mechanical Reliability Engineer</v>
      </c>
      <c r="D1085" s="45" t="s">
        <v>683</v>
      </c>
      <c r="E1085" s="47">
        <v>44381.990578703706</v>
      </c>
      <c r="F1085" s="45" t="s">
        <v>679</v>
      </c>
    </row>
    <row r="1086" spans="1:6" ht="14.25">
      <c r="A1086" s="45"/>
      <c r="B1086" s="45" t="s">
        <v>165</v>
      </c>
      <c r="C1086" s="46" t="str">
        <f>HYPERLINK("https://au.indeed.com/viewjob?jk=b24cbd83a392f82a","Mechanical Engineer - Drainage Pump")</f>
        <v>Mechanical Engineer - Drainage Pump</v>
      </c>
      <c r="D1086" s="45" t="s">
        <v>448</v>
      </c>
      <c r="E1086" s="47">
        <v>44381.990636574075</v>
      </c>
      <c r="F1086" s="45" t="s">
        <v>679</v>
      </c>
    </row>
    <row r="1087" spans="1:6" ht="14.25">
      <c r="A1087" s="45"/>
      <c r="B1087" s="45" t="s">
        <v>165</v>
      </c>
      <c r="C1087" s="46" t="str">
        <f>HYPERLINK("https://au.indeed.com/viewjob?jk=4717ab6c5d2772ec","Mechanical Engineer")</f>
        <v>Mechanical Engineer</v>
      </c>
      <c r="D1087" s="45" t="s">
        <v>623</v>
      </c>
      <c r="E1087" s="47">
        <v>44381.992094907408</v>
      </c>
      <c r="F1087" s="45" t="s">
        <v>679</v>
      </c>
    </row>
    <row r="1088" spans="1:6" ht="14.25">
      <c r="A1088" s="45"/>
      <c r="B1088" s="45" t="s">
        <v>165</v>
      </c>
      <c r="C1088" s="46" t="str">
        <f>HYPERLINK("https://au.indeed.com/viewjob?jk=b1fb59930fd8586e","Senior Mechanical Engineer - Durability")</f>
        <v>Senior Mechanical Engineer - Durability</v>
      </c>
      <c r="D1088" s="45" t="s">
        <v>448</v>
      </c>
      <c r="E1088" s="47">
        <v>44381.9921412037</v>
      </c>
      <c r="F1088" s="45" t="s">
        <v>679</v>
      </c>
    </row>
    <row r="1089" spans="1:6" ht="14.25">
      <c r="A1089" s="45"/>
      <c r="B1089" s="45" t="s">
        <v>165</v>
      </c>
      <c r="C1089" s="46" t="str">
        <f>HYPERLINK("https://au.indeed.com/viewjob?jk=2aa0292032df44fd","Lead Mechanical Engineer Water")</f>
        <v>Lead Mechanical Engineer Water</v>
      </c>
      <c r="D1089" s="45" t="s">
        <v>682</v>
      </c>
      <c r="E1089" s="47">
        <v>44381.992175925923</v>
      </c>
      <c r="F1089" s="45" t="s">
        <v>679</v>
      </c>
    </row>
    <row r="1090" spans="1:6" ht="14.25">
      <c r="A1090" s="45"/>
      <c r="B1090" s="45" t="s">
        <v>165</v>
      </c>
      <c r="C1090" s="46" t="str">
        <f>HYPERLINK("https://au.indeed.com/viewjob?jk=eb92b7ee0a05a593","Senior Mechanical Engineer")</f>
        <v>Senior Mechanical Engineer</v>
      </c>
      <c r="D1090" s="45" t="s">
        <v>687</v>
      </c>
      <c r="E1090" s="47">
        <v>44381.992245370369</v>
      </c>
      <c r="F1090" s="45" t="s">
        <v>679</v>
      </c>
    </row>
    <row r="1091" spans="1:6" ht="14.25">
      <c r="A1091" s="45"/>
      <c r="B1091" s="45" t="s">
        <v>165</v>
      </c>
      <c r="C1091" s="46" t="str">
        <f>HYPERLINK("https://au.indeed.com/viewjob?jk=bf35928e443a2fde","Mechanical Project Engineer")</f>
        <v>Mechanical Project Engineer</v>
      </c>
      <c r="D1091" s="45" t="s">
        <v>688</v>
      </c>
      <c r="E1091" s="47">
        <v>44381.992523148147</v>
      </c>
      <c r="F1091" s="45" t="s">
        <v>679</v>
      </c>
    </row>
    <row r="1092" spans="1:6" ht="14.25">
      <c r="A1092" s="45"/>
      <c r="B1092" s="45" t="s">
        <v>165</v>
      </c>
      <c r="C1092" s="46" t="str">
        <f>HYPERLINK("https://au.indeed.com/viewjob?jk=852882b47ca09a13","Mechanical Design Engineer - Overhead Cranes, Hoists and Winches")</f>
        <v>Mechanical Design Engineer - Overhead Cranes, Hoists and Winches</v>
      </c>
      <c r="D1092" s="45" t="s">
        <v>689</v>
      </c>
      <c r="E1092" s="47">
        <v>44381.992581018516</v>
      </c>
      <c r="F1092" s="45" t="s">
        <v>679</v>
      </c>
    </row>
    <row r="1093" spans="1:6" ht="14.25">
      <c r="A1093" s="45"/>
      <c r="B1093" s="45" t="s">
        <v>165</v>
      </c>
      <c r="C1093" s="46" t="str">
        <f>HYPERLINK("https://au.indeed.com/viewjob?jk=c90248a10e7c5578","Senior Mechanical Engineer")</f>
        <v>Senior Mechanical Engineer</v>
      </c>
      <c r="D1093" s="45" t="s">
        <v>512</v>
      </c>
      <c r="E1093" s="47">
        <v>44381.992627314816</v>
      </c>
      <c r="F1093" s="45" t="s">
        <v>679</v>
      </c>
    </row>
    <row r="1094" spans="1:6" ht="14.25">
      <c r="A1094" s="45"/>
      <c r="B1094" s="45" t="s">
        <v>165</v>
      </c>
      <c r="C1094" s="46" t="str">
        <f>HYPERLINK("https://au.indeed.com/viewjob?jk=829d1f7e7560ebcc","Senior Mechanical Design Engineer in Adelaide!")</f>
        <v>Senior Mechanical Design Engineer in Adelaide!</v>
      </c>
      <c r="D1094" s="45" t="s">
        <v>690</v>
      </c>
      <c r="E1094" s="47">
        <v>44381.992673611108</v>
      </c>
      <c r="F1094" s="45" t="s">
        <v>679</v>
      </c>
    </row>
    <row r="1095" spans="1:6" ht="14.25">
      <c r="A1095" s="45"/>
      <c r="B1095" s="45" t="s">
        <v>165</v>
      </c>
      <c r="C1095" s="46" t="str">
        <f>HYPERLINK("https://au.indeed.com/viewjob?jk=690e0e10e4db3c3f","Mechanical Design Engineer")</f>
        <v>Mechanical Design Engineer</v>
      </c>
      <c r="D1095" s="45" t="s">
        <v>691</v>
      </c>
      <c r="E1095" s="47">
        <v>44381.99318287037</v>
      </c>
      <c r="F1095" s="45" t="s">
        <v>679</v>
      </c>
    </row>
    <row r="1096" spans="1:6" ht="14.25">
      <c r="A1096" s="45"/>
      <c r="B1096" s="45" t="s">
        <v>165</v>
      </c>
      <c r="C1096" s="46" t="str">
        <f>HYPERLINK("https://au.indeed.com/viewjob?jk=9b4c3d8360131763","HVAC Mechanical Engineer/Estimator")</f>
        <v>HVAC Mechanical Engineer/Estimator</v>
      </c>
      <c r="D1096" s="45" t="s">
        <v>680</v>
      </c>
      <c r="E1096" s="47">
        <v>44381.993483796294</v>
      </c>
      <c r="F1096" s="45" t="s">
        <v>679</v>
      </c>
    </row>
    <row r="1097" spans="1:6" ht="14.25">
      <c r="A1097" s="45"/>
      <c r="B1097" s="45" t="s">
        <v>165</v>
      </c>
      <c r="C1097" s="46" t="str">
        <f>HYPERLINK("https://au.indeed.com/viewjob?jk=99a7080ffeccc0c4","Mechanical Engineer-CHPP")</f>
        <v>Mechanical Engineer-CHPP</v>
      </c>
      <c r="D1097" s="45" t="s">
        <v>685</v>
      </c>
      <c r="E1097" s="47">
        <v>44381.994247685187</v>
      </c>
      <c r="F1097" s="45" t="s">
        <v>679</v>
      </c>
    </row>
    <row r="1098" spans="1:6" ht="14.25">
      <c r="A1098" s="45"/>
      <c r="B1098" s="45" t="s">
        <v>165</v>
      </c>
      <c r="C1098" s="46" t="str">
        <f>HYPERLINK("https://au.indeed.com/viewjob?jk=9640961b535b6231","Mechanical Engineer - Air Monitoring")</f>
        <v>Mechanical Engineer - Air Monitoring</v>
      </c>
      <c r="D1098" s="45" t="s">
        <v>448</v>
      </c>
      <c r="E1098" s="47">
        <v>44381.99428240741</v>
      </c>
      <c r="F1098" s="45" t="s">
        <v>679</v>
      </c>
    </row>
    <row r="1099" spans="1:6" ht="14.25">
      <c r="A1099" s="45"/>
      <c r="B1099" s="45" t="s">
        <v>165</v>
      </c>
      <c r="C1099" s="46" t="str">
        <f>HYPERLINK("https://au.indeed.com/viewjob?jk=690e0e10e4db3c3f","Mechanical Design Engineer")</f>
        <v>Mechanical Design Engineer</v>
      </c>
      <c r="D1099" s="45" t="s">
        <v>691</v>
      </c>
      <c r="E1099" s="47">
        <v>44385.753449074073</v>
      </c>
      <c r="F1099" s="45" t="s">
        <v>679</v>
      </c>
    </row>
    <row r="1100" spans="1:6" ht="14.25">
      <c r="A1100" s="45"/>
      <c r="B1100" s="45" t="s">
        <v>165</v>
      </c>
      <c r="C1100" s="46" t="str">
        <f>HYPERLINK("https://au.indeed.com/viewjob?jk=468b980c3b142cb7","Mechanical Design Engineer")</f>
        <v>Mechanical Design Engineer</v>
      </c>
      <c r="D1100" s="45" t="s">
        <v>678</v>
      </c>
      <c r="E1100" s="47">
        <v>44385.753518518519</v>
      </c>
      <c r="F1100" s="45" t="s">
        <v>679</v>
      </c>
    </row>
    <row r="1101" spans="1:6" ht="14.25">
      <c r="A1101" s="45"/>
      <c r="B1101" s="45" t="s">
        <v>165</v>
      </c>
      <c r="C1101" s="46" t="str">
        <f>HYPERLINK("https://au.indeed.com/viewjob?jk=9b4c3d8360131763","HVAC Mechanical Engineer/Estimator")</f>
        <v>HVAC Mechanical Engineer/Estimator</v>
      </c>
      <c r="D1101" s="45" t="s">
        <v>680</v>
      </c>
      <c r="E1101" s="47">
        <v>44385.753564814811</v>
      </c>
      <c r="F1101" s="45" t="s">
        <v>679</v>
      </c>
    </row>
    <row r="1102" spans="1:6" ht="14.25">
      <c r="A1102" s="45"/>
      <c r="B1102" s="45" t="s">
        <v>165</v>
      </c>
      <c r="C1102" s="46" t="str">
        <f>HYPERLINK("https://au.indeed.com/viewjob?jk=506be2f17c80de82","Mechanical Engineer - Steelwork")</f>
        <v>Mechanical Engineer - Steelwork</v>
      </c>
      <c r="D1102" s="45" t="s">
        <v>448</v>
      </c>
      <c r="E1102" s="47">
        <v>44385.753611111111</v>
      </c>
      <c r="F1102" s="45" t="s">
        <v>679</v>
      </c>
    </row>
    <row r="1103" spans="1:6" ht="14.25">
      <c r="A1103" s="45"/>
      <c r="B1103" s="45" t="s">
        <v>165</v>
      </c>
      <c r="C1103" s="46" t="str">
        <f>HYPERLINK("https://au.indeed.com/viewjob?jk=468b980c3b142cb7","Mechanical Design Engineer")</f>
        <v>Mechanical Design Engineer</v>
      </c>
      <c r="D1103" s="45" t="s">
        <v>678</v>
      </c>
      <c r="E1103" s="47">
        <v>44385.768611111111</v>
      </c>
      <c r="F1103" s="45" t="s">
        <v>679</v>
      </c>
    </row>
    <row r="1104" spans="1:6" ht="14.25">
      <c r="A1104" s="45"/>
      <c r="B1104" s="45" t="s">
        <v>165</v>
      </c>
      <c r="C1104" s="46" t="str">
        <f>HYPERLINK("https://au.indeed.com/viewjob?jk=9b4c3d8360131763","HVAC Mechanical Engineer/Estimator")</f>
        <v>HVAC Mechanical Engineer/Estimator</v>
      </c>
      <c r="D1104" s="45" t="s">
        <v>680</v>
      </c>
      <c r="E1104" s="47">
        <v>44385.76866898148</v>
      </c>
      <c r="F1104" s="45" t="s">
        <v>679</v>
      </c>
    </row>
    <row r="1105" spans="1:6" ht="14.25">
      <c r="A1105" s="45"/>
      <c r="B1105" s="45" t="s">
        <v>165</v>
      </c>
      <c r="C1105" s="46" t="str">
        <f>HYPERLINK("https://au.indeed.com/viewjob?jk=506be2f17c80de82","Mechanical Engineer - Steelwork")</f>
        <v>Mechanical Engineer - Steelwork</v>
      </c>
      <c r="D1105" s="45" t="s">
        <v>448</v>
      </c>
      <c r="E1105" s="47">
        <v>44385.768703703703</v>
      </c>
      <c r="F1105" s="45" t="s">
        <v>679</v>
      </c>
    </row>
    <row r="1106" spans="1:6" ht="14.25">
      <c r="A1106" s="45"/>
      <c r="B1106" s="45" t="s">
        <v>165</v>
      </c>
      <c r="C1106" s="46" t="str">
        <f>HYPERLINK("https://au.indeed.com/viewjob?jk=810c03e5deafb666","Mechanical Process Engineer")</f>
        <v>Mechanical Process Engineer</v>
      </c>
      <c r="D1106" s="45" t="s">
        <v>447</v>
      </c>
      <c r="E1106" s="47">
        <v>44385.768993055557</v>
      </c>
      <c r="F1106" s="45" t="s">
        <v>679</v>
      </c>
    </row>
    <row r="1107" spans="1:6" ht="14.25">
      <c r="A1107" s="45"/>
      <c r="B1107" s="45" t="s">
        <v>165</v>
      </c>
      <c r="C1107" s="46" t="str">
        <f>HYPERLINK("https://au.indeed.com/viewjob?jk=468b980c3b142cb7","Mechanical Design Engineer")</f>
        <v>Mechanical Design Engineer</v>
      </c>
      <c r="D1107" s="45" t="s">
        <v>678</v>
      </c>
      <c r="E1107" s="47">
        <v>44385.77034722222</v>
      </c>
      <c r="F1107" s="45" t="s">
        <v>679</v>
      </c>
    </row>
    <row r="1108" spans="1:6" ht="14.25">
      <c r="A1108" s="45"/>
      <c r="B1108" s="45" t="s">
        <v>165</v>
      </c>
      <c r="C1108" s="46" t="str">
        <f>HYPERLINK("https://au.indeed.com/viewjob?jk=9b4c3d8360131763","HVAC Mechanical Engineer/Estimator")</f>
        <v>HVAC Mechanical Engineer/Estimator</v>
      </c>
      <c r="D1108" s="45" t="s">
        <v>680</v>
      </c>
      <c r="E1108" s="47">
        <v>44385.77039351852</v>
      </c>
      <c r="F1108" s="45" t="s">
        <v>679</v>
      </c>
    </row>
    <row r="1109" spans="1:6" ht="14.25">
      <c r="A1109" s="45"/>
      <c r="B1109" s="45" t="s">
        <v>165</v>
      </c>
      <c r="C1109" s="46" t="str">
        <f>HYPERLINK("https://au.indeed.com/viewjob?jk=506be2f17c80de82","Mechanical Engineer - Steelwork")</f>
        <v>Mechanical Engineer - Steelwork</v>
      </c>
      <c r="D1109" s="45" t="s">
        <v>448</v>
      </c>
      <c r="E1109" s="47">
        <v>44385.770439814813</v>
      </c>
      <c r="F1109" s="45" t="s">
        <v>679</v>
      </c>
    </row>
    <row r="1110" spans="1:6" ht="14.25">
      <c r="A1110" s="45"/>
      <c r="B1110" s="45" t="s">
        <v>165</v>
      </c>
      <c r="C1110" s="46" t="str">
        <f>HYPERLINK("https://au.indeed.com/viewjob?jk=ee505fbc96378d05","Mechanical / Systems Project Engineer")</f>
        <v>Mechanical / Systems Project Engineer</v>
      </c>
      <c r="D1110" s="45" t="s">
        <v>692</v>
      </c>
      <c r="E1110" s="47">
        <v>44385.770486111112</v>
      </c>
      <c r="F1110" s="45" t="s">
        <v>679</v>
      </c>
    </row>
    <row r="1111" spans="1:6" ht="14.25">
      <c r="A1111" s="45"/>
      <c r="B1111" s="45" t="s">
        <v>165</v>
      </c>
      <c r="C1111" s="46" t="str">
        <f>HYPERLINK("https://au.indeed.com/viewjob?jk=810c03e5deafb666","Mechanical Process Engineer")</f>
        <v>Mechanical Process Engineer</v>
      </c>
      <c r="D1111" s="45" t="s">
        <v>447</v>
      </c>
      <c r="E1111" s="47">
        <v>44385.770810185182</v>
      </c>
      <c r="F1111" s="45" t="s">
        <v>679</v>
      </c>
    </row>
    <row r="1112" spans="1:6" ht="14.25">
      <c r="A1112" s="45"/>
      <c r="B1112" s="45" t="s">
        <v>165</v>
      </c>
      <c r="C1112" s="46" t="str">
        <f>HYPERLINK("https://au.indeed.com/viewjob?jk=7d1bad010cd3e856","Graduate Engineer | Mechanical or Mechatronics")</f>
        <v>Graduate Engineer | Mechanical or Mechatronics</v>
      </c>
      <c r="D1112" s="45" t="s">
        <v>681</v>
      </c>
      <c r="E1112" s="47">
        <v>44385.771493055552</v>
      </c>
      <c r="F1112" s="45" t="s">
        <v>679</v>
      </c>
    </row>
    <row r="1113" spans="1:6" ht="14.25">
      <c r="A1113" s="45"/>
      <c r="B1113" s="45" t="s">
        <v>165</v>
      </c>
      <c r="C1113" s="46" t="str">
        <f>HYPERLINK("https://au.indeed.com/viewjob?jk=9a6d19a899dcc1fd","Mechanical Design Engineer")</f>
        <v>Mechanical Design Engineer</v>
      </c>
      <c r="D1113" s="45" t="s">
        <v>414</v>
      </c>
      <c r="E1113" s="47">
        <v>44385.771527777775</v>
      </c>
      <c r="F1113" s="45" t="s">
        <v>679</v>
      </c>
    </row>
    <row r="1114" spans="1:6" ht="14.25">
      <c r="A1114" s="45"/>
      <c r="B1114" s="45" t="s">
        <v>165</v>
      </c>
      <c r="C1114" s="46" t="str">
        <f>HYPERLINK("https://au.indeed.com/viewjob?jk=3d49a723fa123448","Senior Mechanical Engineer")</f>
        <v>Senior Mechanical Engineer</v>
      </c>
      <c r="D1114" s="45" t="s">
        <v>356</v>
      </c>
      <c r="E1114" s="47">
        <v>44385.771597222221</v>
      </c>
      <c r="F1114" s="45" t="s">
        <v>679</v>
      </c>
    </row>
    <row r="1115" spans="1:6" ht="14.25">
      <c r="A1115" s="45"/>
      <c r="B1115" s="45" t="s">
        <v>165</v>
      </c>
      <c r="C1115" s="46" t="str">
        <f>HYPERLINK("https://au.indeed.com/viewjob?jk=e058ad2649cce47f","Mechanical Engineer")</f>
        <v>Mechanical Engineer</v>
      </c>
      <c r="D1115" s="45" t="s">
        <v>355</v>
      </c>
      <c r="E1115" s="47">
        <v>44385.771643518521</v>
      </c>
      <c r="F1115" s="45" t="s">
        <v>679</v>
      </c>
    </row>
    <row r="1116" spans="1:6" ht="14.25">
      <c r="A1116" s="45"/>
      <c r="B1116" s="45" t="s">
        <v>165</v>
      </c>
      <c r="C1116" s="46" t="str">
        <f>HYPERLINK("https://au.indeed.com/viewjob?jk=545a71070759f738","Mechanical Engineer")</f>
        <v>Mechanical Engineer</v>
      </c>
      <c r="D1116" s="45" t="s">
        <v>355</v>
      </c>
      <c r="E1116" s="47">
        <v>44385.771689814814</v>
      </c>
      <c r="F1116" s="45" t="s">
        <v>679</v>
      </c>
    </row>
    <row r="1117" spans="1:6" ht="14.25">
      <c r="A1117" s="45"/>
      <c r="B1117" s="45" t="s">
        <v>165</v>
      </c>
      <c r="C1117" s="46" t="str">
        <f>HYPERLINK("https://au.indeed.com/viewjob?jk=ec64bd295e1a0179","Lead Mechanical Engineer Water")</f>
        <v>Lead Mechanical Engineer Water</v>
      </c>
      <c r="D1117" s="45" t="s">
        <v>682</v>
      </c>
      <c r="E1117" s="47">
        <v>44385.771736111114</v>
      </c>
      <c r="F1117" s="45" t="s">
        <v>679</v>
      </c>
    </row>
    <row r="1118" spans="1:6" ht="14.25">
      <c r="A1118" s="45"/>
      <c r="B1118" s="45" t="s">
        <v>165</v>
      </c>
      <c r="C1118" s="46" t="str">
        <f>HYPERLINK("https://au.indeed.com/viewjob?jk=6b7f173f03ba9cd1","Principal Mechanical Engineer")</f>
        <v>Principal Mechanical Engineer</v>
      </c>
      <c r="D1118" s="45" t="s">
        <v>447</v>
      </c>
      <c r="E1118" s="47">
        <v>44385.771782407406</v>
      </c>
      <c r="F1118" s="45" t="s">
        <v>679</v>
      </c>
    </row>
    <row r="1119" spans="1:6" ht="14.25">
      <c r="A1119" s="45"/>
      <c r="B1119" s="45" t="s">
        <v>165</v>
      </c>
      <c r="C1119" s="46" t="str">
        <f>HYPERLINK("https://au.indeed.com/viewjob?jk=31ecf266d521cbb1","Senior Mechanical Engineer")</f>
        <v>Senior Mechanical Engineer</v>
      </c>
      <c r="D1119" s="45" t="s">
        <v>447</v>
      </c>
      <c r="E1119" s="47">
        <v>44385.772106481483</v>
      </c>
      <c r="F1119" s="45" t="s">
        <v>679</v>
      </c>
    </row>
    <row r="1120" spans="1:6" ht="14.25">
      <c r="A1120" s="45"/>
      <c r="B1120" s="45" t="s">
        <v>165</v>
      </c>
      <c r="C1120" s="46" t="str">
        <f>HYPERLINK("https://au.indeed.com/viewjob?jk=510101d27ddc52a8","Mechanical Design Engineer - Data Centers")</f>
        <v>Mechanical Design Engineer - Data Centers</v>
      </c>
      <c r="D1120" s="45" t="s">
        <v>423</v>
      </c>
      <c r="E1120" s="47">
        <v>44385.772858796299</v>
      </c>
      <c r="F1120" s="45" t="s">
        <v>679</v>
      </c>
    </row>
    <row r="1121" spans="1:6" ht="14.25">
      <c r="A1121" s="45"/>
      <c r="B1121" s="45" t="s">
        <v>165</v>
      </c>
      <c r="C1121" s="46" t="str">
        <f>HYPERLINK("https://au.indeed.com/viewjob?jk=a5415543828f03d1","HVAC Mechanical Engineer/Estimator")</f>
        <v>HVAC Mechanical Engineer/Estimator</v>
      </c>
      <c r="D1121" s="45" t="s">
        <v>680</v>
      </c>
      <c r="E1121" s="47">
        <v>44385.772916666669</v>
      </c>
      <c r="F1121" s="45" t="s">
        <v>679</v>
      </c>
    </row>
    <row r="1122" spans="1:6" ht="14.25">
      <c r="A1122" s="45"/>
      <c r="B1122" s="45" t="s">
        <v>165</v>
      </c>
      <c r="C1122" s="46" t="str">
        <f>HYPERLINK("https://au.indeed.com/viewjob?jk=367f2b26d7278fc7","Expressions of Interest: Structural, Mechanical, Electrical and Process Engineers")</f>
        <v>Expressions of Interest: Structural, Mechanical, Electrical and Process Engineers</v>
      </c>
      <c r="D1122" s="45" t="s">
        <v>496</v>
      </c>
      <c r="E1122" s="47">
        <v>44385.772962962961</v>
      </c>
      <c r="F1122" s="45" t="s">
        <v>679</v>
      </c>
    </row>
    <row r="1123" spans="1:6" ht="14.25">
      <c r="A1123" s="45"/>
      <c r="B1123" s="45" t="s">
        <v>165</v>
      </c>
      <c r="C1123" s="46" t="str">
        <f>HYPERLINK("https://au.indeed.com/viewjob?jk=77b076684376462e","Mechanical Engineer - Hard Rock CTE")</f>
        <v>Mechanical Engineer - Hard Rock CTE</v>
      </c>
      <c r="D1123" s="45" t="s">
        <v>528</v>
      </c>
      <c r="E1123" s="47">
        <v>44385.773009259261</v>
      </c>
      <c r="F1123" s="45" t="s">
        <v>679</v>
      </c>
    </row>
    <row r="1124" spans="1:6" ht="14.25">
      <c r="A1124" s="45"/>
      <c r="B1124" s="45" t="s">
        <v>165</v>
      </c>
      <c r="C1124" s="46" t="str">
        <f>HYPERLINK("https://au.indeed.com/viewjob?jk=ce66c6aad54ec611","Mechanical Engineer")</f>
        <v>Mechanical Engineer</v>
      </c>
      <c r="D1124" s="45" t="s">
        <v>517</v>
      </c>
      <c r="E1124" s="47">
        <v>44385.773055555554</v>
      </c>
      <c r="F1124" s="45" t="s">
        <v>679</v>
      </c>
    </row>
    <row r="1125" spans="1:6" ht="14.25">
      <c r="A1125" s="45"/>
      <c r="B1125" s="45" t="s">
        <v>165</v>
      </c>
      <c r="C1125" s="46" t="str">
        <f>HYPERLINK("https://au.indeed.com/viewjob?jk=c90248a10e7c5578","Senior Mechanical Engineer")</f>
        <v>Senior Mechanical Engineer</v>
      </c>
      <c r="D1125" s="45" t="s">
        <v>512</v>
      </c>
      <c r="E1125" s="47">
        <v>44385.773611111108</v>
      </c>
      <c r="F1125" s="45" t="s">
        <v>679</v>
      </c>
    </row>
    <row r="1126" spans="1:6" ht="14.25">
      <c r="A1126" s="45"/>
      <c r="B1126" s="45" t="s">
        <v>165</v>
      </c>
      <c r="C1126" s="46" t="str">
        <f>HYPERLINK("https://au.indeed.com/viewjob?jk=087910b94e3483d1","Test Engineer (Mechanical)")</f>
        <v>Test Engineer (Mechanical)</v>
      </c>
      <c r="D1126" s="45" t="s">
        <v>693</v>
      </c>
      <c r="E1126" s="47">
        <v>44385.773645833331</v>
      </c>
      <c r="F1126" s="45" t="s">
        <v>679</v>
      </c>
    </row>
    <row r="1127" spans="1:6" ht="14.25">
      <c r="A1127" s="45"/>
      <c r="B1127" s="45" t="s">
        <v>165</v>
      </c>
      <c r="C1127" s="46" t="str">
        <f>HYPERLINK("https://au.indeed.com/viewjob?jk=468b980c3b142cb7","Mechanical Design Engineer")</f>
        <v>Mechanical Design Engineer</v>
      </c>
      <c r="D1127" s="45" t="s">
        <v>678</v>
      </c>
      <c r="E1127" s="47">
        <v>44385.778912037036</v>
      </c>
      <c r="F1127" s="45" t="s">
        <v>679</v>
      </c>
    </row>
    <row r="1128" spans="1:6" ht="14.25">
      <c r="A1128" s="45"/>
      <c r="B1128" s="45" t="s">
        <v>165</v>
      </c>
      <c r="C1128" s="46" t="str">
        <f>HYPERLINK("https://au.indeed.com/viewjob?jk=9b4c3d8360131763","HVAC Mechanical Engineer/Estimator")</f>
        <v>HVAC Mechanical Engineer/Estimator</v>
      </c>
      <c r="D1128" s="45" t="s">
        <v>680</v>
      </c>
      <c r="E1128" s="47">
        <v>44385.778958333336</v>
      </c>
      <c r="F1128" s="45" t="s">
        <v>679</v>
      </c>
    </row>
    <row r="1129" spans="1:6" ht="14.25">
      <c r="A1129" s="45"/>
      <c r="B1129" s="45" t="s">
        <v>165</v>
      </c>
      <c r="C1129" s="46" t="str">
        <f>HYPERLINK("https://au.indeed.com/viewjob?jk=506be2f17c80de82","Mechanical Engineer - Steelwork")</f>
        <v>Mechanical Engineer - Steelwork</v>
      </c>
      <c r="D1129" s="45" t="s">
        <v>448</v>
      </c>
      <c r="E1129" s="47">
        <v>44385.779004629629</v>
      </c>
      <c r="F1129" s="45" t="s">
        <v>679</v>
      </c>
    </row>
    <row r="1130" spans="1:6" ht="14.25">
      <c r="A1130" s="45"/>
      <c r="B1130" s="45" t="s">
        <v>165</v>
      </c>
      <c r="C1130" s="46" t="str">
        <f>HYPERLINK("https://au.indeed.com/viewjob?jk=810c03e5deafb666","Mechanical Process Engineer")</f>
        <v>Mechanical Process Engineer</v>
      </c>
      <c r="D1130" s="45" t="s">
        <v>447</v>
      </c>
      <c r="E1130" s="47">
        <v>44385.779363425929</v>
      </c>
      <c r="F1130" s="45" t="s">
        <v>679</v>
      </c>
    </row>
    <row r="1131" spans="1:6" ht="14.25">
      <c r="A1131" s="45"/>
      <c r="B1131" s="45" t="s">
        <v>165</v>
      </c>
      <c r="C1131" s="46" t="str">
        <f>HYPERLINK("https://au.indeed.com/viewjob?jk=7d1bad010cd3e856","Graduate Engineer | Mechanical or Mechatronics")</f>
        <v>Graduate Engineer | Mechanical or Mechatronics</v>
      </c>
      <c r="D1131" s="45" t="s">
        <v>681</v>
      </c>
      <c r="E1131" s="47">
        <v>44385.779930555553</v>
      </c>
      <c r="F1131" s="45" t="s">
        <v>679</v>
      </c>
    </row>
    <row r="1132" spans="1:6" ht="14.25">
      <c r="A1132" s="45"/>
      <c r="B1132" s="45" t="s">
        <v>165</v>
      </c>
      <c r="C1132" s="46" t="str">
        <f>HYPERLINK("https://au.indeed.com/viewjob?jk=9a6d19a899dcc1fd","Mechanical Design Engineer")</f>
        <v>Mechanical Design Engineer</v>
      </c>
      <c r="D1132" s="45" t="s">
        <v>414</v>
      </c>
      <c r="E1132" s="47">
        <v>44385.779976851853</v>
      </c>
      <c r="F1132" s="45" t="s">
        <v>679</v>
      </c>
    </row>
    <row r="1133" spans="1:6" ht="14.25">
      <c r="A1133" s="45"/>
      <c r="B1133" s="45" t="s">
        <v>165</v>
      </c>
      <c r="C1133" s="46" t="str">
        <f>HYPERLINK("https://au.indeed.com/viewjob?jk=3d49a723fa123448","Senior Mechanical Engineer")</f>
        <v>Senior Mechanical Engineer</v>
      </c>
      <c r="D1133" s="45" t="s">
        <v>356</v>
      </c>
      <c r="E1133" s="47">
        <v>44385.780034722222</v>
      </c>
      <c r="F1133" s="45" t="s">
        <v>679</v>
      </c>
    </row>
    <row r="1134" spans="1:6" ht="14.25">
      <c r="A1134" s="45"/>
      <c r="B1134" s="45" t="s">
        <v>165</v>
      </c>
      <c r="C1134" s="46" t="str">
        <f>HYPERLINK("https://au.indeed.com/viewjob?jk=e058ad2649cce47f","Mechanical Engineer")</f>
        <v>Mechanical Engineer</v>
      </c>
      <c r="D1134" s="45" t="s">
        <v>355</v>
      </c>
      <c r="E1134" s="47">
        <v>44385.780104166668</v>
      </c>
      <c r="F1134" s="45" t="s">
        <v>679</v>
      </c>
    </row>
    <row r="1135" spans="1:6" ht="14.25">
      <c r="A1135" s="45"/>
      <c r="B1135" s="45" t="s">
        <v>165</v>
      </c>
      <c r="C1135" s="46" t="str">
        <f>HYPERLINK("https://au.indeed.com/viewjob?jk=545a71070759f738","Mechanical Engineer")</f>
        <v>Mechanical Engineer</v>
      </c>
      <c r="D1135" s="45" t="s">
        <v>355</v>
      </c>
      <c r="E1135" s="47">
        <v>44385.780150462961</v>
      </c>
      <c r="F1135" s="45" t="s">
        <v>679</v>
      </c>
    </row>
    <row r="1136" spans="1:6" ht="14.25">
      <c r="A1136" s="45"/>
      <c r="B1136" s="45" t="s">
        <v>165</v>
      </c>
      <c r="C1136" s="46" t="str">
        <f>HYPERLINK("https://au.indeed.com/viewjob?jk=ec64bd295e1a0179","Lead Mechanical Engineer Water")</f>
        <v>Lead Mechanical Engineer Water</v>
      </c>
      <c r="D1136" s="45" t="s">
        <v>682</v>
      </c>
      <c r="E1136" s="47">
        <v>44385.78020833333</v>
      </c>
      <c r="F1136" s="45" t="s">
        <v>679</v>
      </c>
    </row>
    <row r="1137" spans="1:6" ht="14.25">
      <c r="A1137" s="45"/>
      <c r="B1137" s="45" t="s">
        <v>165</v>
      </c>
      <c r="C1137" s="46" t="str">
        <f>HYPERLINK("https://au.indeed.com/viewjob?jk=6b7f173f03ba9cd1","Principal Mechanical Engineer")</f>
        <v>Principal Mechanical Engineer</v>
      </c>
      <c r="D1137" s="45" t="s">
        <v>447</v>
      </c>
      <c r="E1137" s="47">
        <v>44385.78025462963</v>
      </c>
      <c r="F1137" s="45" t="s">
        <v>679</v>
      </c>
    </row>
    <row r="1138" spans="1:6" ht="14.25">
      <c r="A1138" s="45"/>
      <c r="B1138" s="45" t="s">
        <v>165</v>
      </c>
      <c r="C1138" s="46" t="str">
        <f>HYPERLINK("https://au.indeed.com/viewjob?jk=31ecf266d521cbb1","Senior Mechanical Engineer")</f>
        <v>Senior Mechanical Engineer</v>
      </c>
      <c r="D1138" s="45" t="s">
        <v>447</v>
      </c>
      <c r="E1138" s="47">
        <v>44385.780590277776</v>
      </c>
      <c r="F1138" s="45" t="s">
        <v>679</v>
      </c>
    </row>
    <row r="1139" spans="1:6" ht="14.25">
      <c r="A1139" s="45"/>
      <c r="B1139" s="45" t="s">
        <v>165</v>
      </c>
      <c r="C1139" s="46" t="str">
        <f>HYPERLINK("https://au.indeed.com/viewjob?jk=510101d27ddc52a8","Mechanical Design Engineer - Data Centers")</f>
        <v>Mechanical Design Engineer - Data Centers</v>
      </c>
      <c r="D1139" s="45" t="s">
        <v>423</v>
      </c>
      <c r="E1139" s="47">
        <v>44385.781759259262</v>
      </c>
      <c r="F1139" s="45" t="s">
        <v>679</v>
      </c>
    </row>
    <row r="1140" spans="1:6" ht="14.25">
      <c r="A1140" s="45"/>
      <c r="B1140" s="45" t="s">
        <v>165</v>
      </c>
      <c r="C1140" s="46" t="str">
        <f>HYPERLINK("https://au.indeed.com/viewjob?jk=a5415543828f03d1","HVAC Mechanical Engineer/Estimator")</f>
        <v>HVAC Mechanical Engineer/Estimator</v>
      </c>
      <c r="D1140" s="45" t="s">
        <v>680</v>
      </c>
      <c r="E1140" s="47">
        <v>44385.781805555554</v>
      </c>
      <c r="F1140" s="45" t="s">
        <v>679</v>
      </c>
    </row>
    <row r="1141" spans="1:6" ht="14.25">
      <c r="A1141" s="45"/>
      <c r="B1141" s="45" t="s">
        <v>165</v>
      </c>
      <c r="C1141" s="46" t="str">
        <f>HYPERLINK("https://au.indeed.com/viewjob?jk=77b076684376462e","Mechanical Engineer - Hard Rock CTE")</f>
        <v>Mechanical Engineer - Hard Rock CTE</v>
      </c>
      <c r="D1141" s="45" t="s">
        <v>528</v>
      </c>
      <c r="E1141" s="47">
        <v>44385.781851851854</v>
      </c>
      <c r="F1141" s="45" t="s">
        <v>679</v>
      </c>
    </row>
    <row r="1142" spans="1:6" ht="14.25">
      <c r="A1142" s="45"/>
      <c r="B1142" s="45" t="s">
        <v>165</v>
      </c>
      <c r="C1142" s="46" t="str">
        <f>HYPERLINK("https://au.indeed.com/viewjob?jk=ce66c6aad54ec611","Mechanical Engineer")</f>
        <v>Mechanical Engineer</v>
      </c>
      <c r="D1142" s="45" t="s">
        <v>517</v>
      </c>
      <c r="E1142" s="47">
        <v>44385.781886574077</v>
      </c>
      <c r="F1142" s="45" t="s">
        <v>679</v>
      </c>
    </row>
    <row r="1143" spans="1:6" ht="14.25">
      <c r="A1143" s="45"/>
      <c r="B1143" s="45" t="s">
        <v>165</v>
      </c>
      <c r="C1143" s="46" t="str">
        <f>HYPERLINK("https://au.indeed.com/viewjob?jk=5b7c1b34396fb216","Senior Mechanical Engineer")</f>
        <v>Senior Mechanical Engineer</v>
      </c>
      <c r="D1143" s="45" t="s">
        <v>623</v>
      </c>
      <c r="E1143" s="47">
        <v>44385.782442129632</v>
      </c>
      <c r="F1143" s="45" t="s">
        <v>679</v>
      </c>
    </row>
    <row r="1144" spans="1:6" ht="14.25">
      <c r="A1144" s="45"/>
      <c r="B1144" s="45" t="s">
        <v>165</v>
      </c>
      <c r="C1144" s="46" t="str">
        <f>HYPERLINK("https://au.indeed.com/viewjob?jk=087910b94e3483d1","Test Engineer (Mechanical)")</f>
        <v>Test Engineer (Mechanical)</v>
      </c>
      <c r="D1144" s="45" t="s">
        <v>693</v>
      </c>
      <c r="E1144" s="47">
        <v>44385.782488425924</v>
      </c>
      <c r="F1144" s="45" t="s">
        <v>679</v>
      </c>
    </row>
    <row r="1145" spans="1:6" ht="14.25">
      <c r="A1145" s="45"/>
      <c r="B1145" s="45" t="s">
        <v>165</v>
      </c>
      <c r="C1145" s="46" t="str">
        <f>HYPERLINK("https://au.indeed.com/viewjob?jk=2779daa21182e860","Mechanical Reliability Engineer")</f>
        <v>Mechanical Reliability Engineer</v>
      </c>
      <c r="D1145" s="45" t="s">
        <v>683</v>
      </c>
      <c r="E1145" s="47">
        <v>44385.782789351855</v>
      </c>
      <c r="F1145" s="45" t="s">
        <v>679</v>
      </c>
    </row>
    <row r="1146" spans="1:6" ht="14.25">
      <c r="A1146" s="45"/>
      <c r="B1146" s="45" t="s">
        <v>165</v>
      </c>
      <c r="C1146" s="46" t="str">
        <f>HYPERLINK("https://au.indeed.com/viewjob?jk=c91f3decac1834f3","MECHANICAL ENGINEER")</f>
        <v>MECHANICAL ENGINEER</v>
      </c>
      <c r="D1146" s="45" t="s">
        <v>684</v>
      </c>
      <c r="E1146" s="47">
        <v>44385.783113425925</v>
      </c>
      <c r="F1146" s="45" t="s">
        <v>679</v>
      </c>
    </row>
    <row r="1147" spans="1:6" ht="14.25">
      <c r="A1147" s="45"/>
      <c r="B1147" s="45" t="s">
        <v>165</v>
      </c>
      <c r="C1147" s="46" t="str">
        <f>HYPERLINK("https://au.indeed.com/viewjob?jk=ddd8f5fe8ef0aeec","Test Engineer (Mechanical)")</f>
        <v>Test Engineer (Mechanical)</v>
      </c>
      <c r="D1147" s="45" t="s">
        <v>694</v>
      </c>
      <c r="E1147" s="47">
        <v>44385.783171296294</v>
      </c>
      <c r="F1147" s="45" t="s">
        <v>679</v>
      </c>
    </row>
    <row r="1148" spans="1:6" ht="14.25">
      <c r="A1148" s="45"/>
      <c r="B1148" s="45" t="s">
        <v>165</v>
      </c>
      <c r="C1148" s="46" t="str">
        <f>HYPERLINK("https://au.indeed.com/viewjob?jk=37d9a384641775ef","Fleet Engineers - Mechanical &amp; Electrical")</f>
        <v>Fleet Engineers - Mechanical &amp; Electrical</v>
      </c>
      <c r="D1148" s="45" t="s">
        <v>448</v>
      </c>
      <c r="E1148" s="47">
        <v>44385.783217592594</v>
      </c>
      <c r="F1148" s="45" t="s">
        <v>679</v>
      </c>
    </row>
    <row r="1149" spans="1:6" ht="14.25">
      <c r="A1149" s="45"/>
      <c r="B1149" s="45" t="s">
        <v>165</v>
      </c>
      <c r="C1149" s="46" t="str">
        <f>HYPERLINK("https://au.indeed.com/viewjob?jk=99a7080ffeccc0c4","Mechanical Engineer-CHPP")</f>
        <v>Mechanical Engineer-CHPP</v>
      </c>
      <c r="D1149" s="45" t="s">
        <v>685</v>
      </c>
      <c r="E1149" s="47">
        <v>44385.783263888887</v>
      </c>
      <c r="F1149" s="45" t="s">
        <v>679</v>
      </c>
    </row>
    <row r="1150" spans="1:6" ht="14.25">
      <c r="A1150" s="45"/>
      <c r="B1150" s="45" t="s">
        <v>165</v>
      </c>
      <c r="C1150" s="46" t="str">
        <f>HYPERLINK("https://au.indeed.com/viewjob?jk=134cfd9a6e2be4db","Development Engineer Mechanical / Mechatronics")</f>
        <v>Development Engineer Mechanical / Mechatronics</v>
      </c>
      <c r="D1150" s="45" t="s">
        <v>686</v>
      </c>
      <c r="E1150" s="47">
        <v>44385.783831018518</v>
      </c>
      <c r="F1150" s="45" t="s">
        <v>679</v>
      </c>
    </row>
    <row r="1151" spans="1:6" ht="14.25">
      <c r="A1151" s="45"/>
      <c r="B1151" s="45" t="s">
        <v>165</v>
      </c>
      <c r="C1151" s="46" t="str">
        <f>HYPERLINK("https://au.indeed.com/viewjob?jk=815a1c1ff544cf96","Mechanical Reliability Engineer")</f>
        <v>Mechanical Reliability Engineer</v>
      </c>
      <c r="D1151" s="45" t="s">
        <v>683</v>
      </c>
      <c r="E1151" s="47">
        <v>44385.783877314818</v>
      </c>
      <c r="F1151" s="45" t="s">
        <v>679</v>
      </c>
    </row>
    <row r="1152" spans="1:6" ht="14.25">
      <c r="A1152" s="45"/>
      <c r="B1152" s="45" t="s">
        <v>165</v>
      </c>
      <c r="C1152" s="46" t="str">
        <f>HYPERLINK("https://au.indeed.com/viewjob?jk=20b1d98c41c54fc2","Mechanical Design Engineer")</f>
        <v>Mechanical Design Engineer</v>
      </c>
      <c r="D1152" s="45" t="s">
        <v>695</v>
      </c>
      <c r="E1152" s="47">
        <v>44385.784421296295</v>
      </c>
      <c r="F1152" s="45" t="s">
        <v>679</v>
      </c>
    </row>
    <row r="1153" spans="1:6" ht="14.25">
      <c r="A1153" s="45"/>
      <c r="B1153" s="45" t="s">
        <v>165</v>
      </c>
      <c r="C1153" s="46" t="str">
        <f>HYPERLINK("https://au.indeed.com/viewjob?jk=4717ab6c5d2772ec","Mechanical Engineer")</f>
        <v>Mechanical Engineer</v>
      </c>
      <c r="D1153" s="45" t="s">
        <v>623</v>
      </c>
      <c r="E1153" s="47">
        <v>44385.785821759258</v>
      </c>
      <c r="F1153" s="45" t="s">
        <v>679</v>
      </c>
    </row>
    <row r="1154" spans="1:6" ht="14.25">
      <c r="A1154" s="45"/>
      <c r="B1154" s="45" t="s">
        <v>165</v>
      </c>
      <c r="C1154" s="46" t="str">
        <f>HYPERLINK("https://au.indeed.com/viewjob?jk=b1fb59930fd8586e","Senior Mechanical Engineer - Durability")</f>
        <v>Senior Mechanical Engineer - Durability</v>
      </c>
      <c r="D1154" s="45" t="s">
        <v>448</v>
      </c>
      <c r="E1154" s="47">
        <v>44385.785868055558</v>
      </c>
      <c r="F1154" s="45" t="s">
        <v>679</v>
      </c>
    </row>
    <row r="1155" spans="1:6" ht="14.25">
      <c r="A1155" s="45"/>
      <c r="B1155" s="45" t="s">
        <v>165</v>
      </c>
      <c r="C1155" s="46" t="str">
        <f>HYPERLINK("https://au.indeed.com/viewjob?jk=2aa0292032df44fd","Lead Mechanical Engineer Water")</f>
        <v>Lead Mechanical Engineer Water</v>
      </c>
      <c r="D1155" s="45" t="s">
        <v>682</v>
      </c>
      <c r="E1155" s="47">
        <v>44385.785902777781</v>
      </c>
      <c r="F1155" s="45" t="s">
        <v>679</v>
      </c>
    </row>
    <row r="1156" spans="1:6" ht="14.25">
      <c r="A1156" s="45"/>
      <c r="B1156" s="45" t="s">
        <v>165</v>
      </c>
      <c r="C1156" s="46" t="str">
        <f>HYPERLINK("https://au.indeed.com/viewjob?jk=eb92b7ee0a05a593","Senior Mechanical Engineer")</f>
        <v>Senior Mechanical Engineer</v>
      </c>
      <c r="D1156" s="45" t="s">
        <v>687</v>
      </c>
      <c r="E1156" s="47">
        <v>44385.78597222222</v>
      </c>
      <c r="F1156" s="45" t="s">
        <v>679</v>
      </c>
    </row>
    <row r="1157" spans="1:6" ht="14.25">
      <c r="A1157" s="45"/>
      <c r="B1157" s="45" t="s">
        <v>165</v>
      </c>
      <c r="C1157" s="46" t="str">
        <f>HYPERLINK("https://au.indeed.com/viewjob?jk=bf35928e443a2fde","Mechanical Project Engineer")</f>
        <v>Mechanical Project Engineer</v>
      </c>
      <c r="D1157" s="45" t="s">
        <v>688</v>
      </c>
      <c r="E1157" s="47">
        <v>44385.786030092589</v>
      </c>
      <c r="F1157" s="45" t="s">
        <v>679</v>
      </c>
    </row>
    <row r="1158" spans="1:6" ht="14.25">
      <c r="A1158" s="45"/>
      <c r="B1158" s="45" t="s">
        <v>165</v>
      </c>
      <c r="C1158" s="46" t="str">
        <f>HYPERLINK("https://au.indeed.com/viewjob?jk=c90248a10e7c5578","Senior Mechanical Engineer")</f>
        <v>Senior Mechanical Engineer</v>
      </c>
      <c r="D1158" s="45" t="s">
        <v>512</v>
      </c>
      <c r="E1158" s="47">
        <v>44385.786597222221</v>
      </c>
      <c r="F1158" s="45" t="s">
        <v>679</v>
      </c>
    </row>
    <row r="1159" spans="1:6" ht="14.25">
      <c r="A1159" s="45"/>
      <c r="B1159" s="45" t="s">
        <v>165</v>
      </c>
      <c r="C1159" s="46" t="str">
        <f>HYPERLINK("https://au.indeed.com/viewjob?jk=bd364e0df96ada1b","Mechanical Engineer - Combined Services and Space Proofing")</f>
        <v>Mechanical Engineer - Combined Services and Space Proofing</v>
      </c>
      <c r="D1159" s="45" t="s">
        <v>448</v>
      </c>
      <c r="E1159" s="47">
        <v>44385.78665509259</v>
      </c>
      <c r="F1159" s="45" t="s">
        <v>679</v>
      </c>
    </row>
    <row r="1160" spans="1:6" ht="14.25">
      <c r="A1160" s="45"/>
      <c r="B1160" s="45" t="s">
        <v>165</v>
      </c>
      <c r="C1160" s="46" t="str">
        <f>HYPERLINK("https://au.indeed.com/viewjob?jk=252416abd4827076","Mechanical Project Engineer")</f>
        <v>Mechanical Project Engineer</v>
      </c>
      <c r="D1160" s="45" t="s">
        <v>501</v>
      </c>
      <c r="E1160" s="47">
        <v>44385.787233796298</v>
      </c>
      <c r="F1160" s="45" t="s">
        <v>679</v>
      </c>
    </row>
    <row r="1161" spans="1:6" ht="14.25">
      <c r="A1161" s="45"/>
      <c r="B1161" s="45" t="s">
        <v>165</v>
      </c>
      <c r="C1161" s="46" t="str">
        <f>HYPERLINK("https://au.indeed.com/viewjob?jk=690e0e10e4db3c3f","Mechanical Design Engineer")</f>
        <v>Mechanical Design Engineer</v>
      </c>
      <c r="D1161" s="45" t="s">
        <v>691</v>
      </c>
      <c r="E1161" s="47">
        <v>44385.787268518521</v>
      </c>
      <c r="F1161" s="45" t="s">
        <v>679</v>
      </c>
    </row>
    <row r="1162" spans="1:6" ht="14.25">
      <c r="A1162" s="45"/>
      <c r="B1162" s="45" t="s">
        <v>165</v>
      </c>
      <c r="C1162" s="46" t="str">
        <f>HYPERLINK("https://au.indeed.com/viewjob?jk=9b4c3d8360131763","HVAC Mechanical Engineer/Estimator")</f>
        <v>HVAC Mechanical Engineer/Estimator</v>
      </c>
      <c r="D1162" s="45" t="s">
        <v>680</v>
      </c>
      <c r="E1162" s="47">
        <v>44385.787638888891</v>
      </c>
      <c r="F1162" s="45" t="s">
        <v>679</v>
      </c>
    </row>
    <row r="1163" spans="1:6" ht="14.25">
      <c r="A1163" s="45"/>
      <c r="B1163" s="45" t="s">
        <v>165</v>
      </c>
      <c r="C1163" s="46" t="str">
        <f>HYPERLINK("https://au.indeed.com/viewjob?jk=ee505fbc96378d05","Mechanical / Systems Project Engineer")</f>
        <v>Mechanical / Systems Project Engineer</v>
      </c>
      <c r="D1163" s="45" t="s">
        <v>692</v>
      </c>
      <c r="E1163" s="47">
        <v>44385.78769675926</v>
      </c>
      <c r="F1163" s="45" t="s">
        <v>679</v>
      </c>
    </row>
    <row r="1164" spans="1:6" ht="14.25">
      <c r="A1164" s="45"/>
      <c r="B1164" s="45" t="s">
        <v>165</v>
      </c>
      <c r="C1164" s="46" t="str">
        <f>HYPERLINK("https://au.indeed.com/viewjob?jk=9640961b535b6231","Mechanical Engineer - Air Monitoring")</f>
        <v>Mechanical Engineer - Air Monitoring</v>
      </c>
      <c r="D1164" s="45" t="s">
        <v>448</v>
      </c>
      <c r="E1164" s="47">
        <v>44385.788587962961</v>
      </c>
      <c r="F1164" s="45" t="s">
        <v>679</v>
      </c>
    </row>
    <row r="1165" spans="1:6" ht="14.25">
      <c r="A1165" s="45"/>
      <c r="B1165" s="45" t="s">
        <v>165</v>
      </c>
      <c r="C1165" s="46" t="str">
        <f>HYPERLINK("https://au.indeed.com/viewjob?jk=93d9495cb10caf69","Mechanical Engineer")</f>
        <v>Mechanical Engineer</v>
      </c>
      <c r="D1165" s="45" t="s">
        <v>517</v>
      </c>
      <c r="E1165" s="47">
        <v>44385.789768518516</v>
      </c>
      <c r="F1165" s="45" t="s">
        <v>679</v>
      </c>
    </row>
    <row r="1166" spans="1:6" ht="14.25">
      <c r="A1166" s="45"/>
      <c r="B1166" s="45" t="s">
        <v>165</v>
      </c>
      <c r="C1166" s="46" t="str">
        <f>HYPERLINK("https://au.indeed.com/viewjob?jk=eb0c6f3375ef7453","Senior Electrical and Mechanical Engineer")</f>
        <v>Senior Electrical and Mechanical Engineer</v>
      </c>
      <c r="D1166" s="45" t="s">
        <v>696</v>
      </c>
      <c r="E1166" s="47">
        <v>44385.790081018517</v>
      </c>
      <c r="F1166" s="45" t="s">
        <v>679</v>
      </c>
    </row>
    <row r="1167" spans="1:6" ht="14.25">
      <c r="A1167" s="45"/>
      <c r="B1167" s="45" t="s">
        <v>165</v>
      </c>
      <c r="C1167" s="46" t="str">
        <f>HYPERLINK("https://au.indeed.com/viewjob?jk=827bbca73acc9162","Senior Mechanical Design Engineer")</f>
        <v>Senior Mechanical Design Engineer</v>
      </c>
      <c r="D1167" s="45" t="s">
        <v>414</v>
      </c>
      <c r="E1167" s="47">
        <v>44385.790127314816</v>
      </c>
      <c r="F1167" s="45" t="s">
        <v>679</v>
      </c>
    </row>
    <row r="1168" spans="1:6" ht="14.25">
      <c r="A1168" s="45"/>
      <c r="B1168" s="45" t="s">
        <v>165</v>
      </c>
      <c r="C1168" s="46" t="str">
        <f>HYPERLINK("https://au.indeed.com/viewjob?jk=b24cbd83a392f82a","Mechanical Engineer - Drainage Pump")</f>
        <v>Mechanical Engineer - Drainage Pump</v>
      </c>
      <c r="D1168" s="45" t="s">
        <v>448</v>
      </c>
      <c r="E1168" s="47">
        <v>44385.790173611109</v>
      </c>
      <c r="F1168" s="45" t="s">
        <v>679</v>
      </c>
    </row>
    <row r="1169" spans="1:6" ht="14.25">
      <c r="A1169" s="45"/>
      <c r="B1169" s="45" t="s">
        <v>165</v>
      </c>
      <c r="C1169" s="46" t="str">
        <f>HYPERLINK("https://au.indeed.com/viewjob?jk=48a2f2338bc455df","Senior Mechanical Engineer - Drainage Pump")</f>
        <v>Senior Mechanical Engineer - Drainage Pump</v>
      </c>
      <c r="D1169" s="45" t="s">
        <v>448</v>
      </c>
      <c r="E1169" s="47">
        <v>44385.790208333332</v>
      </c>
      <c r="F1169" s="45" t="s">
        <v>679</v>
      </c>
    </row>
    <row r="1170" spans="1:6" ht="14.25">
      <c r="A1170" s="45"/>
      <c r="B1170" s="45" t="s">
        <v>165</v>
      </c>
      <c r="C1170" s="46" t="str">
        <f>HYPERLINK("https://au.indeed.com/viewjob?jk=ea26336b19947a9e","Senior Mechanical Design Engineer")</f>
        <v>Senior Mechanical Design Engineer</v>
      </c>
      <c r="D1170" s="45" t="s">
        <v>691</v>
      </c>
      <c r="E1170" s="47">
        <v>44385.790520833332</v>
      </c>
      <c r="F1170" s="45" t="s">
        <v>679</v>
      </c>
    </row>
    <row r="1171" spans="1:6" ht="14.25">
      <c r="A1171" s="45"/>
      <c r="B1171" s="45" t="s">
        <v>165</v>
      </c>
      <c r="C1171" s="46" t="str">
        <f>HYPERLINK("https://au.indeed.com/viewjob?jk=8228b8def3e22780","Mechanical Engineer - Combined Services and Space Proofing")</f>
        <v>Mechanical Engineer - Combined Services and Space Proofing</v>
      </c>
      <c r="D1171" s="45" t="s">
        <v>448</v>
      </c>
      <c r="E1171" s="47">
        <v>44385.791400462964</v>
      </c>
      <c r="F1171" s="45" t="s">
        <v>679</v>
      </c>
    </row>
    <row r="1172" spans="1:6" ht="14.25">
      <c r="A1172" s="45"/>
      <c r="B1172" s="45" t="s">
        <v>165</v>
      </c>
      <c r="C1172" s="46" t="str">
        <f>HYPERLINK("https://au.indeed.com/viewjob?jk=36bd6b669422b7e7","Mechanical Systems Engineer - Phase 6 - Sea 2048")</f>
        <v>Mechanical Systems Engineer - Phase 6 - Sea 2048</v>
      </c>
      <c r="D1172" s="45" t="s">
        <v>448</v>
      </c>
      <c r="E1172" s="47">
        <v>44385.791689814818</v>
      </c>
      <c r="F1172" s="45" t="s">
        <v>679</v>
      </c>
    </row>
    <row r="1173" spans="1:6" ht="14.25">
      <c r="A1173" s="45"/>
      <c r="B1173" s="45" t="s">
        <v>165</v>
      </c>
      <c r="C1173" s="46" t="str">
        <f>HYPERLINK("https://au.indeed.com/viewjob?jk=1ae93d196ea97f61","Mechanical Engineer - Tunnel MVAC")</f>
        <v>Mechanical Engineer - Tunnel MVAC</v>
      </c>
      <c r="D1173" s="45" t="s">
        <v>448</v>
      </c>
      <c r="E1173" s="47">
        <v>44385.792870370373</v>
      </c>
      <c r="F1173" s="45" t="s">
        <v>679</v>
      </c>
    </row>
    <row r="1174" spans="1:6" ht="14.25">
      <c r="A1174" s="45"/>
      <c r="B1174" s="45" t="s">
        <v>165</v>
      </c>
      <c r="C1174" s="46" t="str">
        <f>HYPERLINK("https://au.indeed.com/viewjob?jk=1fc8180cb1231075","2nd Year Apprentice Engineer- Mechanical Trade")</f>
        <v>2nd Year Apprentice Engineer- Mechanical Trade</v>
      </c>
      <c r="D1174" s="45" t="s">
        <v>697</v>
      </c>
      <c r="E1174" s="47">
        <v>44385.792939814812</v>
      </c>
      <c r="F1174" s="45" t="s">
        <v>679</v>
      </c>
    </row>
    <row r="1175" spans="1:6" ht="14.25">
      <c r="A1175" s="45"/>
      <c r="B1175" s="45" t="s">
        <v>165</v>
      </c>
      <c r="C1175" s="46" t="str">
        <f>HYPERLINK("https://au.indeed.com/viewjob?jk=367f2b26d7278fc7","Expressions of Interest: Structural, Mechanical, Electrical and Process Engineers")</f>
        <v>Expressions of Interest: Structural, Mechanical, Electrical and Process Engineers</v>
      </c>
      <c r="D1175" s="45" t="s">
        <v>496</v>
      </c>
      <c r="E1175" s="47">
        <v>44385.792986111112</v>
      </c>
      <c r="F1175" s="45" t="s">
        <v>679</v>
      </c>
    </row>
    <row r="1176" spans="1:6" ht="14.25">
      <c r="A1176" s="45"/>
      <c r="B1176" s="45" t="s">
        <v>165</v>
      </c>
      <c r="C1176" s="46" t="str">
        <f>HYPERLINK("https://au.indeed.com/viewjob?jk=fbdd55293cee59da","Senior Mechanical Design Engineer")</f>
        <v>Senior Mechanical Design Engineer</v>
      </c>
      <c r="D1176" s="45" t="s">
        <v>414</v>
      </c>
      <c r="E1176" s="47">
        <v>44385.793032407404</v>
      </c>
      <c r="F1176" s="45" t="s">
        <v>679</v>
      </c>
    </row>
    <row r="1177" spans="1:6" ht="14.25">
      <c r="A1177" s="45"/>
      <c r="B1177" s="45" t="s">
        <v>165</v>
      </c>
      <c r="C1177" s="46" t="str">
        <f>HYPERLINK("https://au.indeed.com/viewjob?jk=01e01843bd8bc03d","Mechanical Engineer - Tunnel Ventilation")</f>
        <v>Mechanical Engineer - Tunnel Ventilation</v>
      </c>
      <c r="D1177" s="45" t="s">
        <v>448</v>
      </c>
      <c r="E1177" s="47">
        <v>44385.793321759258</v>
      </c>
      <c r="F1177" s="45" t="s">
        <v>679</v>
      </c>
    </row>
    <row r="1178" spans="1:6" ht="14.25">
      <c r="A1178" s="45"/>
      <c r="B1178" s="45" t="s">
        <v>217</v>
      </c>
      <c r="C1178" s="46" t="str">
        <f>HYPERLINK("https://au.indeed.com/viewjob?jk=47bb051d27e9707f","Graduate Asset Engineer")</f>
        <v>Graduate Asset Engineer</v>
      </c>
      <c r="D1178" s="45" t="s">
        <v>698</v>
      </c>
      <c r="E1178" s="47">
        <v>44385.793402777781</v>
      </c>
      <c r="F1178" s="45" t="s">
        <v>679</v>
      </c>
    </row>
    <row r="1179" spans="1:6" ht="14.25">
      <c r="A1179" s="45"/>
      <c r="B1179" s="45" t="s">
        <v>217</v>
      </c>
      <c r="C1179" s="46" t="str">
        <f>HYPERLINK("https://au.indeed.com/viewjob?jk=8c7065460ca5b4c3","Asset Engineer")</f>
        <v>Asset Engineer</v>
      </c>
      <c r="D1179" s="45" t="s">
        <v>461</v>
      </c>
      <c r="E1179" s="47">
        <v>44385.793703703705</v>
      </c>
      <c r="F1179" s="45" t="s">
        <v>679</v>
      </c>
    </row>
    <row r="1180" spans="1:6" ht="14.25">
      <c r="A1180" s="45"/>
      <c r="B1180" s="45" t="s">
        <v>217</v>
      </c>
      <c r="C1180" s="46" t="str">
        <f>HYPERLINK("https://au.indeed.com/viewjob?jk=a65cd1c308e1ff95","Asset Systems Engineer")</f>
        <v>Asset Systems Engineer</v>
      </c>
      <c r="D1180" s="45" t="s">
        <v>698</v>
      </c>
      <c r="E1180" s="47">
        <v>44385.793749999997</v>
      </c>
      <c r="F1180" s="45" t="s">
        <v>679</v>
      </c>
    </row>
    <row r="1181" spans="1:6" ht="14.25">
      <c r="A1181" s="45"/>
      <c r="B1181" s="45" t="s">
        <v>217</v>
      </c>
      <c r="C1181" s="46" t="str">
        <f>HYPERLINK("https://au.indeed.com/viewjob?jk=36bf3b7430421dcf","Asset Systems Engineer")</f>
        <v>Asset Systems Engineer</v>
      </c>
      <c r="D1181" s="45" t="s">
        <v>699</v>
      </c>
      <c r="E1181" s="47">
        <v>44385.793796296297</v>
      </c>
      <c r="F1181" s="45" t="s">
        <v>679</v>
      </c>
    </row>
    <row r="1182" spans="1:6" ht="14.25">
      <c r="A1182" s="45"/>
      <c r="B1182" s="45" t="s">
        <v>217</v>
      </c>
      <c r="C1182" s="46" t="str">
        <f>HYPERLINK("https://au.indeed.com/viewjob?jk=fab2485cc0be27d6","Asset Planning Engineer")</f>
        <v>Asset Planning Engineer</v>
      </c>
      <c r="D1182" s="45" t="s">
        <v>700</v>
      </c>
      <c r="E1182" s="47">
        <v>44385.793842592589</v>
      </c>
      <c r="F1182" s="45" t="s">
        <v>679</v>
      </c>
    </row>
    <row r="1183" spans="1:6" ht="14.25">
      <c r="A1183" s="45"/>
      <c r="B1183" s="45" t="s">
        <v>162</v>
      </c>
      <c r="C1183" s="46" t="str">
        <f>HYPERLINK("https://au.indeed.com/viewjob?jk=37727f3613ba3560","Design Engineer Precast")</f>
        <v>Design Engineer Precast</v>
      </c>
      <c r="D1183" s="45" t="s">
        <v>701</v>
      </c>
      <c r="E1183" s="47">
        <v>44385.794421296298</v>
      </c>
      <c r="F1183" s="45" t="s">
        <v>679</v>
      </c>
    </row>
    <row r="1184" spans="1:6" ht="14.25">
      <c r="A1184" s="45"/>
      <c r="B1184" s="45" t="s">
        <v>162</v>
      </c>
      <c r="C1184" s="46" t="str">
        <f>HYPERLINK("https://au.indeed.com/viewjob?jk=67bb9dda029fd3f7","Senior Design Engineer*")</f>
        <v>Senior Design Engineer*</v>
      </c>
      <c r="D1184" s="45" t="s">
        <v>702</v>
      </c>
      <c r="E1184" s="47">
        <v>44385.794479166667</v>
      </c>
      <c r="F1184" s="45" t="s">
        <v>679</v>
      </c>
    </row>
    <row r="1185" spans="1:6" ht="14.25">
      <c r="A1185" s="45"/>
      <c r="B1185" s="45" t="s">
        <v>162</v>
      </c>
      <c r="C1185" s="46" t="str">
        <f>HYPERLINK("https://au.indeed.com/viewjob?jk=5d0fb87c0ebbbbe9","Design Engineer")</f>
        <v>Design Engineer</v>
      </c>
      <c r="D1185" s="45" t="s">
        <v>703</v>
      </c>
      <c r="E1185" s="47">
        <v>44385.794537037036</v>
      </c>
      <c r="F1185" s="45" t="s">
        <v>679</v>
      </c>
    </row>
    <row r="1186" spans="1:6" ht="14.25">
      <c r="A1186" s="45"/>
      <c r="B1186" s="45" t="s">
        <v>162</v>
      </c>
      <c r="C1186" s="46" t="str">
        <f>HYPERLINK("https://au.indeed.com/viewjob?jk=468b980c3b142cb7","Mechanical Design Engineer")</f>
        <v>Mechanical Design Engineer</v>
      </c>
      <c r="D1186" s="45" t="s">
        <v>678</v>
      </c>
      <c r="E1186" s="47">
        <v>44385.795347222222</v>
      </c>
      <c r="F1186" s="45" t="s">
        <v>679</v>
      </c>
    </row>
    <row r="1187" spans="1:6" ht="14.25">
      <c r="A1187" s="45"/>
      <c r="B1187" s="45" t="s">
        <v>162</v>
      </c>
      <c r="C1187" s="46" t="str">
        <f>HYPERLINK("https://au.indeed.com/viewjob?jk=7af3e92a385abcf5","Design Engineer – PD")</f>
        <v>Design Engineer – PD</v>
      </c>
      <c r="D1187" s="45" t="s">
        <v>704</v>
      </c>
      <c r="E1187" s="47">
        <v>44385.795393518521</v>
      </c>
      <c r="F1187" s="45" t="s">
        <v>679</v>
      </c>
    </row>
    <row r="1188" spans="1:6" ht="14.25">
      <c r="A1188" s="45"/>
      <c r="B1188" s="45" t="s">
        <v>162</v>
      </c>
      <c r="C1188" s="46" t="str">
        <f>HYPERLINK("https://au.indeed.com/viewjob?jk=2c125ed707fa2b88","Civil Design Engineer")</f>
        <v>Civil Design Engineer</v>
      </c>
      <c r="D1188" s="45" t="s">
        <v>546</v>
      </c>
      <c r="E1188" s="47">
        <v>44385.795439814814</v>
      </c>
      <c r="F1188" s="45" t="s">
        <v>679</v>
      </c>
    </row>
    <row r="1189" spans="1:6" ht="14.25">
      <c r="A1189" s="45"/>
      <c r="B1189" s="45" t="s">
        <v>162</v>
      </c>
      <c r="C1189" s="46" t="str">
        <f>HYPERLINK("https://au.indeed.com/viewjob?jk=a472c63618686c7c","SAED Design Engineer CPEng")</f>
        <v>SAED Design Engineer CPEng</v>
      </c>
      <c r="D1189" s="45" t="s">
        <v>461</v>
      </c>
      <c r="E1189" s="47">
        <v>44385.796539351853</v>
      </c>
      <c r="F1189" s="45" t="s">
        <v>679</v>
      </c>
    </row>
    <row r="1190" spans="1:6" ht="14.25">
      <c r="A1190" s="45"/>
      <c r="B1190" s="45" t="s">
        <v>162</v>
      </c>
      <c r="C1190" s="46" t="str">
        <f>HYPERLINK("https://au.indeed.com/viewjob?jk=88efc8c92dba7fe5","SAED - Design Engineer")</f>
        <v>SAED - Design Engineer</v>
      </c>
      <c r="D1190" s="45" t="s">
        <v>705</v>
      </c>
      <c r="E1190" s="47">
        <v>44385.796574074076</v>
      </c>
      <c r="F1190" s="45" t="s">
        <v>679</v>
      </c>
    </row>
    <row r="1191" spans="1:6" ht="14.25">
      <c r="A1191" s="45"/>
      <c r="B1191" s="45" t="s">
        <v>162</v>
      </c>
      <c r="C1191" s="46" t="str">
        <f>HYPERLINK("https://au.indeed.com/viewjob?jk=f4b138745e9efbed","Fire Design Engineer")</f>
        <v>Fire Design Engineer</v>
      </c>
      <c r="D1191" s="45" t="s">
        <v>549</v>
      </c>
      <c r="E1191" s="47">
        <v>44385.796620370369</v>
      </c>
      <c r="F1191" s="45" t="s">
        <v>679</v>
      </c>
    </row>
    <row r="1192" spans="1:6" ht="14.25">
      <c r="A1192" s="45"/>
      <c r="B1192" s="45" t="s">
        <v>165</v>
      </c>
      <c r="C1192" s="46" t="str">
        <f>HYPERLINK("https://au.indeed.com/viewjob?jk=690e0e10e4db3c3f","Mechanical Design Engineer")</f>
        <v>Mechanical Design Engineer</v>
      </c>
      <c r="D1192" s="45" t="s">
        <v>691</v>
      </c>
      <c r="E1192" s="47">
        <v>44386.893206018518</v>
      </c>
      <c r="F1192" s="45" t="s">
        <v>679</v>
      </c>
    </row>
    <row r="1193" spans="1:6" ht="14.25">
      <c r="A1193" s="45"/>
      <c r="B1193" s="45" t="s">
        <v>165</v>
      </c>
      <c r="C1193" s="46" t="str">
        <f>HYPERLINK("https://au.indeed.com/viewjob?jk=468b980c3b142cb7","Mechanical Design Engineer")</f>
        <v>Mechanical Design Engineer</v>
      </c>
      <c r="D1193" s="45" t="s">
        <v>678</v>
      </c>
      <c r="E1193" s="47">
        <v>44386.893310185187</v>
      </c>
      <c r="F1193" s="45" t="s">
        <v>679</v>
      </c>
    </row>
    <row r="1194" spans="1:6" ht="14.25">
      <c r="A1194" s="45"/>
      <c r="B1194" s="45" t="s">
        <v>165</v>
      </c>
      <c r="C1194" s="46" t="str">
        <f>HYPERLINK("https://au.indeed.com/viewjob?jk=9b4c3d8360131763","HVAC Mechanical Engineer/Estimator")</f>
        <v>HVAC Mechanical Engineer/Estimator</v>
      </c>
      <c r="D1194" s="45" t="s">
        <v>680</v>
      </c>
      <c r="E1194" s="47">
        <v>44386.89340277778</v>
      </c>
      <c r="F1194" s="45" t="s">
        <v>679</v>
      </c>
    </row>
    <row r="1195" spans="1:6" ht="14.25">
      <c r="A1195" s="45"/>
      <c r="B1195" s="45" t="s">
        <v>165</v>
      </c>
      <c r="C1195" s="46" t="str">
        <f>HYPERLINK("https://au.indeed.com/viewjob?jk=506be2f17c80de82","Mechanical Engineer - Steelwork")</f>
        <v>Mechanical Engineer - Steelwork</v>
      </c>
      <c r="D1195" s="45" t="s">
        <v>448</v>
      </c>
      <c r="E1195" s="47">
        <v>44386.893506944441</v>
      </c>
      <c r="F1195" s="45" t="s">
        <v>679</v>
      </c>
    </row>
    <row r="1196" spans="1:6" ht="14.25">
      <c r="A1196" s="45"/>
      <c r="B1196" s="45" t="s">
        <v>165</v>
      </c>
      <c r="C1196" s="46" t="str">
        <f>HYPERLINK("https://au.indeed.com/viewjob?jk=ee505fbc96378d05","Mechanical / Systems Project Engineer")</f>
        <v>Mechanical / Systems Project Engineer</v>
      </c>
      <c r="D1196" s="45" t="s">
        <v>692</v>
      </c>
      <c r="E1196" s="47">
        <v>44386.893611111111</v>
      </c>
      <c r="F1196" s="45" t="s">
        <v>679</v>
      </c>
    </row>
    <row r="1197" spans="1:6" ht="14.25">
      <c r="A1197" s="45"/>
      <c r="B1197" s="45" t="s">
        <v>165</v>
      </c>
      <c r="C1197" s="46" t="str">
        <f>HYPERLINK("https://au.indeed.com/viewjob?jk=810c03e5deafb666","Mechanical Process Engineer")</f>
        <v>Mechanical Process Engineer</v>
      </c>
      <c r="D1197" s="45" t="s">
        <v>447</v>
      </c>
      <c r="E1197" s="47">
        <v>44386.89398148148</v>
      </c>
      <c r="F1197" s="45" t="s">
        <v>679</v>
      </c>
    </row>
    <row r="1198" spans="1:6" ht="14.25">
      <c r="A1198" s="45"/>
      <c r="B1198" s="45" t="s">
        <v>165</v>
      </c>
      <c r="C1198" s="46" t="str">
        <f>HYPERLINK("https://au.indeed.com/viewjob?jk=7d1bad010cd3e856","Graduate Engineer | Mechanical or Mechatronics")</f>
        <v>Graduate Engineer | Mechanical or Mechatronics</v>
      </c>
      <c r="D1198" s="45" t="s">
        <v>681</v>
      </c>
      <c r="E1198" s="47">
        <v>44386.894803240742</v>
      </c>
      <c r="F1198" s="45" t="s">
        <v>679</v>
      </c>
    </row>
    <row r="1199" spans="1:6" ht="14.25">
      <c r="A1199" s="45"/>
      <c r="B1199" s="45" t="s">
        <v>165</v>
      </c>
      <c r="C1199" s="46" t="str">
        <f>HYPERLINK("https://au.indeed.com/viewjob?jk=9a6d19a899dcc1fd","Mechanical Design Engineer")</f>
        <v>Mechanical Design Engineer</v>
      </c>
      <c r="D1199" s="45" t="s">
        <v>414</v>
      </c>
      <c r="E1199" s="47">
        <v>44386.894930555558</v>
      </c>
      <c r="F1199" s="45" t="s">
        <v>679</v>
      </c>
    </row>
    <row r="1200" spans="1:6" ht="14.25">
      <c r="A1200" s="45"/>
      <c r="B1200" s="45" t="s">
        <v>165</v>
      </c>
      <c r="C1200" s="46" t="str">
        <f>HYPERLINK("https://au.indeed.com/viewjob?jk=3d49a723fa123448","Senior Mechanical Engineer")</f>
        <v>Senior Mechanical Engineer</v>
      </c>
      <c r="D1200" s="45" t="s">
        <v>356</v>
      </c>
      <c r="E1200" s="47">
        <v>44386.89502314815</v>
      </c>
      <c r="F1200" s="45" t="s">
        <v>679</v>
      </c>
    </row>
    <row r="1201" spans="1:6" ht="14.25">
      <c r="A1201" s="45"/>
      <c r="B1201" s="45" t="s">
        <v>165</v>
      </c>
      <c r="C1201" s="46" t="str">
        <f>HYPERLINK("https://au.indeed.com/viewjob?jk=e058ad2649cce47f","Mechanical Engineer")</f>
        <v>Mechanical Engineer</v>
      </c>
      <c r="D1201" s="45" t="s">
        <v>355</v>
      </c>
      <c r="E1201" s="47">
        <v>44386.895138888889</v>
      </c>
      <c r="F1201" s="45" t="s">
        <v>679</v>
      </c>
    </row>
    <row r="1202" spans="1:6" ht="14.25">
      <c r="A1202" s="45"/>
      <c r="B1202" s="45" t="s">
        <v>165</v>
      </c>
      <c r="C1202" s="46" t="str">
        <f>HYPERLINK("https://au.indeed.com/viewjob?jk=545a71070759f738","Mechanical Engineer")</f>
        <v>Mechanical Engineer</v>
      </c>
      <c r="D1202" s="45" t="s">
        <v>355</v>
      </c>
      <c r="E1202" s="47">
        <v>44386.895243055558</v>
      </c>
      <c r="F1202" s="45" t="s">
        <v>679</v>
      </c>
    </row>
    <row r="1203" spans="1:6" ht="14.25">
      <c r="A1203" s="45"/>
      <c r="B1203" s="45" t="s">
        <v>165</v>
      </c>
      <c r="C1203" s="46" t="str">
        <f>HYPERLINK("https://au.indeed.com/viewjob?jk=31ecf266d521cbb1","Senior Mechanical Engineer")</f>
        <v>Senior Mechanical Engineer</v>
      </c>
      <c r="D1203" s="45" t="s">
        <v>447</v>
      </c>
      <c r="E1203" s="47">
        <v>44386.895335648151</v>
      </c>
      <c r="F1203" s="45" t="s">
        <v>679</v>
      </c>
    </row>
    <row r="1204" spans="1:6" ht="14.25">
      <c r="A1204" s="45"/>
      <c r="B1204" s="45" t="s">
        <v>165</v>
      </c>
      <c r="C1204" s="46" t="str">
        <f>HYPERLINK("https://au.indeed.com/viewjob?jk=510101d27ddc52a8","Mechanical Design Engineer - Data Centers")</f>
        <v>Mechanical Design Engineer - Data Centers</v>
      </c>
      <c r="D1204" s="45" t="s">
        <v>423</v>
      </c>
      <c r="E1204" s="47">
        <v>44386.896782407406</v>
      </c>
      <c r="F1204" s="45" t="s">
        <v>679</v>
      </c>
    </row>
    <row r="1205" spans="1:6" ht="14.25">
      <c r="A1205" s="45"/>
      <c r="B1205" s="45" t="s">
        <v>165</v>
      </c>
      <c r="C1205" s="46" t="str">
        <f>HYPERLINK("https://au.indeed.com/viewjob?jk=a5415543828f03d1","HVAC Mechanical Engineer/Estimator")</f>
        <v>HVAC Mechanical Engineer/Estimator</v>
      </c>
      <c r="D1205" s="45" t="s">
        <v>680</v>
      </c>
      <c r="E1205" s="47">
        <v>44386.896921296298</v>
      </c>
      <c r="F1205" s="45" t="s">
        <v>679</v>
      </c>
    </row>
    <row r="1206" spans="1:6" ht="14.25">
      <c r="A1206" s="45"/>
      <c r="B1206" s="45" t="s">
        <v>165</v>
      </c>
      <c r="C1206" s="46" t="str">
        <f>HYPERLINK("https://au.indeed.com/viewjob?jk=77b076684376462e","Mechanical Engineer - Hard Rock CTE")</f>
        <v>Mechanical Engineer - Hard Rock CTE</v>
      </c>
      <c r="D1206" s="45" t="s">
        <v>528</v>
      </c>
      <c r="E1206" s="47">
        <v>44386.897013888891</v>
      </c>
      <c r="F1206" s="45" t="s">
        <v>679</v>
      </c>
    </row>
    <row r="1207" spans="1:6" ht="14.25">
      <c r="A1207" s="45"/>
      <c r="B1207" s="45" t="s">
        <v>165</v>
      </c>
      <c r="C1207" s="46" t="str">
        <f>HYPERLINK("https://au.indeed.com/viewjob?jk=ce66c6aad54ec611","Mechanical Engineer")</f>
        <v>Mechanical Engineer</v>
      </c>
      <c r="D1207" s="45" t="s">
        <v>517</v>
      </c>
      <c r="E1207" s="47">
        <v>44386.897106481483</v>
      </c>
      <c r="F1207" s="45" t="s">
        <v>679</v>
      </c>
    </row>
    <row r="1208" spans="1:6" ht="14.25">
      <c r="A1208" s="45"/>
      <c r="B1208" s="45" t="s">
        <v>165</v>
      </c>
      <c r="C1208" s="46" t="str">
        <f>HYPERLINK("https://au.indeed.com/viewjob?jk=5b7c1b34396fb216","Senior Mechanical Engineer")</f>
        <v>Senior Mechanical Engineer</v>
      </c>
      <c r="D1208" s="45" t="s">
        <v>623</v>
      </c>
      <c r="E1208" s="47">
        <v>44386.897719907407</v>
      </c>
      <c r="F1208" s="45" t="s">
        <v>679</v>
      </c>
    </row>
    <row r="1209" spans="1:6" ht="14.25">
      <c r="A1209" s="45"/>
      <c r="B1209" s="45" t="s">
        <v>165</v>
      </c>
      <c r="C1209" s="46" t="str">
        <f>HYPERLINK("https://au.indeed.com/viewjob?jk=c90248a10e7c5578","Senior Mechanical Engineer")</f>
        <v>Senior Mechanical Engineer</v>
      </c>
      <c r="D1209" s="45" t="s">
        <v>512</v>
      </c>
      <c r="E1209" s="47">
        <v>44386.897835648146</v>
      </c>
      <c r="F1209" s="45" t="s">
        <v>679</v>
      </c>
    </row>
    <row r="1210" spans="1:6" ht="14.25">
      <c r="A1210" s="45"/>
      <c r="B1210" s="45" t="s">
        <v>165</v>
      </c>
      <c r="C1210" s="46" t="str">
        <f>HYPERLINK("https://au.indeed.com/viewjob?jk=087910b94e3483d1","Test Engineer (Mechanical)")</f>
        <v>Test Engineer (Mechanical)</v>
      </c>
      <c r="D1210" s="45" t="s">
        <v>693</v>
      </c>
      <c r="E1210" s="47">
        <v>44386.897939814815</v>
      </c>
      <c r="F1210" s="45" t="s">
        <v>679</v>
      </c>
    </row>
    <row r="1211" spans="1:6" ht="14.25">
      <c r="A1211" s="45"/>
      <c r="B1211" s="45" t="s">
        <v>165</v>
      </c>
      <c r="C1211" s="46" t="str">
        <f>HYPERLINK("https://au.indeed.com/viewjob?jk=2779daa21182e860","Mechanical Reliability Engineer")</f>
        <v>Mechanical Reliability Engineer</v>
      </c>
      <c r="D1211" s="45" t="s">
        <v>683</v>
      </c>
      <c r="E1211" s="47">
        <v>44386.898043981484</v>
      </c>
      <c r="F1211" s="45" t="s">
        <v>679</v>
      </c>
    </row>
    <row r="1212" spans="1:6" ht="14.25">
      <c r="A1212" s="45"/>
      <c r="B1212" s="45" t="s">
        <v>165</v>
      </c>
      <c r="C1212" s="46" t="str">
        <f>HYPERLINK("https://au.indeed.com/viewjob?jk=c91f3decac1834f3","MECHANICAL ENGINEER")</f>
        <v>MECHANICAL ENGINEER</v>
      </c>
      <c r="D1212" s="45" t="s">
        <v>684</v>
      </c>
      <c r="E1212" s="47">
        <v>44386.8984375</v>
      </c>
      <c r="F1212" s="45" t="s">
        <v>679</v>
      </c>
    </row>
    <row r="1213" spans="1:6" ht="14.25">
      <c r="A1213" s="45"/>
      <c r="B1213" s="45" t="s">
        <v>165</v>
      </c>
      <c r="C1213" s="46" t="str">
        <f>HYPERLINK("https://au.indeed.com/viewjob?jk=ddd8f5fe8ef0aeec","Test Engineer (Mechanical)")</f>
        <v>Test Engineer (Mechanical)</v>
      </c>
      <c r="D1213" s="45" t="s">
        <v>694</v>
      </c>
      <c r="E1213" s="47">
        <v>44386.898541666669</v>
      </c>
      <c r="F1213" s="45" t="s">
        <v>679</v>
      </c>
    </row>
    <row r="1214" spans="1:6" ht="14.25">
      <c r="A1214" s="45"/>
      <c r="B1214" s="45" t="s">
        <v>165</v>
      </c>
      <c r="C1214" s="46" t="str">
        <f>HYPERLINK("https://au.indeed.com/viewjob?jk=37d9a384641775ef","Fleet Engineers - Mechanical &amp; Electrical")</f>
        <v>Fleet Engineers - Mechanical &amp; Electrical</v>
      </c>
      <c r="D1214" s="45" t="s">
        <v>448</v>
      </c>
      <c r="E1214" s="47">
        <v>44386.898634259262</v>
      </c>
      <c r="F1214" s="45" t="s">
        <v>679</v>
      </c>
    </row>
    <row r="1215" spans="1:6" ht="14.25">
      <c r="A1215" s="45"/>
      <c r="B1215" s="45" t="s">
        <v>165</v>
      </c>
      <c r="C1215" s="46" t="str">
        <f>HYPERLINK("https://au.indeed.com/viewjob?jk=99a7080ffeccc0c4","Mechanical Engineer-CHPP")</f>
        <v>Mechanical Engineer-CHPP</v>
      </c>
      <c r="D1215" s="45" t="s">
        <v>685</v>
      </c>
      <c r="E1215" s="47">
        <v>44386.898726851854</v>
      </c>
      <c r="F1215" s="45" t="s">
        <v>679</v>
      </c>
    </row>
    <row r="1216" spans="1:6" ht="14.25">
      <c r="A1216" s="45"/>
      <c r="B1216" s="45" t="s">
        <v>165</v>
      </c>
      <c r="C1216" s="46" t="str">
        <f>HYPERLINK("https://au.indeed.com/viewjob?jk=815a1c1ff544cf96","Mechanical Reliability Engineer")</f>
        <v>Mechanical Reliability Engineer</v>
      </c>
      <c r="D1216" s="45" t="s">
        <v>683</v>
      </c>
      <c r="E1216" s="47">
        <v>44386.899594907409</v>
      </c>
      <c r="F1216" s="45" t="s">
        <v>679</v>
      </c>
    </row>
    <row r="1217" spans="1:6" ht="14.25">
      <c r="A1217" s="45"/>
      <c r="B1217" s="45" t="s">
        <v>165</v>
      </c>
      <c r="C1217" s="46" t="str">
        <f>HYPERLINK("https://au.indeed.com/viewjob?jk=20b1d98c41c54fc2","Mechanical Design Engineer")</f>
        <v>Mechanical Design Engineer</v>
      </c>
      <c r="D1217" s="45" t="s">
        <v>695</v>
      </c>
      <c r="E1217" s="47">
        <v>44386.900254629632</v>
      </c>
      <c r="F1217" s="45" t="s">
        <v>679</v>
      </c>
    </row>
    <row r="1218" spans="1:6" ht="14.25">
      <c r="A1218" s="45"/>
      <c r="B1218" s="45" t="s">
        <v>165</v>
      </c>
      <c r="C1218" s="46" t="str">
        <f>HYPERLINK("https://au.indeed.com/viewjob?jk=4717ab6c5d2772ec","Mechanical Engineer")</f>
        <v>Mechanical Engineer</v>
      </c>
      <c r="D1218" s="45" t="s">
        <v>623</v>
      </c>
      <c r="E1218" s="47">
        <v>44386.901608796295</v>
      </c>
      <c r="F1218" s="45" t="s">
        <v>679</v>
      </c>
    </row>
    <row r="1219" spans="1:6" ht="14.25">
      <c r="A1219" s="45"/>
      <c r="B1219" s="45" t="s">
        <v>165</v>
      </c>
      <c r="C1219" s="46" t="str">
        <f>HYPERLINK("https://au.indeed.com/viewjob?jk=b1fb59930fd8586e","Senior Mechanical Engineer - Durability")</f>
        <v>Senior Mechanical Engineer - Durability</v>
      </c>
      <c r="D1219" s="45" t="s">
        <v>448</v>
      </c>
      <c r="E1219" s="47">
        <v>44386.901712962965</v>
      </c>
      <c r="F1219" s="45" t="s">
        <v>679</v>
      </c>
    </row>
    <row r="1220" spans="1:6" ht="14.25">
      <c r="A1220" s="45"/>
      <c r="B1220" s="45" t="s">
        <v>165</v>
      </c>
      <c r="C1220" s="46" t="str">
        <f>HYPERLINK("https://au.indeed.com/viewjob?jk=2aa0292032df44fd","Lead Mechanical Engineer Water")</f>
        <v>Lead Mechanical Engineer Water</v>
      </c>
      <c r="D1220" s="45" t="s">
        <v>682</v>
      </c>
      <c r="E1220" s="47">
        <v>44386.901805555557</v>
      </c>
      <c r="F1220" s="45" t="s">
        <v>679</v>
      </c>
    </row>
    <row r="1221" spans="1:6" ht="14.25">
      <c r="A1221" s="45"/>
      <c r="B1221" s="45" t="s">
        <v>165</v>
      </c>
      <c r="C1221" s="46" t="str">
        <f>HYPERLINK("https://au.indeed.com/viewjob?jk=eb92b7ee0a05a593","Senior Mechanical Engineer")</f>
        <v>Senior Mechanical Engineer</v>
      </c>
      <c r="D1221" s="45" t="s">
        <v>687</v>
      </c>
      <c r="E1221" s="47">
        <v>44386.901898148149</v>
      </c>
      <c r="F1221" s="45" t="s">
        <v>679</v>
      </c>
    </row>
    <row r="1222" spans="1:6" ht="14.25">
      <c r="A1222" s="45"/>
      <c r="B1222" s="45" t="s">
        <v>165</v>
      </c>
      <c r="C1222" s="46" t="str">
        <f>HYPERLINK("https://au.indeed.com/viewjob?jk=bf35928e443a2fde","Mechanical Project Engineer")</f>
        <v>Mechanical Project Engineer</v>
      </c>
      <c r="D1222" s="45" t="s">
        <v>688</v>
      </c>
      <c r="E1222" s="47">
        <v>44386.902013888888</v>
      </c>
      <c r="F1222" s="45" t="s">
        <v>679</v>
      </c>
    </row>
    <row r="1223" spans="1:6" ht="14.25">
      <c r="A1223" s="45"/>
      <c r="B1223" s="45" t="s">
        <v>165</v>
      </c>
      <c r="C1223" s="46" t="str">
        <f>HYPERLINK("https://au.indeed.com/viewjob?jk=fbdd55293cee59da","Senior Mechanical Design Engineer")</f>
        <v>Senior Mechanical Design Engineer</v>
      </c>
      <c r="D1223" s="45" t="s">
        <v>414</v>
      </c>
      <c r="E1223" s="47">
        <v>44386.902118055557</v>
      </c>
      <c r="F1223" s="45" t="s">
        <v>679</v>
      </c>
    </row>
    <row r="1224" spans="1:6" ht="14.25">
      <c r="A1224" s="45"/>
      <c r="B1224" s="45" t="s">
        <v>165</v>
      </c>
      <c r="C1224" s="46" t="str">
        <f>HYPERLINK("https://au.indeed.com/viewjob?jk=bd364e0df96ada1b","Mechanical Engineer - Combined Services and Space Proofing")</f>
        <v>Mechanical Engineer - Combined Services and Space Proofing</v>
      </c>
      <c r="D1224" s="45" t="s">
        <v>448</v>
      </c>
      <c r="E1224" s="47">
        <v>44386.902511574073</v>
      </c>
      <c r="F1224" s="45" t="s">
        <v>679</v>
      </c>
    </row>
    <row r="1225" spans="1:6" ht="14.25">
      <c r="A1225" s="45"/>
      <c r="B1225" s="45" t="s">
        <v>165</v>
      </c>
      <c r="C1225" s="46" t="str">
        <f>HYPERLINK("https://au.indeed.com/viewjob?jk=9640961b535b6231","Mechanical Engineer - Air Monitoring")</f>
        <v>Mechanical Engineer - Air Monitoring</v>
      </c>
      <c r="D1225" s="45" t="s">
        <v>448</v>
      </c>
      <c r="E1225" s="47">
        <v>44386.903923611113</v>
      </c>
      <c r="F1225" s="45" t="s">
        <v>679</v>
      </c>
    </row>
    <row r="1226" spans="1:6" ht="14.25">
      <c r="A1226" s="45"/>
      <c r="B1226" s="45" t="s">
        <v>165</v>
      </c>
      <c r="C1226" s="46" t="str">
        <f>HYPERLINK("https://au.indeed.com/viewjob?jk=93d9495cb10caf69","Mechanical Engineer")</f>
        <v>Mechanical Engineer</v>
      </c>
      <c r="D1226" s="45" t="s">
        <v>517</v>
      </c>
      <c r="E1226" s="47">
        <v>44386.904490740744</v>
      </c>
      <c r="F1226" s="45" t="s">
        <v>679</v>
      </c>
    </row>
    <row r="1227" spans="1:6" ht="14.25">
      <c r="A1227" s="45"/>
      <c r="B1227" s="45" t="s">
        <v>165</v>
      </c>
      <c r="C1227" s="46" t="str">
        <f>HYPERLINK("https://au.indeed.com/viewjob?jk=134cfd9a6e2be4db","Development Engineer Mechanical / Mechatronics")</f>
        <v>Development Engineer Mechanical / Mechatronics</v>
      </c>
      <c r="D1227" s="45" t="s">
        <v>686</v>
      </c>
      <c r="E1227" s="47">
        <v>44386.905081018522</v>
      </c>
      <c r="F1227" s="45" t="s">
        <v>679</v>
      </c>
    </row>
    <row r="1228" spans="1:6" ht="14.25">
      <c r="A1228" s="45"/>
      <c r="B1228" s="45" t="s">
        <v>165</v>
      </c>
      <c r="C1228" s="46" t="str">
        <f>HYPERLINK("https://au.indeed.com/viewjob?jk=eb0c6f3375ef7453","Senior Electrical and Mechanical Engineer")</f>
        <v>Senior Electrical and Mechanical Engineer</v>
      </c>
      <c r="D1228" s="45" t="s">
        <v>696</v>
      </c>
      <c r="E1228" s="47">
        <v>44386.905173611114</v>
      </c>
      <c r="F1228" s="45" t="s">
        <v>679</v>
      </c>
    </row>
    <row r="1229" spans="1:6" ht="14.25">
      <c r="A1229" s="45"/>
      <c r="B1229" s="45" t="s">
        <v>165</v>
      </c>
      <c r="C1229" s="46" t="str">
        <f>HYPERLINK("https://au.indeed.com/viewjob?jk=827bbca73acc9162","Senior Mechanical Design Engineer")</f>
        <v>Senior Mechanical Design Engineer</v>
      </c>
      <c r="D1229" s="45" t="s">
        <v>414</v>
      </c>
      <c r="E1229" s="47">
        <v>44386.905289351853</v>
      </c>
      <c r="F1229" s="45" t="s">
        <v>679</v>
      </c>
    </row>
    <row r="1230" spans="1:6" ht="14.25">
      <c r="A1230" s="45"/>
      <c r="B1230" s="45" t="s">
        <v>165</v>
      </c>
      <c r="C1230" s="46" t="str">
        <f>HYPERLINK("https://au.indeed.com/viewjob?jk=b24cbd83a392f82a","Mechanical Engineer - Drainage Pump")</f>
        <v>Mechanical Engineer - Drainage Pump</v>
      </c>
      <c r="D1230" s="45" t="s">
        <v>448</v>
      </c>
      <c r="E1230" s="47">
        <v>44386.905405092592</v>
      </c>
      <c r="F1230" s="45" t="s">
        <v>679</v>
      </c>
    </row>
    <row r="1231" spans="1:6" ht="14.25">
      <c r="A1231" s="45"/>
      <c r="B1231" s="45" t="s">
        <v>165</v>
      </c>
      <c r="C1231" s="46" t="str">
        <f>HYPERLINK("https://au.indeed.com/viewjob?jk=48a2f2338bc455df","Senior Mechanical Engineer - Drainage Pump")</f>
        <v>Senior Mechanical Engineer - Drainage Pump</v>
      </c>
      <c r="D1231" s="45" t="s">
        <v>448</v>
      </c>
      <c r="E1231" s="47">
        <v>44386.90552083333</v>
      </c>
      <c r="F1231" s="45" t="s">
        <v>679</v>
      </c>
    </row>
    <row r="1232" spans="1:6" ht="14.25">
      <c r="A1232" s="45"/>
      <c r="B1232" s="45" t="s">
        <v>165</v>
      </c>
      <c r="C1232" s="46" t="str">
        <f>HYPERLINK("https://au.indeed.com/viewjob?jk=ea26336b19947a9e","Senior Mechanical Design Engineer")</f>
        <v>Senior Mechanical Design Engineer</v>
      </c>
      <c r="D1232" s="45" t="s">
        <v>691</v>
      </c>
      <c r="E1232" s="47">
        <v>44386.90587962963</v>
      </c>
      <c r="F1232" s="45" t="s">
        <v>679</v>
      </c>
    </row>
    <row r="1233" spans="1:6" ht="14.25">
      <c r="A1233" s="45"/>
      <c r="B1233" s="45" t="s">
        <v>165</v>
      </c>
      <c r="C1233" s="46" t="str">
        <f>HYPERLINK("https://au.indeed.com/viewjob?jk=8228b8def3e22780","Mechanical Engineer - Combined Services and Space Proofing")</f>
        <v>Mechanical Engineer - Combined Services and Space Proofing</v>
      </c>
      <c r="D1233" s="45" t="s">
        <v>448</v>
      </c>
      <c r="E1233" s="47">
        <v>44386.90697916667</v>
      </c>
      <c r="F1233" s="45" t="s">
        <v>679</v>
      </c>
    </row>
    <row r="1234" spans="1:6" ht="14.25">
      <c r="A1234" s="45"/>
      <c r="B1234" s="45" t="s">
        <v>165</v>
      </c>
      <c r="C1234" s="46" t="str">
        <f>HYPERLINK("https://au.indeed.com/viewjob?jk=36bd6b669422b7e7","Mechanical Systems Engineer - Phase 6 - Sea 2048")</f>
        <v>Mechanical Systems Engineer - Phase 6 - Sea 2048</v>
      </c>
      <c r="D1234" s="45" t="s">
        <v>448</v>
      </c>
      <c r="E1234" s="47">
        <v>44386.907372685186</v>
      </c>
      <c r="F1234" s="45" t="s">
        <v>679</v>
      </c>
    </row>
    <row r="1235" spans="1:6" ht="14.25">
      <c r="A1235" s="45"/>
      <c r="B1235" s="45" t="s">
        <v>165</v>
      </c>
      <c r="C1235" s="46" t="str">
        <f>HYPERLINK("https://au.indeed.com/viewjob?jk=1ae93d196ea97f61","Mechanical Engineer - Tunnel MVAC")</f>
        <v>Mechanical Engineer - Tunnel MVAC</v>
      </c>
      <c r="D1235" s="45" t="s">
        <v>448</v>
      </c>
      <c r="E1235" s="47">
        <v>44386.908576388887</v>
      </c>
      <c r="F1235" s="45" t="s">
        <v>679</v>
      </c>
    </row>
    <row r="1236" spans="1:6" ht="14.25">
      <c r="A1236" s="45"/>
      <c r="B1236" s="45" t="s">
        <v>165</v>
      </c>
      <c r="C1236" s="46" t="str">
        <f>HYPERLINK("https://au.indeed.com/viewjob?jk=1fc8180cb1231075","2nd Year Apprentice Engineer- Mechanical Trade")</f>
        <v>2nd Year Apprentice Engineer- Mechanical Trade</v>
      </c>
      <c r="D1236" s="45" t="s">
        <v>697</v>
      </c>
      <c r="E1236" s="47">
        <v>44386.908680555556</v>
      </c>
      <c r="F1236" s="45" t="s">
        <v>679</v>
      </c>
    </row>
    <row r="1237" spans="1:6" ht="14.25">
      <c r="A1237" s="45"/>
      <c r="B1237" s="45" t="s">
        <v>165</v>
      </c>
      <c r="C1237" s="46" t="str">
        <f>HYPERLINK("https://au.indeed.com/viewjob?jk=367f2b26d7278fc7","Expressions of Interest: Structural, Mechanical, Electrical and Process Engineers")</f>
        <v>Expressions of Interest: Structural, Mechanical, Electrical and Process Engineers</v>
      </c>
      <c r="D1237" s="45" t="s">
        <v>496</v>
      </c>
      <c r="E1237" s="47">
        <v>44386.908773148149</v>
      </c>
      <c r="F1237" s="45" t="s">
        <v>679</v>
      </c>
    </row>
    <row r="1238" spans="1:6" ht="14.25">
      <c r="A1238" s="45"/>
      <c r="B1238" s="45" t="s">
        <v>165</v>
      </c>
      <c r="C1238" s="46" t="str">
        <f>HYPERLINK("https://au.indeed.com/viewjob?jk=01e01843bd8bc03d","Mechanical Engineer - Tunnel Ventilation")</f>
        <v>Mechanical Engineer - Tunnel Ventilation</v>
      </c>
      <c r="D1238" s="45" t="s">
        <v>448</v>
      </c>
      <c r="E1238" s="47">
        <v>44386.909467592595</v>
      </c>
      <c r="F1238" s="45" t="s">
        <v>679</v>
      </c>
    </row>
    <row r="1239" spans="1:6" ht="14.25">
      <c r="A1239" s="45"/>
      <c r="B1239" s="45" t="s">
        <v>217</v>
      </c>
      <c r="C1239" s="46" t="str">
        <f>HYPERLINK("https://au.indeed.com/viewjob?jk=47bb051d27e9707f","Graduate Asset Engineer")</f>
        <v>Graduate Asset Engineer</v>
      </c>
      <c r="D1239" s="45" t="s">
        <v>698</v>
      </c>
      <c r="E1239" s="47">
        <v>44386.909594907411</v>
      </c>
      <c r="F1239" s="45" t="s">
        <v>679</v>
      </c>
    </row>
    <row r="1240" spans="1:6" ht="14.25">
      <c r="A1240" s="45"/>
      <c r="B1240" s="45" t="s">
        <v>217</v>
      </c>
      <c r="C1240" s="46" t="str">
        <f>HYPERLINK("https://au.indeed.com/viewjob?jk=7ba5365c2daea32e","Graduate Engineer - Water Assets")</f>
        <v>Graduate Engineer - Water Assets</v>
      </c>
      <c r="D1240" s="45" t="s">
        <v>500</v>
      </c>
      <c r="E1240" s="47">
        <v>44386.909687500003</v>
      </c>
      <c r="F1240" s="45" t="s">
        <v>679</v>
      </c>
    </row>
    <row r="1241" spans="1:6" ht="14.25">
      <c r="A1241" s="45"/>
      <c r="B1241" s="45" t="s">
        <v>217</v>
      </c>
      <c r="C1241" s="46" t="str">
        <f>HYPERLINK("https://au.indeed.com/viewjob?jk=8c7065460ca5b4c3","Asset Engineer")</f>
        <v>Asset Engineer</v>
      </c>
      <c r="D1241" s="45" t="s">
        <v>461</v>
      </c>
      <c r="E1241" s="47">
        <v>44386.910011574073</v>
      </c>
      <c r="F1241" s="45" t="s">
        <v>679</v>
      </c>
    </row>
    <row r="1242" spans="1:6" ht="14.25">
      <c r="A1242" s="45"/>
      <c r="B1242" s="45" t="s">
        <v>217</v>
      </c>
      <c r="C1242" s="46" t="str">
        <f>HYPERLINK("https://au.indeed.com/viewjob?jk=a65cd1c308e1ff95","Asset Systems Engineer")</f>
        <v>Asset Systems Engineer</v>
      </c>
      <c r="D1242" s="45" t="s">
        <v>698</v>
      </c>
      <c r="E1242" s="47">
        <v>44386.910104166665</v>
      </c>
      <c r="F1242" s="45" t="s">
        <v>679</v>
      </c>
    </row>
    <row r="1243" spans="1:6" ht="14.25">
      <c r="A1243" s="45"/>
      <c r="B1243" s="45" t="s">
        <v>217</v>
      </c>
      <c r="C1243" s="46" t="str">
        <f>HYPERLINK("https://au.indeed.com/viewjob?jk=36bf3b7430421dcf","Asset Systems Engineer")</f>
        <v>Asset Systems Engineer</v>
      </c>
      <c r="D1243" s="45" t="s">
        <v>699</v>
      </c>
      <c r="E1243" s="47">
        <v>44386.910208333335</v>
      </c>
      <c r="F1243" s="45" t="s">
        <v>679</v>
      </c>
    </row>
    <row r="1244" spans="1:6" ht="14.25">
      <c r="A1244" s="45"/>
      <c r="B1244" s="45" t="s">
        <v>217</v>
      </c>
      <c r="C1244" s="46" t="str">
        <f>HYPERLINK("https://au.indeed.com/viewjob?jk=fab2485cc0be27d6","Asset Planning Engineer")</f>
        <v>Asset Planning Engineer</v>
      </c>
      <c r="D1244" s="45" t="s">
        <v>700</v>
      </c>
      <c r="E1244" s="47">
        <v>44386.91028935185</v>
      </c>
      <c r="F1244" s="45" t="s">
        <v>679</v>
      </c>
    </row>
    <row r="1245" spans="1:6" ht="14.25">
      <c r="A1245" s="45"/>
      <c r="B1245" s="45" t="s">
        <v>162</v>
      </c>
      <c r="C1245" s="46" t="str">
        <f>HYPERLINK("https://au.indeed.com/viewjob?jk=37727f3613ba3560","Design Engineer Precast")</f>
        <v>Design Engineer Precast</v>
      </c>
      <c r="D1245" s="45" t="s">
        <v>701</v>
      </c>
      <c r="E1245" s="47">
        <v>44386.911238425928</v>
      </c>
      <c r="F1245" s="45" t="s">
        <v>679</v>
      </c>
    </row>
    <row r="1246" spans="1:6" ht="14.25">
      <c r="A1246" s="45"/>
      <c r="B1246" s="45" t="s">
        <v>162</v>
      </c>
      <c r="C1246" s="46" t="str">
        <f>HYPERLINK("https://au.indeed.com/viewjob?jk=5d0fb87c0ebbbbe9","Design Engineer")</f>
        <v>Design Engineer</v>
      </c>
      <c r="D1246" s="45" t="s">
        <v>703</v>
      </c>
      <c r="E1246" s="47">
        <v>44386.91133101852</v>
      </c>
      <c r="F1246" s="45" t="s">
        <v>679</v>
      </c>
    </row>
    <row r="1247" spans="1:6" ht="14.25">
      <c r="A1247" s="45"/>
      <c r="B1247" s="45" t="s">
        <v>162</v>
      </c>
      <c r="C1247" s="46" t="str">
        <f>HYPERLINK("https://au.indeed.com/viewjob?jk=7af3e92a385abcf5","Design Engineer – PD")</f>
        <v>Design Engineer – PD</v>
      </c>
      <c r="D1247" s="45" t="s">
        <v>704</v>
      </c>
      <c r="E1247" s="47">
        <v>44386.912256944444</v>
      </c>
      <c r="F1247" s="45" t="s">
        <v>679</v>
      </c>
    </row>
    <row r="1248" spans="1:6" ht="14.25">
      <c r="A1248" s="45"/>
      <c r="B1248" s="45" t="s">
        <v>162</v>
      </c>
      <c r="C1248" s="46" t="str">
        <f>HYPERLINK("https://au.indeed.com/viewjob?jk=2c125ed707fa2b88","Civil Design Engineer")</f>
        <v>Civil Design Engineer</v>
      </c>
      <c r="D1248" s="45" t="s">
        <v>546</v>
      </c>
      <c r="E1248" s="47">
        <v>44386.91233796296</v>
      </c>
      <c r="F1248" s="45" t="s">
        <v>679</v>
      </c>
    </row>
    <row r="1249" spans="1:6" ht="14.25">
      <c r="A1249" s="45"/>
      <c r="B1249" s="45" t="s">
        <v>162</v>
      </c>
      <c r="C1249" s="46" t="str">
        <f>HYPERLINK("https://au.indeed.com/viewjob?jk=d05b292fa6fd1d1f","Industrial Design &amp; Human Factors Engineer")</f>
        <v>Industrial Design &amp; Human Factors Engineer</v>
      </c>
      <c r="D1249" s="45" t="s">
        <v>691</v>
      </c>
      <c r="E1249" s="47">
        <v>44386.912754629629</v>
      </c>
      <c r="F1249" s="45" t="s">
        <v>679</v>
      </c>
    </row>
    <row r="1250" spans="1:6" ht="14.25">
      <c r="A1250" s="45"/>
      <c r="B1250" s="45" t="s">
        <v>162</v>
      </c>
      <c r="C1250" s="46" t="str">
        <f>HYPERLINK("https://au.indeed.com/viewjob?jk=91bbd1f4fd9ed33d","Design Engineers")</f>
        <v>Design Engineers</v>
      </c>
      <c r="D1250" s="45" t="s">
        <v>501</v>
      </c>
      <c r="E1250" s="47">
        <v>44386.913159722222</v>
      </c>
      <c r="F1250" s="45" t="s">
        <v>679</v>
      </c>
    </row>
    <row r="1251" spans="1:6" ht="14.25">
      <c r="A1251" s="45"/>
      <c r="B1251" s="45" t="s">
        <v>162</v>
      </c>
      <c r="C1251" s="46" t="str">
        <f>HYPERLINK("https://au.indeed.com/viewjob?jk=f57dcc88caea43be","Assistant Design Engineer")</f>
        <v>Assistant Design Engineer</v>
      </c>
      <c r="D1251" s="45" t="s">
        <v>706</v>
      </c>
      <c r="E1251" s="47">
        <v>44386.913252314815</v>
      </c>
      <c r="F1251" s="45" t="s">
        <v>679</v>
      </c>
    </row>
    <row r="1252" spans="1:6" ht="14.25">
      <c r="A1252" s="45"/>
      <c r="B1252" s="45" t="s">
        <v>162</v>
      </c>
      <c r="C1252" s="46" t="str">
        <f>HYPERLINK("https://au.indeed.com/viewjob?jk=88efc8c92dba7fe5","SAED - Design Engineer")</f>
        <v>SAED - Design Engineer</v>
      </c>
      <c r="D1252" s="45" t="s">
        <v>705</v>
      </c>
      <c r="E1252" s="47">
        <v>44386.913356481484</v>
      </c>
      <c r="F1252" s="45" t="s">
        <v>679</v>
      </c>
    </row>
    <row r="1253" spans="1:6" ht="14.25">
      <c r="A1253" s="45"/>
      <c r="B1253" s="45" t="s">
        <v>162</v>
      </c>
      <c r="C1253" s="46" t="str">
        <f>HYPERLINK("https://au.indeed.com/viewjob?jk=f4b138745e9efbed","Fire Design Engineer")</f>
        <v>Fire Design Engineer</v>
      </c>
      <c r="D1253" s="45" t="s">
        <v>549</v>
      </c>
      <c r="E1253" s="47">
        <v>44386.913449074076</v>
      </c>
      <c r="F1253" s="45" t="s">
        <v>679</v>
      </c>
    </row>
    <row r="1254" spans="1:6" ht="14.25">
      <c r="A1254" s="45"/>
      <c r="B1254" s="45" t="s">
        <v>162</v>
      </c>
      <c r="C1254" s="46" t="str">
        <f>HYPERLINK("https://au.indeed.com/viewjob?jk=d15cc66cf18fc524","Graduate Design Engineer")</f>
        <v>Graduate Design Engineer</v>
      </c>
      <c r="D1254" s="45" t="s">
        <v>618</v>
      </c>
      <c r="E1254" s="47">
        <v>44386.913564814815</v>
      </c>
      <c r="F1254" s="45" t="s">
        <v>679</v>
      </c>
    </row>
    <row r="1255" spans="1:6" ht="14.25">
      <c r="A1255" s="45"/>
      <c r="B1255" s="45" t="s">
        <v>162</v>
      </c>
      <c r="C1255" s="46" t="str">
        <f>HYPERLINK("https://au.indeed.com/viewjob?jk=8a603eeac8e21737","Senior Design Engineer")</f>
        <v>Senior Design Engineer</v>
      </c>
      <c r="D1255" s="45" t="s">
        <v>548</v>
      </c>
      <c r="E1255" s="47">
        <v>44386.913923611108</v>
      </c>
      <c r="F1255" s="45" t="s">
        <v>679</v>
      </c>
    </row>
    <row r="1256" spans="1:6" ht="14.25">
      <c r="A1256" s="45"/>
      <c r="B1256" s="45" t="s">
        <v>162</v>
      </c>
      <c r="C1256" s="46" t="str">
        <f>HYPERLINK("https://au.indeed.com/viewjob?jk=b8be26c67622b79f","Civil Design Engineer / Civil Designer (Brownfield/Infill)")</f>
        <v>Civil Design Engineer / Civil Designer (Brownfield/Infill)</v>
      </c>
      <c r="D1256" s="45" t="s">
        <v>422</v>
      </c>
      <c r="E1256" s="47">
        <v>44386.914259259262</v>
      </c>
      <c r="F1256" s="45" t="s">
        <v>679</v>
      </c>
    </row>
    <row r="1257" spans="1:6" ht="14.25">
      <c r="A1257" s="45"/>
      <c r="B1257" s="45" t="s">
        <v>162</v>
      </c>
      <c r="C1257" s="46" t="str">
        <f>HYPERLINK("https://au.indeed.com/viewjob?jk=a86781b6b761e3b0","Design Engineer")</f>
        <v>Design Engineer</v>
      </c>
      <c r="D1257" s="45" t="s">
        <v>642</v>
      </c>
      <c r="E1257" s="47">
        <v>44386.914363425924</v>
      </c>
      <c r="F1257" s="45" t="s">
        <v>679</v>
      </c>
    </row>
    <row r="1258" spans="1:6" ht="14.25">
      <c r="A1258" s="45"/>
      <c r="B1258" s="45" t="s">
        <v>162</v>
      </c>
      <c r="C1258" s="46" t="str">
        <f>HYPERLINK("https://au.indeed.com/viewjob?jk=9aaf8a1467072c32","Industrial Design &amp; Human Factors Engineer")</f>
        <v>Industrial Design &amp; Human Factors Engineer</v>
      </c>
      <c r="D1258" s="45" t="s">
        <v>414</v>
      </c>
      <c r="E1258" s="47">
        <v>44386.914456018516</v>
      </c>
      <c r="F1258" s="45" t="s">
        <v>679</v>
      </c>
    </row>
    <row r="1259" spans="1:6" ht="14.25">
      <c r="A1259" s="45"/>
      <c r="B1259" s="45" t="s">
        <v>162</v>
      </c>
      <c r="C1259" s="46" t="str">
        <f>HYPERLINK("https://au.indeed.com/viewjob?jk=a29489cc5e58d042","Jnr Design Engineer - Residential Housing Design")</f>
        <v>Jnr Design Engineer - Residential Housing Design</v>
      </c>
      <c r="D1259" s="45" t="s">
        <v>419</v>
      </c>
      <c r="E1259" s="47">
        <v>44386.915127314816</v>
      </c>
      <c r="F1259" s="45" t="s">
        <v>679</v>
      </c>
    </row>
    <row r="1260" spans="1:6" ht="14.25">
      <c r="A1260" s="45"/>
      <c r="B1260" s="45" t="s">
        <v>162</v>
      </c>
      <c r="C1260" s="46" t="str">
        <f>HYPERLINK("https://au.indeed.com/viewjob?jk=8e31a908407d1378","Civil Design Engineer / Civil Designer")</f>
        <v>Civil Design Engineer / Civil Designer</v>
      </c>
      <c r="D1260" s="45" t="s">
        <v>422</v>
      </c>
      <c r="E1260" s="47">
        <v>44386.915451388886</v>
      </c>
      <c r="F1260" s="45" t="s">
        <v>679</v>
      </c>
    </row>
    <row r="1261" spans="1:6" ht="14.25">
      <c r="A1261" s="45"/>
      <c r="B1261" s="45" t="s">
        <v>162</v>
      </c>
      <c r="C1261" s="46" t="str">
        <f>HYPERLINK("https://au.indeed.com/viewjob?jk=b8a9c22444fd4d6c","Testing &amp; Design Engineer")</f>
        <v>Testing &amp; Design Engineer</v>
      </c>
      <c r="D1261" s="45" t="s">
        <v>707</v>
      </c>
      <c r="E1261" s="47">
        <v>44386.915555555555</v>
      </c>
      <c r="F1261" s="45" t="s">
        <v>679</v>
      </c>
    </row>
    <row r="1262" spans="1:6" ht="14.25">
      <c r="A1262" s="45"/>
      <c r="B1262" s="45" t="s">
        <v>162</v>
      </c>
      <c r="C1262" s="46" t="str">
        <f>HYPERLINK("https://au.indeed.com/viewjob?jk=d9732bb196a0e4e6","SENIOR SIGNALING DESIGN ENGINEER")</f>
        <v>SENIOR SIGNALING DESIGN ENGINEER</v>
      </c>
      <c r="D1262" s="45" t="s">
        <v>426</v>
      </c>
      <c r="E1262" s="47">
        <v>44386.915648148148</v>
      </c>
      <c r="F1262" s="45" t="s">
        <v>679</v>
      </c>
    </row>
    <row r="1263" spans="1:6" ht="14.25">
      <c r="A1263" s="45"/>
      <c r="B1263" s="45" t="s">
        <v>162</v>
      </c>
      <c r="C1263" s="46" t="str">
        <f>HYPERLINK("https://au.indeed.com/viewjob?jk=e9c8a2056e44875e","Graduate Design &amp; Estimation Engineer")</f>
        <v>Graduate Design &amp; Estimation Engineer</v>
      </c>
      <c r="D1263" s="45" t="s">
        <v>214</v>
      </c>
      <c r="E1263" s="47">
        <v>44386.915995370371</v>
      </c>
      <c r="F1263" s="45" t="s">
        <v>679</v>
      </c>
    </row>
    <row r="1264" spans="1:6" ht="14.25">
      <c r="A1264" s="45"/>
      <c r="B1264" s="45" t="s">
        <v>162</v>
      </c>
      <c r="C1264" s="46" t="str">
        <f>HYPERLINK("https://au.indeed.com/viewjob?jk=c99c8c76b30daf2e","Controls Design Engineer (AGV)")</f>
        <v>Controls Design Engineer (AGV)</v>
      </c>
      <c r="D1264" s="45" t="s">
        <v>618</v>
      </c>
      <c r="E1264" s="47">
        <v>44386.91611111111</v>
      </c>
      <c r="F1264" s="45" t="s">
        <v>679</v>
      </c>
    </row>
    <row r="1265" spans="1:6" ht="14.25">
      <c r="A1265" s="45"/>
      <c r="B1265" s="45" t="s">
        <v>162</v>
      </c>
      <c r="C1265" s="46" t="str">
        <f>HYPERLINK("https://au.indeed.com/viewjob?jk=9fb3bfc784b70a67","Controls Design Engineer")</f>
        <v>Controls Design Engineer</v>
      </c>
      <c r="D1265" s="45" t="s">
        <v>423</v>
      </c>
      <c r="E1265" s="47">
        <v>44386.916238425925</v>
      </c>
      <c r="F1265" s="45" t="s">
        <v>679</v>
      </c>
    </row>
    <row r="1266" spans="1:6" ht="14.25">
      <c r="A1266" s="45"/>
      <c r="B1266" s="45" t="s">
        <v>162</v>
      </c>
      <c r="C1266" s="46" t="str">
        <f>HYPERLINK("https://au.indeed.com/viewjob?jk=2eb43cc23396faf7","HV Substation Design Engineer")</f>
        <v>HV Substation Design Engineer</v>
      </c>
      <c r="D1266" s="45" t="s">
        <v>496</v>
      </c>
      <c r="E1266" s="47">
        <v>44386.916331018518</v>
      </c>
      <c r="F1266" s="45" t="s">
        <v>679</v>
      </c>
    </row>
    <row r="1267" spans="1:6" ht="14.25">
      <c r="A1267" s="45"/>
      <c r="B1267" s="45" t="s">
        <v>162</v>
      </c>
      <c r="C1267" s="46" t="str">
        <f>HYPERLINK("https://au.indeed.com/viewjob?jk=5b8c5f533c365c50","Design Engineer")</f>
        <v>Design Engineer</v>
      </c>
      <c r="D1267" s="45"/>
      <c r="E1267" s="47">
        <v>44386.916493055556</v>
      </c>
      <c r="F1267" s="45" t="s">
        <v>679</v>
      </c>
    </row>
    <row r="1268" spans="1:6" ht="14.25">
      <c r="A1268" s="45"/>
      <c r="B1268" s="45" t="s">
        <v>162</v>
      </c>
      <c r="C1268" s="46" t="str">
        <f>HYPERLINK("https://au.indeed.com/viewjob?jk=0672ca34664c987a","Senior Engineer - Design Manager")</f>
        <v>Senior Engineer - Design Manager</v>
      </c>
      <c r="D1268" s="45" t="s">
        <v>553</v>
      </c>
      <c r="E1268" s="47">
        <v>44386.916817129626</v>
      </c>
      <c r="F1268" s="45" t="s">
        <v>679</v>
      </c>
    </row>
    <row r="1269" spans="1:6" ht="14.25">
      <c r="A1269" s="45"/>
      <c r="B1269" s="45" t="s">
        <v>162</v>
      </c>
      <c r="C1269" s="46" t="str">
        <f>HYPERLINK("https://au.indeed.com/viewjob?jk=8727c0b0e4aef3cf","Senior Wireless Design Engineer SSE")</f>
        <v>Senior Wireless Design Engineer SSE</v>
      </c>
      <c r="D1269" s="45" t="s">
        <v>642</v>
      </c>
      <c r="E1269" s="47">
        <v>44386.916944444441</v>
      </c>
      <c r="F1269" s="45" t="s">
        <v>679</v>
      </c>
    </row>
    <row r="1270" spans="1:6" ht="14.25">
      <c r="A1270" s="45"/>
      <c r="B1270" s="45" t="s">
        <v>162</v>
      </c>
      <c r="C1270" s="46" t="str">
        <f>HYPERLINK("https://au.indeed.com/viewjob?jk=04914726d08b1558","Civil Engineer - Water and Sewer Design")</f>
        <v>Civil Engineer - Water and Sewer Design</v>
      </c>
      <c r="D1270" s="45" t="s">
        <v>708</v>
      </c>
      <c r="E1270" s="47">
        <v>44386.917060185187</v>
      </c>
      <c r="F1270" s="45" t="s">
        <v>679</v>
      </c>
    </row>
    <row r="1271" spans="1:6" ht="14.25">
      <c r="A1271" s="45"/>
      <c r="B1271" s="45" t="s">
        <v>162</v>
      </c>
      <c r="C1271" s="46" t="str">
        <f>HYPERLINK("https://au.indeed.com/viewjob?jk=0c59ed75dedfaa72","Design Engineer | Residential Design")</f>
        <v>Design Engineer | Residential Design</v>
      </c>
      <c r="D1271" s="45" t="s">
        <v>419</v>
      </c>
      <c r="E1271" s="47">
        <v>44386.917164351849</v>
      </c>
      <c r="F1271" s="45" t="s">
        <v>679</v>
      </c>
    </row>
    <row r="1272" spans="1:6" ht="14.25">
      <c r="A1272" s="45"/>
      <c r="B1272" s="45" t="s">
        <v>162</v>
      </c>
      <c r="C1272" s="46" t="str">
        <f>HYPERLINK("https://au.indeed.com/viewjob?jk=9004b81ca99f6d3b","SENIOR SIGNALING DESIGN ENGINEER")</f>
        <v>SENIOR SIGNALING DESIGN ENGINEER</v>
      </c>
      <c r="D1272" s="45" t="s">
        <v>426</v>
      </c>
      <c r="E1272" s="47">
        <v>44386.917546296296</v>
      </c>
      <c r="F1272" s="45" t="s">
        <v>679</v>
      </c>
    </row>
    <row r="1273" spans="1:6" ht="14.25">
      <c r="A1273" s="45"/>
      <c r="B1273" s="45" t="s">
        <v>162</v>
      </c>
      <c r="C1273" s="46" t="str">
        <f>HYPERLINK("https://au.indeed.com/viewjob?jk=c886e9a7a21a876a","Design / Structural Engineer")</f>
        <v>Design / Structural Engineer</v>
      </c>
      <c r="D1273" s="45" t="s">
        <v>461</v>
      </c>
      <c r="E1273" s="47">
        <v>44386.917662037034</v>
      </c>
      <c r="F1273" s="45" t="s">
        <v>679</v>
      </c>
    </row>
    <row r="1274" spans="1:6" ht="14.25">
      <c r="A1274" s="45"/>
      <c r="B1274" s="45" t="s">
        <v>162</v>
      </c>
      <c r="C1274" s="46" t="str">
        <f>HYPERLINK("https://au.indeed.com/viewjob?jk=fdc8518bfdc3fba3","Civil Design Engineer")</f>
        <v>Civil Design Engineer</v>
      </c>
      <c r="D1274" s="45" t="s">
        <v>546</v>
      </c>
      <c r="E1274" s="47">
        <v>44386.91777777778</v>
      </c>
      <c r="F1274" s="45" t="s">
        <v>679</v>
      </c>
    </row>
    <row r="1275" spans="1:6" ht="14.25">
      <c r="A1275" s="45"/>
      <c r="B1275" s="45" t="s">
        <v>162</v>
      </c>
      <c r="C1275" s="46" t="str">
        <f>HYPERLINK("https://au.indeed.com/viewjob?jk=b675b7f58eb22eea","Grad Engineer - RF Lab Testing, HW/SW, Digital Design")</f>
        <v>Grad Engineer - RF Lab Testing, HW/SW, Digital Design</v>
      </c>
      <c r="D1275" s="45" t="s">
        <v>709</v>
      </c>
      <c r="E1275" s="47">
        <v>44386.91815972222</v>
      </c>
      <c r="F1275" s="45" t="s">
        <v>679</v>
      </c>
    </row>
    <row r="1276" spans="1:6" ht="14.25">
      <c r="A1276" s="45"/>
      <c r="B1276" s="45" t="s">
        <v>162</v>
      </c>
      <c r="C1276" s="46" t="str">
        <f>HYPERLINK("https://au.indeed.com/viewjob?jk=67bb9dda029fd3f7","Senior Design Engineer*")</f>
        <v>Senior Design Engineer*</v>
      </c>
      <c r="D1276" s="45" t="s">
        <v>702</v>
      </c>
      <c r="E1276" s="47">
        <v>44386.918564814812</v>
      </c>
      <c r="F1276" s="45" t="s">
        <v>679</v>
      </c>
    </row>
    <row r="1277" spans="1:6" ht="14.25">
      <c r="A1277" s="45"/>
      <c r="B1277" s="45" t="s">
        <v>162</v>
      </c>
      <c r="C1277" s="46" t="str">
        <f>HYPERLINK("https://au.indeed.com/viewjob?jk=338053c7fe4e106d","Industrial Design &amp; Human Factors Engineer")</f>
        <v>Industrial Design &amp; Human Factors Engineer</v>
      </c>
      <c r="D1277" s="45" t="s">
        <v>414</v>
      </c>
      <c r="E1277" s="47">
        <v>44386.920555555553</v>
      </c>
      <c r="F1277" s="45" t="s">
        <v>679</v>
      </c>
    </row>
    <row r="1278" spans="1:6" ht="14.25">
      <c r="A1278" s="45"/>
      <c r="B1278" s="45" t="s">
        <v>162</v>
      </c>
      <c r="C1278" s="46" t="str">
        <f>HYPERLINK("https://au.indeed.com/viewjob?jk=13e06a83a12872e7","Structural Design Engineer")</f>
        <v>Structural Design Engineer</v>
      </c>
      <c r="D1278" s="45" t="s">
        <v>214</v>
      </c>
      <c r="E1278" s="47">
        <v>44386.920648148145</v>
      </c>
      <c r="F1278" s="45" t="s">
        <v>679</v>
      </c>
    </row>
    <row r="1279" spans="1:6" ht="14.25">
      <c r="A1279" s="45"/>
      <c r="B1279" s="45" t="s">
        <v>162</v>
      </c>
      <c r="C1279" s="46" t="str">
        <f>HYPERLINK("https://au.indeed.com/viewjob?jk=27d897ffe4b35c40","Design Engineer")</f>
        <v>Design Engineer</v>
      </c>
      <c r="D1279" s="45" t="s">
        <v>391</v>
      </c>
      <c r="E1279" s="47">
        <v>44386.921053240738</v>
      </c>
      <c r="F1279" s="45" t="s">
        <v>679</v>
      </c>
    </row>
    <row r="1280" spans="1:6" ht="14.25">
      <c r="A1280" s="45"/>
      <c r="B1280" s="45" t="s">
        <v>162</v>
      </c>
      <c r="C1280" s="46" t="str">
        <f>HYPERLINK("https://au.indeed.com/viewjob?jk=a472c63618686c7c","SAED Design Engineer CPEng")</f>
        <v>SAED Design Engineer CPEng</v>
      </c>
      <c r="D1280" s="45" t="s">
        <v>461</v>
      </c>
      <c r="E1280" s="47">
        <v>44386.921157407407</v>
      </c>
      <c r="F1280" s="45" t="s">
        <v>679</v>
      </c>
    </row>
    <row r="1281" spans="1:6" ht="14.25">
      <c r="A1281" s="45"/>
      <c r="B1281" s="45" t="s">
        <v>162</v>
      </c>
      <c r="C1281" s="46" t="str">
        <f>HYPERLINK("https://au.indeed.com/viewjob?jk=7bdc03b9d6da2e0f","Senior Structural Design Engineer")</f>
        <v>Senior Structural Design Engineer</v>
      </c>
      <c r="D1281" s="45" t="s">
        <v>214</v>
      </c>
      <c r="E1281" s="47">
        <v>44386.921527777777</v>
      </c>
      <c r="F1281" s="45" t="s">
        <v>679</v>
      </c>
    </row>
    <row r="1282" spans="1:6" ht="14.25">
      <c r="A1282" s="45"/>
      <c r="B1282" s="45" t="s">
        <v>162</v>
      </c>
      <c r="C1282" s="46" t="str">
        <f>HYPERLINK("https://au.indeed.com/viewjob?jk=3dc7399aa4b0cbc5","Design Engineer or Technical Officer - Lines")</f>
        <v>Design Engineer or Technical Officer - Lines</v>
      </c>
      <c r="D1282" s="45" t="s">
        <v>421</v>
      </c>
      <c r="E1282" s="47">
        <v>44386.921678240738</v>
      </c>
      <c r="F1282" s="45" t="s">
        <v>679</v>
      </c>
    </row>
    <row r="1283" spans="1:6" ht="14.25">
      <c r="A1283" s="45"/>
      <c r="B1283" s="45" t="s">
        <v>162</v>
      </c>
      <c r="C1283" s="46" t="str">
        <f>HYPERLINK("https://au.indeed.com/viewjob?jk=5825e7da9b4ec01b","Software Engineer - Algorithmic Graphic Design")</f>
        <v>Software Engineer - Algorithmic Graphic Design</v>
      </c>
      <c r="D1283" s="45" t="s">
        <v>383</v>
      </c>
      <c r="E1283" s="47">
        <v>44386.922037037039</v>
      </c>
      <c r="F1283" s="45" t="s">
        <v>679</v>
      </c>
    </row>
    <row r="1284" spans="1:6" ht="14.25">
      <c r="A1284" s="45"/>
      <c r="B1284" s="45" t="s">
        <v>162</v>
      </c>
      <c r="C1284" s="46" t="str">
        <f>HYPERLINK("https://au.indeed.com/viewjob?jk=e65feeeef3f678de","Network Engineer ( L3 &amp; Design)")</f>
        <v>Network Engineer ( L3 &amp; Design)</v>
      </c>
      <c r="D1284" s="45" t="s">
        <v>710</v>
      </c>
      <c r="E1284" s="47">
        <v>44386.9221412037</v>
      </c>
      <c r="F1284" s="45" t="s">
        <v>679</v>
      </c>
    </row>
    <row r="1285" spans="1:6" ht="14.25">
      <c r="A1285" s="45"/>
      <c r="B1285" s="45" t="s">
        <v>162</v>
      </c>
      <c r="C1285" s="46" t="str">
        <f>HYPERLINK("https://au.indeed.com/viewjob?jk=c48cf37e61db69d5","Civil Design Engineer")</f>
        <v>Civil Design Engineer</v>
      </c>
      <c r="D1285" s="45" t="s">
        <v>391</v>
      </c>
      <c r="E1285" s="47">
        <v>44386.922233796293</v>
      </c>
      <c r="F1285" s="45" t="s">
        <v>679</v>
      </c>
    </row>
    <row r="1286" spans="1:6" ht="14.25">
      <c r="A1286" s="45"/>
      <c r="B1286" s="45" t="s">
        <v>162</v>
      </c>
      <c r="C1286" s="46" t="str">
        <f>HYPERLINK("https://au.indeed.com/viewjob?jk=3f1be4f47c9509a1","Civil Design Engineer")</f>
        <v>Civil Design Engineer</v>
      </c>
      <c r="D1286" s="45" t="s">
        <v>391</v>
      </c>
      <c r="E1286" s="47">
        <v>44386.922337962962</v>
      </c>
      <c r="F1286" s="45" t="s">
        <v>679</v>
      </c>
    </row>
    <row r="1287" spans="1:6" ht="14.25">
      <c r="A1287" s="45"/>
      <c r="B1287" s="45" t="s">
        <v>162</v>
      </c>
      <c r="C1287" s="46" t="str">
        <f>HYPERLINK("https://au.indeed.com/viewjob?jk=4588171c084a8c24","Network Design Engineer")</f>
        <v>Network Design Engineer</v>
      </c>
      <c r="D1287" s="45" t="s">
        <v>629</v>
      </c>
      <c r="E1287" s="47">
        <v>44386.922430555554</v>
      </c>
      <c r="F1287" s="45" t="s">
        <v>679</v>
      </c>
    </row>
    <row r="1288" spans="1:6" ht="14.25">
      <c r="A1288" s="45"/>
      <c r="B1288" s="45" t="s">
        <v>162</v>
      </c>
      <c r="C1288" s="46" t="str">
        <f>HYPERLINK("https://au.indeed.com/viewjob?jk=578eb74a29e126d0","Civil Design Engineer")</f>
        <v>Civil Design Engineer</v>
      </c>
      <c r="D1288" s="45" t="s">
        <v>391</v>
      </c>
      <c r="E1288" s="47">
        <v>44386.922546296293</v>
      </c>
      <c r="F1288" s="45" t="s">
        <v>679</v>
      </c>
    </row>
    <row r="1289" spans="1:6" ht="14.25">
      <c r="A1289" s="45"/>
      <c r="B1289" s="45" t="s">
        <v>162</v>
      </c>
      <c r="C1289" s="46" t="str">
        <f>HYPERLINK("https://au.indeed.com/viewjob?jk=b8fae8892baa04db","Design Engineer")</f>
        <v>Design Engineer</v>
      </c>
      <c r="D1289" s="45" t="s">
        <v>391</v>
      </c>
      <c r="E1289" s="47">
        <v>44386.922650462962</v>
      </c>
      <c r="F1289" s="45" t="s">
        <v>679</v>
      </c>
    </row>
    <row r="1290" spans="1:6" ht="14.25">
      <c r="A1290" s="45"/>
      <c r="B1290" s="45" t="s">
        <v>162</v>
      </c>
      <c r="C1290" s="46" t="str">
        <f>HYPERLINK("https://au.indeed.com/viewjob?jk=f45a3c5b6079977b","Network Design Engineer")</f>
        <v>Network Design Engineer</v>
      </c>
      <c r="D1290" s="45" t="s">
        <v>629</v>
      </c>
      <c r="E1290" s="47">
        <v>44386.923032407409</v>
      </c>
      <c r="F1290" s="45" t="s">
        <v>679</v>
      </c>
    </row>
    <row r="1291" spans="1:6" ht="14.25">
      <c r="A1291" s="45"/>
      <c r="B1291" s="45" t="s">
        <v>162</v>
      </c>
      <c r="C1291" s="46" t="str">
        <f>HYPERLINK("https://au.indeed.com/viewjob?jk=a9af7282cf3ec7ce","Structural Design Engineer")</f>
        <v>Structural Design Engineer</v>
      </c>
      <c r="D1291" s="45" t="s">
        <v>690</v>
      </c>
      <c r="E1291" s="47">
        <v>44386.923680555556</v>
      </c>
      <c r="F1291" s="45" t="s">
        <v>679</v>
      </c>
    </row>
    <row r="1292" spans="1:6" ht="14.25">
      <c r="A1292" s="45"/>
      <c r="B1292" s="45" t="s">
        <v>162</v>
      </c>
      <c r="C1292" s="46" t="str">
        <f>HYPERLINK("https://au.indeed.com/viewjob?jk=783e4387a7404ecb","Civil Design Engineer")</f>
        <v>Civil Design Engineer</v>
      </c>
      <c r="D1292" s="45" t="s">
        <v>391</v>
      </c>
      <c r="E1292" s="47">
        <v>44386.924050925925</v>
      </c>
      <c r="F1292" s="45" t="s">
        <v>679</v>
      </c>
    </row>
    <row r="1293" spans="1:6" ht="14.25">
      <c r="A1293" s="45"/>
      <c r="B1293" s="45" t="s">
        <v>162</v>
      </c>
      <c r="C1293" s="46" t="str">
        <f>HYPERLINK("https://au.indeed.com/viewjob?jk=c8c385769fd727cc","SENIOR DESIGN PROJECT ENGINEER")</f>
        <v>SENIOR DESIGN PROJECT ENGINEER</v>
      </c>
      <c r="D1293" s="45" t="s">
        <v>493</v>
      </c>
      <c r="E1293" s="47">
        <v>44386.924155092594</v>
      </c>
      <c r="F1293" s="45" t="s">
        <v>679</v>
      </c>
    </row>
    <row r="1294" spans="1:6" ht="14.25">
      <c r="A1294" s="45"/>
      <c r="B1294" s="45" t="s">
        <v>162</v>
      </c>
      <c r="C1294" s="46" t="str">
        <f>HYPERLINK("https://au.indeed.com/viewjob?jk=f9c3d093daaf39c1","Senior Structural Design Engineer – Construction Engineering")</f>
        <v>Senior Structural Design Engineer – Construction Engineering</v>
      </c>
      <c r="D1294" s="45" t="s">
        <v>711</v>
      </c>
      <c r="E1294" s="47">
        <v>44386.924270833333</v>
      </c>
      <c r="F1294" s="45" t="s">
        <v>679</v>
      </c>
    </row>
    <row r="1295" spans="1:6" ht="14.25">
      <c r="A1295" s="45"/>
      <c r="B1295" s="45" t="s">
        <v>162</v>
      </c>
      <c r="C1295" s="46" t="str">
        <f>HYPERLINK("https://au.indeed.com/viewjob?jk=78787f506359615e","Senior Civil Design Engineer")</f>
        <v>Senior Civil Design Engineer</v>
      </c>
      <c r="D1295" s="45" t="s">
        <v>214</v>
      </c>
      <c r="E1295" s="47">
        <v>44386.924386574072</v>
      </c>
      <c r="F1295" s="45" t="s">
        <v>679</v>
      </c>
    </row>
    <row r="1296" spans="1:6" ht="14.25">
      <c r="A1296" s="45"/>
      <c r="B1296" s="45" t="s">
        <v>162</v>
      </c>
      <c r="C1296" s="46" t="str">
        <f>HYPERLINK("https://au.indeed.com/viewjob?jk=4602aacdbfa53758","Senior Design Project Engineer")</f>
        <v>Senior Design Project Engineer</v>
      </c>
      <c r="D1296" s="45"/>
      <c r="E1296" s="47">
        <v>44386.924525462964</v>
      </c>
      <c r="F1296" s="45" t="s">
        <v>679</v>
      </c>
    </row>
    <row r="1297" spans="1:6" ht="14.25">
      <c r="A1297" s="45"/>
      <c r="B1297" s="45" t="s">
        <v>162</v>
      </c>
      <c r="C1297" s="46" t="str">
        <f>HYPERLINK("https://au.indeed.com/viewjob?jk=f82ad801ee85f990","Senior Digital Design Engineer")</f>
        <v>Senior Digital Design Engineer</v>
      </c>
      <c r="D1297" s="45" t="s">
        <v>712</v>
      </c>
      <c r="E1297" s="47">
        <v>44386.924618055556</v>
      </c>
      <c r="F1297" s="45" t="s">
        <v>679</v>
      </c>
    </row>
    <row r="1298" spans="1:6" ht="14.25">
      <c r="A1298" s="45"/>
      <c r="B1298" s="45" t="s">
        <v>162</v>
      </c>
      <c r="C1298" s="46" t="str">
        <f>HYPERLINK("https://au.indeed.com/viewjob?jk=d0cd6df2b8b2b6a0","Structural Design Engineer – Construction Engineering")</f>
        <v>Structural Design Engineer – Construction Engineering</v>
      </c>
      <c r="D1298" s="45" t="s">
        <v>711</v>
      </c>
      <c r="E1298" s="47">
        <v>44386.924722222226</v>
      </c>
      <c r="F1298" s="45" t="s">
        <v>679</v>
      </c>
    </row>
    <row r="1299" spans="1:6" ht="14.25">
      <c r="A1299" s="45"/>
      <c r="B1299" s="45" t="s">
        <v>162</v>
      </c>
      <c r="C1299" s="46" t="str">
        <f>HYPERLINK("https://au.indeed.com/viewjob?jk=a7dcac7d7f91f0fd","Senior Signal Design Engineer")</f>
        <v>Senior Signal Design Engineer</v>
      </c>
      <c r="D1299" s="45" t="s">
        <v>356</v>
      </c>
      <c r="E1299" s="47">
        <v>44386.925300925926</v>
      </c>
      <c r="F1299" s="45" t="s">
        <v>679</v>
      </c>
    </row>
    <row r="1300" spans="1:6" ht="14.25">
      <c r="A1300" s="45"/>
      <c r="B1300" s="45" t="s">
        <v>162</v>
      </c>
      <c r="C1300" s="46" t="str">
        <f>HYPERLINK("https://au.indeed.com/viewjob?jk=60cf13d83a3b1cbf","Intermediate / Senior Hydraulic Design Engineer - Building Services")</f>
        <v>Intermediate / Senior Hydraulic Design Engineer - Building Services</v>
      </c>
      <c r="D1300" s="45" t="s">
        <v>214</v>
      </c>
      <c r="E1300" s="47">
        <v>44386.925393518519</v>
      </c>
      <c r="F1300" s="45" t="s">
        <v>679</v>
      </c>
    </row>
    <row r="1301" spans="1:6" ht="14.25">
      <c r="A1301" s="45"/>
      <c r="B1301" s="45" t="s">
        <v>162</v>
      </c>
      <c r="C1301" s="46" t="str">
        <f>HYPERLINK("https://au.indeed.com/viewjob?jk=e0e3d62b325bfa35","Hardware Design Systems Engineer, Chrome OS")</f>
        <v>Hardware Design Systems Engineer, Chrome OS</v>
      </c>
      <c r="D1301" s="45" t="s">
        <v>358</v>
      </c>
      <c r="E1301" s="47">
        <v>44386.925740740742</v>
      </c>
      <c r="F1301" s="45" t="s">
        <v>679</v>
      </c>
    </row>
    <row r="1302" spans="1:6" ht="14.25">
      <c r="A1302" s="45"/>
      <c r="B1302" s="45" t="s">
        <v>162</v>
      </c>
      <c r="C1302" s="46" t="str">
        <f>HYPERLINK("https://au.indeed.com/viewjob?jk=b93147d813edfc13","Civil Design Engineer")</f>
        <v>Civil Design Engineer</v>
      </c>
      <c r="D1302" s="45" t="s">
        <v>391</v>
      </c>
      <c r="E1302" s="47">
        <v>44386.926585648151</v>
      </c>
      <c r="F1302" s="45" t="s">
        <v>679</v>
      </c>
    </row>
    <row r="1303" spans="1:6" ht="14.25">
      <c r="A1303" s="45"/>
      <c r="B1303" s="45" t="s">
        <v>162</v>
      </c>
      <c r="C1303" s="46" t="str">
        <f>HYPERLINK("https://au.indeed.com/viewjob?jk=cabd000abda68334","Senior Electronic Design Engineer")</f>
        <v>Senior Electronic Design Engineer</v>
      </c>
      <c r="D1303" s="45" t="s">
        <v>414</v>
      </c>
      <c r="E1303" s="47">
        <v>44386.927488425928</v>
      </c>
      <c r="F1303" s="45" t="s">
        <v>679</v>
      </c>
    </row>
    <row r="1304" spans="1:6" ht="14.25">
      <c r="A1304" s="45"/>
      <c r="B1304" s="45" t="s">
        <v>162</v>
      </c>
      <c r="C1304" s="46" t="str">
        <f>HYPERLINK("https://au.indeed.com/viewjob?jk=6b7373223fe72345","Structural Design Engineer / Senior Structural Design Engineer")</f>
        <v>Structural Design Engineer / Senior Structural Design Engineer</v>
      </c>
      <c r="D1304" s="45" t="s">
        <v>214</v>
      </c>
      <c r="E1304" s="47">
        <v>44386.928148148145</v>
      </c>
      <c r="F1304" s="45" t="s">
        <v>679</v>
      </c>
    </row>
    <row r="1305" spans="1:6" ht="14.25">
      <c r="A1305" s="45"/>
      <c r="B1305" s="45" t="s">
        <v>162</v>
      </c>
      <c r="C1305" s="46" t="str">
        <f>HYPERLINK("https://au.indeed.com/viewjob?jk=f37526300d7e1798","Senior Electronic Design Engineer")</f>
        <v>Senior Electronic Design Engineer</v>
      </c>
      <c r="D1305" s="45" t="s">
        <v>691</v>
      </c>
      <c r="E1305" s="47">
        <v>44386.9296412037</v>
      </c>
      <c r="F1305" s="45" t="s">
        <v>679</v>
      </c>
    </row>
    <row r="1306" spans="1:6" ht="14.25">
      <c r="A1306" s="45"/>
      <c r="B1306" s="45" t="s">
        <v>162</v>
      </c>
      <c r="C1306" s="46" t="str">
        <f>HYPERLINK("https://au.indeed.com/viewjob?jk=1df00d41a7891d82","Design System - Frontend Software Engineer")</f>
        <v>Design System - Frontend Software Engineer</v>
      </c>
      <c r="D1306" s="45" t="s">
        <v>383</v>
      </c>
      <c r="E1306" s="47">
        <v>44386.930312500001</v>
      </c>
      <c r="F1306" s="45" t="s">
        <v>679</v>
      </c>
    </row>
    <row r="1307" spans="1:6" ht="14.25">
      <c r="A1307" s="45"/>
      <c r="B1307" s="45" t="s">
        <v>186</v>
      </c>
      <c r="C1307" s="46" t="str">
        <f>HYPERLINK("https://au.indeed.com/viewjob?jk=78d104698035462c","Software Development Engineer (Android + PKI)")</f>
        <v>Software Development Engineer (Android + PKI)</v>
      </c>
      <c r="D1307" s="45" t="s">
        <v>713</v>
      </c>
      <c r="E1307" s="47">
        <v>44386.930451388886</v>
      </c>
      <c r="F1307" s="45" t="s">
        <v>679</v>
      </c>
    </row>
    <row r="1308" spans="1:6" ht="14.25">
      <c r="A1308" s="45"/>
      <c r="B1308" s="45" t="s">
        <v>186</v>
      </c>
      <c r="C1308" s="46" t="str">
        <f>HYPERLINK("https://au.indeed.com/viewjob?jk=7a6f542ca702a6c0","Product Development Engineer")</f>
        <v>Product Development Engineer</v>
      </c>
      <c r="D1308" s="45" t="s">
        <v>531</v>
      </c>
      <c r="E1308" s="47">
        <v>44386.930567129632</v>
      </c>
      <c r="F1308" s="45" t="s">
        <v>679</v>
      </c>
    </row>
    <row r="1309" spans="1:6" ht="14.25">
      <c r="A1309" s="45"/>
      <c r="B1309" s="45" t="s">
        <v>186</v>
      </c>
      <c r="C1309" s="46" t="str">
        <f>HYPERLINK("https://au.indeed.com/viewjob?jk=e0b81faaff2d4aa2","Network Development Engineer II")</f>
        <v>Network Development Engineer II</v>
      </c>
      <c r="D1309" s="45" t="s">
        <v>423</v>
      </c>
      <c r="E1309" s="47">
        <v>44386.93068287037</v>
      </c>
      <c r="F1309" s="45" t="s">
        <v>679</v>
      </c>
    </row>
    <row r="1310" spans="1:6" ht="14.25">
      <c r="A1310" s="45"/>
      <c r="B1310" s="45" t="s">
        <v>186</v>
      </c>
      <c r="C1310" s="46" t="str">
        <f>HYPERLINK("https://au.indeed.com/viewjob?jk=006fd93b9aed6b7e","Network Development Engineer")</f>
        <v>Network Development Engineer</v>
      </c>
      <c r="D1310" s="45" t="s">
        <v>423</v>
      </c>
      <c r="E1310" s="47">
        <v>44386.930810185186</v>
      </c>
      <c r="F1310" s="45" t="s">
        <v>679</v>
      </c>
    </row>
    <row r="1311" spans="1:6" ht="14.25">
      <c r="A1311" s="45"/>
      <c r="B1311" s="45" t="s">
        <v>186</v>
      </c>
      <c r="C1311" s="46" t="str">
        <f>HYPERLINK("https://au.indeed.com/viewjob?jk=177bfa8bfa2646d3","Development Electrical Engineer")</f>
        <v>Development Electrical Engineer</v>
      </c>
      <c r="D1311" s="45" t="s">
        <v>587</v>
      </c>
      <c r="E1311" s="47">
        <v>44386.930925925924</v>
      </c>
      <c r="F1311" s="45" t="s">
        <v>679</v>
      </c>
    </row>
    <row r="1312" spans="1:6" ht="14.25">
      <c r="A1312" s="45"/>
      <c r="B1312" s="45" t="s">
        <v>186</v>
      </c>
      <c r="C1312" s="46" t="str">
        <f>HYPERLINK("https://au.indeed.com/viewjob?jk=cbca463d24798e8f","Network Development Engineer")</f>
        <v>Network Development Engineer</v>
      </c>
      <c r="D1312" s="45" t="s">
        <v>423</v>
      </c>
      <c r="E1312" s="47">
        <v>44386.93105324074</v>
      </c>
      <c r="F1312" s="45" t="s">
        <v>679</v>
      </c>
    </row>
    <row r="1313" spans="1:6" ht="14.25">
      <c r="A1313" s="45"/>
      <c r="B1313" s="45" t="s">
        <v>186</v>
      </c>
      <c r="C1313" s="46" t="str">
        <f>HYPERLINK("https://au.indeed.com/viewjob?jk=2c16c8abb44562fd","Product Development Engineer")</f>
        <v>Product Development Engineer</v>
      </c>
      <c r="D1313" s="45" t="s">
        <v>714</v>
      </c>
      <c r="E1313" s="47">
        <v>44386.931157407409</v>
      </c>
      <c r="F1313" s="45" t="s">
        <v>679</v>
      </c>
    </row>
    <row r="1314" spans="1:6" ht="14.25">
      <c r="A1314" s="45"/>
      <c r="B1314" s="45" t="s">
        <v>186</v>
      </c>
      <c r="C1314" s="46" t="str">
        <f>HYPERLINK("https://au.indeed.com/viewjob?jk=1a6ee5322c440d23","Software Development Engineer I")</f>
        <v>Software Development Engineer I</v>
      </c>
      <c r="D1314" s="46" t="s">
        <v>560</v>
      </c>
      <c r="E1314" s="47">
        <v>44386.931273148148</v>
      </c>
      <c r="F1314" s="45" t="s">
        <v>679</v>
      </c>
    </row>
    <row r="1315" spans="1:6" ht="14.25">
      <c r="A1315" s="45"/>
      <c r="B1315" s="45" t="s">
        <v>186</v>
      </c>
      <c r="C1315" s="46" t="str">
        <f>HYPERLINK("https://au.indeed.com/viewjob?jk=2bfdcedd34946d79","Network Development Engineer")</f>
        <v>Network Development Engineer</v>
      </c>
      <c r="D1315" s="45" t="s">
        <v>423</v>
      </c>
      <c r="E1315" s="47">
        <v>44386.931388888886</v>
      </c>
      <c r="F1315" s="45" t="s">
        <v>679</v>
      </c>
    </row>
    <row r="1316" spans="1:6" ht="14.25">
      <c r="A1316" s="45"/>
      <c r="B1316" s="45" t="s">
        <v>186</v>
      </c>
      <c r="C1316" s="46" t="str">
        <f>HYPERLINK("https://au.indeed.com/viewjob?jk=dd55d0a61ddd662f","Network Development Engineer")</f>
        <v>Network Development Engineer</v>
      </c>
      <c r="D1316" s="45" t="s">
        <v>369</v>
      </c>
      <c r="E1316" s="47">
        <v>44386.931805555556</v>
      </c>
      <c r="F1316" s="45" t="s">
        <v>679</v>
      </c>
    </row>
    <row r="1317" spans="1:6" ht="14.25">
      <c r="A1317" s="45"/>
      <c r="B1317" s="45" t="s">
        <v>186</v>
      </c>
      <c r="C1317" s="46" t="str">
        <f>HYPERLINK("https://au.indeed.com/viewjob?jk=c9035e6c25f942e8","Network Development Engineer - Core Networks - Automation")</f>
        <v>Network Development Engineer - Core Networks - Automation</v>
      </c>
      <c r="D1317" s="45" t="s">
        <v>423</v>
      </c>
      <c r="E1317" s="47">
        <v>44386.931921296295</v>
      </c>
      <c r="F1317" s="45" t="s">
        <v>679</v>
      </c>
    </row>
    <row r="1318" spans="1:6" ht="14.25">
      <c r="A1318" s="45"/>
      <c r="B1318" s="45" t="s">
        <v>186</v>
      </c>
      <c r="C1318" s="46" t="str">
        <f>HYPERLINK("https://au.indeed.com/viewjob?jk=5dc2ef914810a744","Network Development Engineer")</f>
        <v>Network Development Engineer</v>
      </c>
      <c r="D1318" s="45" t="s">
        <v>369</v>
      </c>
      <c r="E1318" s="47">
        <v>44386.932060185187</v>
      </c>
      <c r="F1318" s="45" t="s">
        <v>679</v>
      </c>
    </row>
    <row r="1319" spans="1:6" ht="14.25">
      <c r="A1319" s="45"/>
      <c r="B1319" s="45" t="s">
        <v>186</v>
      </c>
      <c r="C1319" s="46" t="str">
        <f>HYPERLINK("https://au.indeed.com/viewjob?jk=b04f939a055949d1","System Development Engineer - Direct Connect")</f>
        <v>System Development Engineer - Direct Connect</v>
      </c>
      <c r="D1319" s="45" t="s">
        <v>423</v>
      </c>
      <c r="E1319" s="47">
        <v>44386.93241898148</v>
      </c>
      <c r="F1319" s="45" t="s">
        <v>679</v>
      </c>
    </row>
    <row r="1320" spans="1:6" ht="14.25">
      <c r="A1320" s="45"/>
      <c r="B1320" s="45" t="s">
        <v>186</v>
      </c>
      <c r="C1320" s="46" t="str">
        <f>HYPERLINK("https://au.indeed.com/viewjob?jk=c84297338e077c52","Network Development Engineer Apprentice")</f>
        <v>Network Development Engineer Apprentice</v>
      </c>
      <c r="D1320" s="45" t="s">
        <v>369</v>
      </c>
      <c r="E1320" s="47">
        <v>44386.932534722226</v>
      </c>
      <c r="F1320" s="45" t="s">
        <v>679</v>
      </c>
    </row>
    <row r="1321" spans="1:6" ht="14.25">
      <c r="A1321" s="45"/>
      <c r="B1321" s="45" t="s">
        <v>186</v>
      </c>
      <c r="C1321" s="46" t="str">
        <f>HYPERLINK("https://au.indeed.com/viewjob?jk=4005c6f16c82b627","Software Development Engineer - Managed Resources")</f>
        <v>Software Development Engineer - Managed Resources</v>
      </c>
      <c r="D1321" s="45" t="s">
        <v>429</v>
      </c>
      <c r="E1321" s="47">
        <v>44386.932650462964</v>
      </c>
      <c r="F1321" s="45" t="s">
        <v>679</v>
      </c>
    </row>
    <row r="1322" spans="1:6" ht="14.25">
      <c r="A1322" s="45"/>
      <c r="B1322" s="45" t="s">
        <v>186</v>
      </c>
      <c r="C1322" s="46" t="str">
        <f>HYPERLINK("https://au.indeed.com/viewjob?jk=d2188b04b756438f","Product Development Engineer, Medical Devices")</f>
        <v>Product Development Engineer, Medical Devices</v>
      </c>
      <c r="D1322" s="45" t="s">
        <v>627</v>
      </c>
      <c r="E1322" s="47">
        <v>44386.932766203703</v>
      </c>
      <c r="F1322" s="45" t="s">
        <v>679</v>
      </c>
    </row>
    <row r="1323" spans="1:6" ht="14.25">
      <c r="A1323" s="45"/>
      <c r="B1323" s="45" t="s">
        <v>186</v>
      </c>
      <c r="C1323" s="46" t="str">
        <f>HYPERLINK("https://au.indeed.com/viewjob?jk=7a6b7e451095607c","Network Development Engineer - Direct Connect")</f>
        <v>Network Development Engineer - Direct Connect</v>
      </c>
      <c r="D1323" s="45" t="s">
        <v>423</v>
      </c>
      <c r="E1323" s="47">
        <v>44386.932881944442</v>
      </c>
      <c r="F1323" s="45" t="s">
        <v>679</v>
      </c>
    </row>
    <row r="1324" spans="1:6" ht="14.25">
      <c r="A1324" s="45"/>
      <c r="B1324" s="45" t="s">
        <v>186</v>
      </c>
      <c r="C1324" s="46" t="str">
        <f>HYPERLINK("https://au.indeed.com/viewjob?jk=9ccc6e5af34a66f1","Senior Network Development Engineer")</f>
        <v>Senior Network Development Engineer</v>
      </c>
      <c r="D1324" s="45" t="s">
        <v>423</v>
      </c>
      <c r="E1324" s="47">
        <v>44386.933009259257</v>
      </c>
      <c r="F1324" s="45" t="s">
        <v>679</v>
      </c>
    </row>
    <row r="1325" spans="1:6" ht="14.25">
      <c r="A1325" s="45"/>
      <c r="B1325" s="45" t="s">
        <v>186</v>
      </c>
      <c r="C1325" s="46" t="str">
        <f>HYPERLINK("https://au.indeed.com/viewjob?jk=625145b79fd303c5","Network Development Engineer")</f>
        <v>Network Development Engineer</v>
      </c>
      <c r="D1325" s="45" t="s">
        <v>423</v>
      </c>
      <c r="E1325" s="47">
        <v>44386.933159722219</v>
      </c>
      <c r="F1325" s="45" t="s">
        <v>679</v>
      </c>
    </row>
    <row r="1326" spans="1:6" ht="14.25">
      <c r="A1326" s="45"/>
      <c r="B1326" s="45" t="s">
        <v>186</v>
      </c>
      <c r="C1326" s="46" t="str">
        <f>HYPERLINK("https://au.indeed.com/viewjob?jk=3a4a8c0bf5262963","Packaging Development Engineer")</f>
        <v>Packaging Development Engineer</v>
      </c>
      <c r="D1326" s="45" t="s">
        <v>715</v>
      </c>
      <c r="E1326" s="47">
        <v>44386.933263888888</v>
      </c>
      <c r="F1326" s="45" t="s">
        <v>679</v>
      </c>
    </row>
    <row r="1327" spans="1:6" ht="14.25">
      <c r="A1327" s="45"/>
      <c r="B1327" s="45" t="s">
        <v>186</v>
      </c>
      <c r="C1327" s="46" t="str">
        <f>HYPERLINK("https://au.indeed.com/viewjob?jk=55b18eb2dcec9a05","Software Development Engineer II")</f>
        <v>Software Development Engineer II</v>
      </c>
      <c r="D1327" s="45" t="s">
        <v>716</v>
      </c>
      <c r="E1327" s="47">
        <v>44386.933368055557</v>
      </c>
      <c r="F1327" s="45" t="s">
        <v>679</v>
      </c>
    </row>
    <row r="1328" spans="1:6" ht="14.25">
      <c r="A1328" s="45"/>
      <c r="B1328" s="45" t="s">
        <v>186</v>
      </c>
      <c r="C1328" s="46" t="str">
        <f>HYPERLINK("https://au.indeed.com/viewjob?jk=2893cc5dbb140300","Development Engineer")</f>
        <v>Development Engineer</v>
      </c>
      <c r="D1328" s="45" t="s">
        <v>420</v>
      </c>
      <c r="E1328" s="47">
        <v>44386.933483796296</v>
      </c>
      <c r="F1328" s="45" t="s">
        <v>679</v>
      </c>
    </row>
    <row r="1329" spans="1:6" ht="14.25">
      <c r="A1329" s="45"/>
      <c r="B1329" s="45" t="s">
        <v>186</v>
      </c>
      <c r="C1329" s="46" t="str">
        <f>HYPERLINK("https://au.indeed.com/viewjob?jk=353194bd9ae359fe","Project Engineer - New Product Development")</f>
        <v>Project Engineer - New Product Development</v>
      </c>
      <c r="D1329" s="45" t="s">
        <v>419</v>
      </c>
      <c r="E1329" s="47">
        <v>44386.933599537035</v>
      </c>
      <c r="F1329" s="45" t="s">
        <v>679</v>
      </c>
    </row>
    <row r="1330" spans="1:6" ht="14.25">
      <c r="A1330" s="45"/>
      <c r="B1330" s="45" t="s">
        <v>186</v>
      </c>
      <c r="C1330" s="46" t="str">
        <f>HYPERLINK("https://au.indeed.com/viewjob?jk=8a89b8807f8cd160","Network Development Engineer")</f>
        <v>Network Development Engineer</v>
      </c>
      <c r="D1330" s="45" t="s">
        <v>423</v>
      </c>
      <c r="E1330" s="47">
        <v>44386.93372685185</v>
      </c>
      <c r="F1330" s="45" t="s">
        <v>679</v>
      </c>
    </row>
    <row r="1331" spans="1:6" ht="14.25">
      <c r="A1331" s="45"/>
      <c r="B1331" s="45" t="s">
        <v>186</v>
      </c>
      <c r="C1331" s="46" t="str">
        <f>HYPERLINK("https://au.indeed.com/viewjob?jk=ad9edd1b2283ace0","Network Development Engineer")</f>
        <v>Network Development Engineer</v>
      </c>
      <c r="D1331" s="45" t="s">
        <v>423</v>
      </c>
      <c r="E1331" s="47">
        <v>44386.933842592596</v>
      </c>
      <c r="F1331" s="45" t="s">
        <v>679</v>
      </c>
    </row>
    <row r="1332" spans="1:6" ht="14.25">
      <c r="A1332" s="45"/>
      <c r="B1332" s="45" t="s">
        <v>186</v>
      </c>
      <c r="C1332" s="46" t="str">
        <f>HYPERLINK("https://au.indeed.com/viewjob?jk=1c86185be75ebad7","Software Development Engineer - Multiple Opportunities")</f>
        <v>Software Development Engineer - Multiple Opportunities</v>
      </c>
      <c r="D1332" s="45" t="s">
        <v>717</v>
      </c>
      <c r="E1332" s="47">
        <v>44386.933946759258</v>
      </c>
      <c r="F1332" s="45" t="s">
        <v>679</v>
      </c>
    </row>
    <row r="1333" spans="1:6" ht="14.25">
      <c r="A1333" s="45"/>
      <c r="B1333" s="45" t="s">
        <v>186</v>
      </c>
      <c r="C1333" s="46" t="str">
        <f>HYPERLINK("https://au.indeed.com/viewjob?jk=b0c1fbbf33295db6","Network Development Engineer")</f>
        <v>Network Development Engineer</v>
      </c>
      <c r="D1333" s="45" t="s">
        <v>423</v>
      </c>
      <c r="E1333" s="47">
        <v>44386.934328703705</v>
      </c>
      <c r="F1333" s="45" t="s">
        <v>679</v>
      </c>
    </row>
    <row r="1334" spans="1:6" ht="14.25">
      <c r="A1334" s="45"/>
      <c r="B1334" s="45" t="s">
        <v>186</v>
      </c>
      <c r="C1334" s="46" t="str">
        <f>HYPERLINK("https://au.indeed.com/viewjob?jk=7a725a34a5380131","Network Development Engineer")</f>
        <v>Network Development Engineer</v>
      </c>
      <c r="D1334" s="45" t="s">
        <v>423</v>
      </c>
      <c r="E1334" s="47">
        <v>44386.934502314813</v>
      </c>
      <c r="F1334" s="45" t="s">
        <v>679</v>
      </c>
    </row>
    <row r="1335" spans="1:6" ht="14.25">
      <c r="A1335" s="45"/>
      <c r="B1335" s="45" t="s">
        <v>186</v>
      </c>
      <c r="C1335" s="46" t="str">
        <f>HYPERLINK("https://au.indeed.com/viewjob?jk=7748f50287d2e36a","Network Development Engineer Graduate 2021")</f>
        <v>Network Development Engineer Graduate 2021</v>
      </c>
      <c r="D1335" s="45" t="s">
        <v>423</v>
      </c>
      <c r="E1335" s="47">
        <v>44386.934629629628</v>
      </c>
      <c r="F1335" s="45" t="s">
        <v>679</v>
      </c>
    </row>
    <row r="1336" spans="1:6" ht="14.25">
      <c r="A1336" s="45"/>
      <c r="B1336" s="45" t="s">
        <v>186</v>
      </c>
      <c r="C1336" s="46" t="str">
        <f>HYPERLINK("https://au.indeed.com/viewjob?jk=143d642db638f3d0","Network Development Engineer")</f>
        <v>Network Development Engineer</v>
      </c>
      <c r="D1336" s="45" t="s">
        <v>423</v>
      </c>
      <c r="E1336" s="47">
        <v>44386.934745370374</v>
      </c>
      <c r="F1336" s="45" t="s">
        <v>679</v>
      </c>
    </row>
    <row r="1337" spans="1:6" ht="14.25">
      <c r="A1337" s="45"/>
      <c r="B1337" s="45" t="s">
        <v>186</v>
      </c>
      <c r="C1337" s="46" t="str">
        <f>HYPERLINK("https://au.indeed.com/viewjob?jk=c8d825c88c115657","Network Development Engineer")</f>
        <v>Network Development Engineer</v>
      </c>
      <c r="D1337" s="45" t="s">
        <v>423</v>
      </c>
      <c r="E1337" s="47">
        <v>44386.934872685182</v>
      </c>
      <c r="F1337" s="45" t="s">
        <v>679</v>
      </c>
    </row>
    <row r="1338" spans="1:6" ht="14.25">
      <c r="A1338" s="45"/>
      <c r="B1338" s="45" t="s">
        <v>186</v>
      </c>
      <c r="C1338" s="46" t="str">
        <f>HYPERLINK("https://au.indeed.com/viewjob?jk=d89bdd7b0519bc64","Systems Development Engineer -Networking")</f>
        <v>Systems Development Engineer -Networking</v>
      </c>
      <c r="D1338" s="45" t="s">
        <v>423</v>
      </c>
      <c r="E1338" s="47">
        <v>44386.935011574074</v>
      </c>
      <c r="F1338" s="45" t="s">
        <v>679</v>
      </c>
    </row>
    <row r="1339" spans="1:6" ht="14.25">
      <c r="A1339" s="45"/>
      <c r="B1339" s="45" t="s">
        <v>186</v>
      </c>
      <c r="C1339" s="46" t="str">
        <f>HYPERLINK("https://au.indeed.com/viewjob?jk=28f34e8a1813f0f1","Senior Software Development Engineer")</f>
        <v>Senior Software Development Engineer</v>
      </c>
      <c r="D1339" s="45" t="s">
        <v>716</v>
      </c>
      <c r="E1339" s="47">
        <v>44386.935115740744</v>
      </c>
      <c r="F1339" s="45" t="s">
        <v>679</v>
      </c>
    </row>
    <row r="1340" spans="1:6" ht="14.25">
      <c r="A1340" s="45"/>
      <c r="B1340" s="45" t="s">
        <v>186</v>
      </c>
      <c r="C1340" s="46" t="str">
        <f>HYPERLINK("https://au.indeed.com/viewjob?jk=5d18420e68989c2a","Senior Development Engineer")</f>
        <v>Senior Development Engineer</v>
      </c>
      <c r="D1340" s="45" t="s">
        <v>391</v>
      </c>
      <c r="E1340" s="47">
        <v>44386.935219907406</v>
      </c>
      <c r="F1340" s="45" t="s">
        <v>679</v>
      </c>
    </row>
    <row r="1341" spans="1:6" ht="14.25">
      <c r="A1341" s="45"/>
      <c r="B1341" s="45" t="s">
        <v>186</v>
      </c>
      <c r="C1341" s="46" t="str">
        <f>HYPERLINK("https://au.indeed.com/viewjob?jk=8c062c3cafe2e340","Network Development Engineer")</f>
        <v>Network Development Engineer</v>
      </c>
      <c r="D1341" s="45" t="s">
        <v>423</v>
      </c>
      <c r="E1341" s="47">
        <v>44386.935347222221</v>
      </c>
      <c r="F1341" s="45" t="s">
        <v>679</v>
      </c>
    </row>
    <row r="1342" spans="1:6" ht="14.25">
      <c r="A1342" s="45"/>
      <c r="B1342" s="45" t="s">
        <v>186</v>
      </c>
      <c r="C1342" s="46" t="str">
        <f>HYPERLINK("https://au.indeed.com/viewjob?jk=0250849b2820698c","Network Development Engineer")</f>
        <v>Network Development Engineer</v>
      </c>
      <c r="D1342" s="45" t="s">
        <v>423</v>
      </c>
      <c r="E1342" s="47">
        <v>44386.93545138889</v>
      </c>
      <c r="F1342" s="45" t="s">
        <v>679</v>
      </c>
    </row>
    <row r="1343" spans="1:6" ht="14.25">
      <c r="A1343" s="45"/>
      <c r="B1343" s="45" t="s">
        <v>186</v>
      </c>
      <c r="C1343" s="46" t="str">
        <f>HYPERLINK("https://au.indeed.com/viewjob?jk=8e23146666197fd0","Software Development Engineer")</f>
        <v>Software Development Engineer</v>
      </c>
      <c r="D1343" s="45" t="s">
        <v>417</v>
      </c>
      <c r="E1343" s="47">
        <v>44386.935879629629</v>
      </c>
      <c r="F1343" s="45" t="s">
        <v>679</v>
      </c>
    </row>
    <row r="1344" spans="1:6" ht="14.25">
      <c r="A1344" s="45"/>
      <c r="B1344" s="45" t="s">
        <v>186</v>
      </c>
      <c r="C1344" s="46" t="str">
        <f>HYPERLINK("https://au.indeed.com/viewjob?jk=6798fb97a7a4a24f","iOS Engineer - Mobile development team")</f>
        <v>iOS Engineer - Mobile development team</v>
      </c>
      <c r="D1344" s="45" t="s">
        <v>718</v>
      </c>
      <c r="E1344" s="47">
        <v>44386.935983796298</v>
      </c>
      <c r="F1344" s="45" t="s">
        <v>679</v>
      </c>
    </row>
    <row r="1345" spans="1:6" ht="14.25">
      <c r="A1345" s="45"/>
      <c r="B1345" s="45" t="s">
        <v>186</v>
      </c>
      <c r="C1345" s="46" t="str">
        <f>HYPERLINK("https://au.indeed.com/viewjob?jk=cec3afd50644dad1","Senior Development Operations Engineer")</f>
        <v>Senior Development Operations Engineer</v>
      </c>
      <c r="D1345" s="45" t="s">
        <v>719</v>
      </c>
      <c r="E1345" s="47">
        <v>44386.93608796296</v>
      </c>
      <c r="F1345" s="45" t="s">
        <v>679</v>
      </c>
    </row>
    <row r="1346" spans="1:6" ht="14.25">
      <c r="A1346" s="45"/>
      <c r="B1346" s="45" t="s">
        <v>186</v>
      </c>
      <c r="C1346" s="46" t="str">
        <f>HYPERLINK("https://au.indeed.com/viewjob?jk=e76a369863b4e1ff","Systems Development Engineer - RDS OS Eng")</f>
        <v>Systems Development Engineer - RDS OS Eng</v>
      </c>
      <c r="D1346" s="45" t="s">
        <v>429</v>
      </c>
      <c r="E1346" s="47">
        <v>44386.936203703706</v>
      </c>
      <c r="F1346" s="45" t="s">
        <v>679</v>
      </c>
    </row>
    <row r="1347" spans="1:6" ht="14.25">
      <c r="A1347" s="45"/>
      <c r="B1347" s="45" t="s">
        <v>186</v>
      </c>
      <c r="C1347" s="46" t="str">
        <f>HYPERLINK("https://au.indeed.com/viewjob?jk=29dc5b7b46f61fd0","Systems Development Engineer- AWS internet edge capacity")</f>
        <v>Systems Development Engineer- AWS internet edge capacity</v>
      </c>
      <c r="D1347" s="45" t="s">
        <v>423</v>
      </c>
      <c r="E1347" s="47">
        <v>44386.936331018522</v>
      </c>
      <c r="F1347" s="45" t="s">
        <v>679</v>
      </c>
    </row>
    <row r="1348" spans="1:6" ht="14.25">
      <c r="A1348" s="45"/>
      <c r="B1348" s="45" t="s">
        <v>186</v>
      </c>
      <c r="C1348" s="46" t="str">
        <f>HYPERLINK("https://au.indeed.com/viewjob?jk=2b345d82b9213129","Software Development Engineer, Compute Platforms")</f>
        <v>Software Development Engineer, Compute Platforms</v>
      </c>
      <c r="D1348" s="45" t="s">
        <v>423</v>
      </c>
      <c r="E1348" s="47">
        <v>44386.93645833333</v>
      </c>
      <c r="F1348" s="45" t="s">
        <v>679</v>
      </c>
    </row>
    <row r="1349" spans="1:6" ht="14.25">
      <c r="A1349" s="45"/>
      <c r="B1349" s="45" t="s">
        <v>186</v>
      </c>
      <c r="C1349" s="46" t="str">
        <f>HYPERLINK("https://au.indeed.com/viewjob?jk=d306b019690b274c","Network Development Engineer")</f>
        <v>Network Development Engineer</v>
      </c>
      <c r="D1349" s="45" t="s">
        <v>423</v>
      </c>
      <c r="E1349" s="47">
        <v>44386.936574074076</v>
      </c>
      <c r="F1349" s="45" t="s">
        <v>679</v>
      </c>
    </row>
    <row r="1350" spans="1:6" ht="14.25">
      <c r="A1350" s="45"/>
      <c r="B1350" s="45" t="s">
        <v>186</v>
      </c>
      <c r="C1350" s="46" t="str">
        <f>HYPERLINK("https://au.indeed.com/viewjob?jk=b0febd714bb4ef3e","Software Development Engineer - RDS (Relational Database Services)")</f>
        <v>Software Development Engineer - RDS (Relational Database Services)</v>
      </c>
      <c r="D1350" s="45" t="s">
        <v>423</v>
      </c>
      <c r="E1350" s="47">
        <v>44386.936701388891</v>
      </c>
      <c r="F1350" s="45" t="s">
        <v>679</v>
      </c>
    </row>
    <row r="1351" spans="1:6" ht="14.25">
      <c r="A1351" s="45"/>
      <c r="B1351" s="45" t="s">
        <v>186</v>
      </c>
      <c r="C1351" s="46" t="str">
        <f>HYPERLINK("https://au.indeed.com/viewjob?jk=139112ddf1699de6","Software Development Engineer - Service Integrator")</f>
        <v>Software Development Engineer - Service Integrator</v>
      </c>
      <c r="D1351" s="45" t="s">
        <v>717</v>
      </c>
      <c r="E1351" s="47">
        <v>44386.93681712963</v>
      </c>
      <c r="F1351" s="45" t="s">
        <v>679</v>
      </c>
    </row>
    <row r="1352" spans="1:6" ht="14.25">
      <c r="A1352" s="45"/>
      <c r="B1352" s="45" t="s">
        <v>186</v>
      </c>
      <c r="C1352" s="46" t="str">
        <f>HYPERLINK("https://au.indeed.com/viewjob?jk=10365379a6339098","Software Development Engineer II")</f>
        <v>Software Development Engineer II</v>
      </c>
      <c r="D1352" s="46" t="s">
        <v>560</v>
      </c>
      <c r="E1352" s="47">
        <v>44386.937210648146</v>
      </c>
      <c r="F1352" s="45" t="s">
        <v>679</v>
      </c>
    </row>
    <row r="1353" spans="1:6" ht="14.25">
      <c r="A1353" s="45"/>
      <c r="B1353" s="45" t="s">
        <v>186</v>
      </c>
      <c r="C1353" s="46" t="str">
        <f>HYPERLINK("https://au.indeed.com/viewjob?jk=059b34af076f8903","Software Development Engineer - AWS Builder Tools")</f>
        <v>Software Development Engineer - AWS Builder Tools</v>
      </c>
      <c r="D1353" s="45" t="s">
        <v>429</v>
      </c>
      <c r="E1353" s="47">
        <v>44386.937326388892</v>
      </c>
      <c r="F1353" s="45" t="s">
        <v>679</v>
      </c>
    </row>
    <row r="1354" spans="1:6" ht="14.25">
      <c r="A1354" s="45"/>
      <c r="B1354" s="45" t="s">
        <v>186</v>
      </c>
      <c r="C1354" s="46" t="str">
        <f>HYPERLINK("https://au.indeed.com/viewjob?jk=4395564a68a2ab5c","Senior Software Development Engineer - AWS Redshift")</f>
        <v>Senior Software Development Engineer - AWS Redshift</v>
      </c>
      <c r="D1354" s="45" t="s">
        <v>429</v>
      </c>
      <c r="E1354" s="47">
        <v>44386.937696759262</v>
      </c>
      <c r="F1354" s="45" t="s">
        <v>679</v>
      </c>
    </row>
    <row r="1355" spans="1:6" ht="14.25">
      <c r="A1355" s="45"/>
      <c r="B1355" s="45" t="s">
        <v>186</v>
      </c>
      <c r="C1355" s="46" t="str">
        <f>HYPERLINK("https://au.indeed.com/viewjob?jk=9aa942d0b6c94c9a","Network Development Engineer")</f>
        <v>Network Development Engineer</v>
      </c>
      <c r="D1355" s="45" t="s">
        <v>423</v>
      </c>
      <c r="E1355" s="47">
        <v>44386.9378125</v>
      </c>
      <c r="F1355" s="45" t="s">
        <v>679</v>
      </c>
    </row>
    <row r="1356" spans="1:6" ht="14.25">
      <c r="A1356" s="45"/>
      <c r="B1356" s="45" t="s">
        <v>186</v>
      </c>
      <c r="C1356" s="46" t="str">
        <f>HYPERLINK("https://au.indeed.com/viewjob?jk=22c3e6bb5df16c54","Systems Development Engineer - AWS Redshift")</f>
        <v>Systems Development Engineer - AWS Redshift</v>
      </c>
      <c r="D1356" s="45" t="s">
        <v>429</v>
      </c>
      <c r="E1356" s="47">
        <v>44386.937951388885</v>
      </c>
      <c r="F1356" s="45" t="s">
        <v>679</v>
      </c>
    </row>
    <row r="1357" spans="1:6" ht="14.25">
      <c r="A1357" s="45"/>
      <c r="B1357" s="45" t="s">
        <v>186</v>
      </c>
      <c r="C1357" s="46" t="str">
        <f>HYPERLINK("https://au.indeed.com/viewjob?jk=44729040a41c15bf","Software Development Engineer")</f>
        <v>Software Development Engineer</v>
      </c>
      <c r="D1357" s="45" t="s">
        <v>369</v>
      </c>
      <c r="E1357" s="47">
        <v>44386.938090277778</v>
      </c>
      <c r="F1357" s="45" t="s">
        <v>679</v>
      </c>
    </row>
    <row r="1358" spans="1:6" ht="14.25">
      <c r="A1358" s="45"/>
      <c r="B1358" s="45" t="s">
        <v>186</v>
      </c>
      <c r="C1358" s="46" t="str">
        <f>HYPERLINK("https://au.indeed.com/viewjob?jk=3a950ad3db7f1d98","Senior Systems Development Engineer")</f>
        <v>Senior Systems Development Engineer</v>
      </c>
      <c r="D1358" s="45" t="s">
        <v>423</v>
      </c>
      <c r="E1358" s="47">
        <v>44386.938761574071</v>
      </c>
      <c r="F1358" s="45" t="s">
        <v>679</v>
      </c>
    </row>
    <row r="1359" spans="1:6" ht="14.25">
      <c r="A1359" s="45"/>
      <c r="B1359" s="45" t="s">
        <v>186</v>
      </c>
      <c r="C1359" s="46" t="str">
        <f>HYPERLINK("https://au.indeed.com/viewjob?jk=44a3853a6be41b96","Software Development Engineer - AWS Networking")</f>
        <v>Software Development Engineer - AWS Networking</v>
      </c>
      <c r="D1359" s="45" t="s">
        <v>423</v>
      </c>
      <c r="E1359" s="47">
        <v>44386.938888888886</v>
      </c>
      <c r="F1359" s="45" t="s">
        <v>679</v>
      </c>
    </row>
    <row r="1360" spans="1:6" ht="14.25">
      <c r="A1360" s="45"/>
      <c r="B1360" s="45" t="s">
        <v>186</v>
      </c>
      <c r="C1360" s="46" t="str">
        <f>HYPERLINK("https://au.indeed.com/viewjob?jk=7fd993fc6556a8f9","Senior Software Development Engineer")</f>
        <v>Senior Software Development Engineer</v>
      </c>
      <c r="D1360" s="45" t="s">
        <v>369</v>
      </c>
      <c r="E1360" s="47">
        <v>44386.939016203702</v>
      </c>
      <c r="F1360" s="45" t="s">
        <v>679</v>
      </c>
    </row>
    <row r="1361" spans="1:6" ht="14.25">
      <c r="A1361" s="45"/>
      <c r="B1361" s="45" t="s">
        <v>186</v>
      </c>
      <c r="C1361" s="46" t="str">
        <f>HYPERLINK("https://au.indeed.com/viewjob?jk=d93dfdf26299799c","Senior Software Engineer - UI/ Front-end development")</f>
        <v>Senior Software Engineer - UI/ Front-end development</v>
      </c>
      <c r="D1361" s="45" t="s">
        <v>661</v>
      </c>
      <c r="E1361" s="47">
        <v>44386.939131944448</v>
      </c>
      <c r="F1361" s="45" t="s">
        <v>679</v>
      </c>
    </row>
    <row r="1362" spans="1:6" ht="14.25">
      <c r="A1362" s="45"/>
      <c r="B1362" s="45" t="s">
        <v>186</v>
      </c>
      <c r="C1362" s="46" t="str">
        <f>HYPERLINK("https://au.indeed.com/viewjob?jk=dacea7b94f7290d1","Software Development Engineer, Network Services")</f>
        <v>Software Development Engineer, Network Services</v>
      </c>
      <c r="D1362" s="45" t="s">
        <v>423</v>
      </c>
      <c r="E1362" s="47">
        <v>44386.939247685186</v>
      </c>
      <c r="F1362" s="45" t="s">
        <v>679</v>
      </c>
    </row>
    <row r="1363" spans="1:6" ht="14.25">
      <c r="A1363" s="45"/>
      <c r="B1363" s="45" t="s">
        <v>186</v>
      </c>
      <c r="C1363" s="46" t="str">
        <f>HYPERLINK("https://au.indeed.com/viewjob?jk=883ca005808030fc","Network Development Engineer")</f>
        <v>Network Development Engineer</v>
      </c>
      <c r="D1363" s="45" t="s">
        <v>423</v>
      </c>
      <c r="E1363" s="47">
        <v>44386.939375000002</v>
      </c>
      <c r="F1363" s="45" t="s">
        <v>679</v>
      </c>
    </row>
    <row r="1364" spans="1:6" ht="14.25">
      <c r="A1364" s="45"/>
      <c r="B1364" s="45" t="s">
        <v>186</v>
      </c>
      <c r="C1364" s="46" t="str">
        <f>HYPERLINK("https://au.indeed.com/viewjob?jk=051b9af045288ba5","Software Project Engineer - Product Development (Robotic Technologies)")</f>
        <v>Software Project Engineer - Product Development (Robotic Technologies)</v>
      </c>
      <c r="D1364" s="45" t="s">
        <v>187</v>
      </c>
      <c r="E1364" s="47">
        <v>44386.939479166664</v>
      </c>
      <c r="F1364" s="45" t="s">
        <v>679</v>
      </c>
    </row>
    <row r="1365" spans="1:6" ht="14.25">
      <c r="A1365" s="45"/>
      <c r="B1365" s="45" t="s">
        <v>186</v>
      </c>
      <c r="C1365" s="46" t="str">
        <f>HYPERLINK("https://au.indeed.com/viewjob?jk=2769900d897c079e","Software Development Engineer - AWS Redshift")</f>
        <v>Software Development Engineer - AWS Redshift</v>
      </c>
      <c r="D1365" s="45" t="s">
        <v>429</v>
      </c>
      <c r="E1365" s="47">
        <v>44386.939837962964</v>
      </c>
      <c r="F1365" s="45" t="s">
        <v>679</v>
      </c>
    </row>
    <row r="1366" spans="1:6" ht="14.25">
      <c r="A1366" s="45"/>
      <c r="B1366" s="45" t="s">
        <v>186</v>
      </c>
      <c r="C1366" s="46" t="str">
        <f>HYPERLINK("https://au.indeed.com/viewjob?jk=db9208499a5cb5e6","Software Development Engineer - AWS Redshift")</f>
        <v>Software Development Engineer - AWS Redshift</v>
      </c>
      <c r="D1366" s="45" t="s">
        <v>369</v>
      </c>
      <c r="E1366" s="47">
        <v>44386.939976851849</v>
      </c>
      <c r="F1366" s="45" t="s">
        <v>679</v>
      </c>
    </row>
    <row r="1367" spans="1:6" ht="14.25">
      <c r="A1367" s="45"/>
      <c r="B1367" s="45" t="s">
        <v>186</v>
      </c>
      <c r="C1367" s="46" t="str">
        <f>HYPERLINK("https://au.indeed.com/viewjob?jk=49105270b6f94688","Senior Software Development Engineer")</f>
        <v>Senior Software Development Engineer</v>
      </c>
      <c r="D1367" s="45" t="s">
        <v>478</v>
      </c>
      <c r="E1367" s="47">
        <v>44386.940115740741</v>
      </c>
      <c r="F1367" s="45" t="s">
        <v>679</v>
      </c>
    </row>
    <row r="1368" spans="1:6" ht="14.25">
      <c r="A1368" s="45"/>
      <c r="B1368" s="45" t="s">
        <v>186</v>
      </c>
      <c r="C1368" s="46" t="str">
        <f>HYPERLINK("https://au.indeed.com/viewjob?jk=6b37a721abd5f37b","Software Development Engineer")</f>
        <v>Software Development Engineer</v>
      </c>
      <c r="D1368" s="45" t="s">
        <v>720</v>
      </c>
      <c r="E1368" s="47">
        <v>44386.940208333333</v>
      </c>
      <c r="F1368" s="45" t="s">
        <v>679</v>
      </c>
    </row>
    <row r="1369" spans="1:6" ht="14.25">
      <c r="A1369" s="45"/>
      <c r="B1369" s="45" t="s">
        <v>186</v>
      </c>
      <c r="C1369" s="46" t="str">
        <f>HYPERLINK("https://au.indeed.com/viewjob?jk=cc83a0d194dade52","Systems Development Engineer - RDS OS Eng")</f>
        <v>Systems Development Engineer - RDS OS Eng</v>
      </c>
      <c r="D1369" s="45" t="s">
        <v>429</v>
      </c>
      <c r="E1369" s="47">
        <v>44386.940347222226</v>
      </c>
      <c r="F1369" s="45" t="s">
        <v>679</v>
      </c>
    </row>
    <row r="1370" spans="1:6" ht="14.25">
      <c r="A1370" s="45"/>
      <c r="B1370" s="45" t="s">
        <v>186</v>
      </c>
      <c r="C1370" s="46" t="str">
        <f>HYPERLINK("https://au.indeed.com/viewjob?jk=2baf1070c6150e23","Software Development Engineer - AWS Networking")</f>
        <v>Software Development Engineer - AWS Networking</v>
      </c>
      <c r="D1370" s="45" t="s">
        <v>423</v>
      </c>
      <c r="E1370" s="47">
        <v>44386.940717592595</v>
      </c>
      <c r="F1370" s="45" t="s">
        <v>679</v>
      </c>
    </row>
    <row r="1371" spans="1:6" ht="14.25">
      <c r="A1371" s="45"/>
      <c r="B1371" s="45" t="s">
        <v>186</v>
      </c>
      <c r="C1371" s="46" t="str">
        <f>HYPERLINK("https://au.indeed.com/viewjob?jk=1524dea8112b92de","Software Development Engineer - AWS Redshift")</f>
        <v>Software Development Engineer - AWS Redshift</v>
      </c>
      <c r="D1371" s="45" t="s">
        <v>429</v>
      </c>
      <c r="E1371" s="47">
        <v>44386.940844907411</v>
      </c>
      <c r="F1371" s="45" t="s">
        <v>679</v>
      </c>
    </row>
    <row r="1372" spans="1:6" ht="14.25">
      <c r="A1372" s="45"/>
      <c r="B1372" s="45" t="s">
        <v>186</v>
      </c>
      <c r="C1372" s="46" t="str">
        <f>HYPERLINK("https://au.indeed.com/viewjob?jk=4a880851a5c8d711","Data engineer – Talend Development")</f>
        <v>Data engineer – Talend Development</v>
      </c>
      <c r="D1372" s="45" t="s">
        <v>409</v>
      </c>
      <c r="E1372" s="47">
        <v>44386.940960648149</v>
      </c>
      <c r="F1372" s="45" t="s">
        <v>679</v>
      </c>
    </row>
    <row r="1373" spans="1:6" ht="14.25">
      <c r="A1373" s="45"/>
      <c r="B1373" s="45" t="s">
        <v>186</v>
      </c>
      <c r="C1373" s="46" t="str">
        <f>HYPERLINK("https://au.indeed.com/viewjob?jk=cf9f4d5789769670","Senior Software Development Engineer - AWS Redshift")</f>
        <v>Senior Software Development Engineer - AWS Redshift</v>
      </c>
      <c r="D1373" s="45" t="s">
        <v>429</v>
      </c>
      <c r="E1373" s="47">
        <v>44386.941087962965</v>
      </c>
      <c r="F1373" s="45" t="s">
        <v>679</v>
      </c>
    </row>
    <row r="1374" spans="1:6" ht="14.25">
      <c r="A1374" s="45"/>
      <c r="B1374" s="45" t="s">
        <v>186</v>
      </c>
      <c r="C1374" s="46" t="str">
        <f>HYPERLINK("https://au.indeed.com/viewjob?jk=1df56c80f9747264","ENGINEER, SOFTWARE DEVELOPMENT")</f>
        <v>ENGINEER, SOFTWARE DEVELOPMENT</v>
      </c>
      <c r="D1374" s="45" t="s">
        <v>721</v>
      </c>
      <c r="E1374" s="47">
        <v>44386.941180555557</v>
      </c>
      <c r="F1374" s="45" t="s">
        <v>679</v>
      </c>
    </row>
    <row r="1375" spans="1:6" ht="14.25">
      <c r="A1375" s="45"/>
      <c r="B1375" s="45" t="s">
        <v>186</v>
      </c>
      <c r="C1375" s="46" t="str">
        <f>HYPERLINK("https://au.indeed.com/viewjob?jk=b3f9e219bb6a4af8","Sr. Network Development Engineer")</f>
        <v>Sr. Network Development Engineer</v>
      </c>
      <c r="D1375" s="45" t="s">
        <v>423</v>
      </c>
      <c r="E1375" s="47">
        <v>44386.941307870373</v>
      </c>
      <c r="F1375" s="45" t="s">
        <v>679</v>
      </c>
    </row>
    <row r="1376" spans="1:6" ht="14.25">
      <c r="A1376" s="45"/>
      <c r="B1376" s="45" t="s">
        <v>186</v>
      </c>
      <c r="C1376" s="46" t="str">
        <f>HYPERLINK("https://au.indeed.com/viewjob?jk=55ff908c08da69b1","Senior Software Development Engineer - RDS")</f>
        <v>Senior Software Development Engineer - RDS</v>
      </c>
      <c r="D1376" s="45" t="s">
        <v>429</v>
      </c>
      <c r="E1376" s="47">
        <v>44386.941446759258</v>
      </c>
      <c r="F1376" s="45" t="s">
        <v>679</v>
      </c>
    </row>
    <row r="1377" spans="1:6" ht="14.25">
      <c r="A1377" s="45"/>
      <c r="B1377" s="45" t="s">
        <v>186</v>
      </c>
      <c r="C1377" s="46" t="str">
        <f>HYPERLINK("https://au.indeed.com/viewjob?jk=2e889a7afd086203","Data engineer – Talend Development")</f>
        <v>Data engineer – Talend Development</v>
      </c>
      <c r="D1377" s="45" t="s">
        <v>409</v>
      </c>
      <c r="E1377" s="47">
        <v>44386.941562499997</v>
      </c>
      <c r="F1377" s="45" t="s">
        <v>679</v>
      </c>
    </row>
    <row r="1378" spans="1:6" ht="14.25">
      <c r="A1378" s="45"/>
      <c r="B1378" s="45" t="s">
        <v>186</v>
      </c>
      <c r="C1378" s="46" t="str">
        <f>HYPERLINK("https://au.indeed.com/viewjob?jk=9edc6c5763b4b08b","Software Development Engineer - AWS Networking")</f>
        <v>Software Development Engineer - AWS Networking</v>
      </c>
      <c r="D1378" s="45" t="s">
        <v>423</v>
      </c>
      <c r="E1378" s="47">
        <v>44386.941689814812</v>
      </c>
      <c r="F1378" s="45" t="s">
        <v>679</v>
      </c>
    </row>
    <row r="1379" spans="1:6" ht="14.25">
      <c r="A1379" s="45"/>
      <c r="B1379" s="45" t="s">
        <v>186</v>
      </c>
      <c r="C1379" s="46" t="str">
        <f>HYPERLINK("https://au.indeed.com/viewjob?jk=0e6dd6123cdd681d","Engineer - Developments")</f>
        <v>Engineer - Developments</v>
      </c>
      <c r="D1379" s="45" t="s">
        <v>501</v>
      </c>
      <c r="E1379" s="47">
        <v>44386.941793981481</v>
      </c>
      <c r="F1379" s="45" t="s">
        <v>679</v>
      </c>
    </row>
    <row r="1380" spans="1:6" ht="14.25">
      <c r="A1380" s="45"/>
      <c r="B1380" s="45" t="s">
        <v>186</v>
      </c>
      <c r="C1380" s="46" t="str">
        <f>HYPERLINK("https://au.indeed.com/viewjob?jk=4c9e61b56ce9b344","Software Development Engineer - AWS Developer Tools")</f>
        <v>Software Development Engineer - AWS Developer Tools</v>
      </c>
      <c r="D1380" s="45" t="s">
        <v>429</v>
      </c>
      <c r="E1380" s="47">
        <v>44386.94190972222</v>
      </c>
      <c r="F1380" s="45" t="s">
        <v>679</v>
      </c>
    </row>
    <row r="1381" spans="1:6" ht="14.25">
      <c r="A1381" s="45"/>
      <c r="B1381" s="45" t="s">
        <v>186</v>
      </c>
      <c r="C1381" s="46" t="str">
        <f>HYPERLINK("https://au.indeed.com/viewjob?jk=4ca24e76cc04c6bb","Senior Software Engineer (.NET/Web Service/Cloud And On Premise), Australia - Product Development")</f>
        <v>Senior Software Engineer (.NET/Web Service/Cloud And On Premise), Australia - Product Development</v>
      </c>
      <c r="D1381" s="45" t="s">
        <v>722</v>
      </c>
      <c r="E1381" s="47">
        <v>44386.942303240743</v>
      </c>
      <c r="F1381" s="45" t="s">
        <v>679</v>
      </c>
    </row>
    <row r="1382" spans="1:6" ht="14.25">
      <c r="A1382" s="45"/>
      <c r="B1382" s="45" t="s">
        <v>186</v>
      </c>
      <c r="C1382" s="46" t="str">
        <f>HYPERLINK("https://au.indeed.com/viewjob?jk=1150f89ac0f9f921","Software Development Engineer - RDS")</f>
        <v>Software Development Engineer - RDS</v>
      </c>
      <c r="D1382" s="45" t="s">
        <v>429</v>
      </c>
      <c r="E1382" s="47">
        <v>44386.942719907405</v>
      </c>
      <c r="F1382" s="45" t="s">
        <v>679</v>
      </c>
    </row>
    <row r="1383" spans="1:6" ht="14.25">
      <c r="A1383" s="45"/>
      <c r="B1383" s="45" t="s">
        <v>186</v>
      </c>
      <c r="C1383" s="46" t="str">
        <f>HYPERLINK("https://au.indeed.com/viewjob?jk=cacd15028d4d09a1","Senior Software Development Engineer")</f>
        <v>Senior Software Development Engineer</v>
      </c>
      <c r="D1383" s="45" t="s">
        <v>716</v>
      </c>
      <c r="E1383" s="47">
        <v>44386.942835648151</v>
      </c>
      <c r="F1383" s="45" t="s">
        <v>679</v>
      </c>
    </row>
    <row r="1384" spans="1:6" ht="14.25">
      <c r="A1384" s="45"/>
      <c r="B1384" s="45" t="s">
        <v>186</v>
      </c>
      <c r="C1384" s="46" t="str">
        <f>HYPERLINK("https://au.indeed.com/viewjob?jk=02e4e9844f36a577","Systems Development Engineer - Enterprise Networking")</f>
        <v>Systems Development Engineer - Enterprise Networking</v>
      </c>
      <c r="D1384" s="45" t="s">
        <v>369</v>
      </c>
      <c r="E1384" s="47">
        <v>44386.942974537036</v>
      </c>
      <c r="F1384" s="45" t="s">
        <v>679</v>
      </c>
    </row>
    <row r="1385" spans="1:6" ht="14.25">
      <c r="A1385" s="45"/>
      <c r="B1385" s="45" t="s">
        <v>186</v>
      </c>
      <c r="C1385" s="46" t="str">
        <f>HYPERLINK("https://au.indeed.com/viewjob?jk=21ac525938275173","Software Development Engineer - AWS Networking")</f>
        <v>Software Development Engineer - AWS Networking</v>
      </c>
      <c r="D1385" s="45" t="s">
        <v>423</v>
      </c>
      <c r="E1385" s="47">
        <v>44386.943101851852</v>
      </c>
      <c r="F1385" s="45" t="s">
        <v>679</v>
      </c>
    </row>
    <row r="1386" spans="1:6" ht="14.25">
      <c r="A1386" s="45"/>
      <c r="B1386" s="45" t="s">
        <v>186</v>
      </c>
      <c r="C1386" s="46" t="str">
        <f>HYPERLINK("https://au.indeed.com/viewjob?jk=6f88ed6184762d91","Senior Software Development Engineer – AWS - RDS Platform team")</f>
        <v>Senior Software Development Engineer – AWS - RDS Platform team</v>
      </c>
      <c r="D1386" s="45" t="s">
        <v>429</v>
      </c>
      <c r="E1386" s="47">
        <v>44386.943229166667</v>
      </c>
      <c r="F1386" s="45" t="s">
        <v>679</v>
      </c>
    </row>
    <row r="1387" spans="1:6" ht="14.25">
      <c r="A1387" s="45"/>
      <c r="B1387" s="45" t="s">
        <v>220</v>
      </c>
      <c r="C1387" s="46" t="str">
        <f>HYPERLINK("https://au.indeed.com/viewjob?jk=590e84a2d9697f29","Advanced Technical Support Engineer - PLC &amp; Industrial Automation")</f>
        <v>Advanced Technical Support Engineer - PLC &amp; Industrial Automation</v>
      </c>
      <c r="D1387" s="45" t="s">
        <v>723</v>
      </c>
      <c r="E1387" s="47">
        <v>44386.94394675926</v>
      </c>
      <c r="F1387" s="45" t="s">
        <v>679</v>
      </c>
    </row>
    <row r="1388" spans="1:6" ht="14.25">
      <c r="A1388" s="45"/>
      <c r="B1388" s="45" t="s">
        <v>220</v>
      </c>
      <c r="C1388" s="46" t="str">
        <f>HYPERLINK("https://au.indeed.com/viewjob?jk=23249ca9b5c27372","Senior Control Systems Engineer - Industrial Resources")</f>
        <v>Senior Control Systems Engineer - Industrial Resources</v>
      </c>
      <c r="D1388" s="45" t="s">
        <v>456</v>
      </c>
      <c r="E1388" s="47">
        <v>44386.944062499999</v>
      </c>
      <c r="F1388" s="45" t="s">
        <v>679</v>
      </c>
    </row>
    <row r="1389" spans="1:6" ht="14.25">
      <c r="A1389" s="45"/>
      <c r="B1389" s="45" t="s">
        <v>220</v>
      </c>
      <c r="C1389" s="46" t="str">
        <f>HYPERLINK("https://au.indeed.com/viewjob?jk=059562b7179462a5","Principal Structural Engineer - Industrial Structures")</f>
        <v>Principal Structural Engineer - Industrial Structures</v>
      </c>
      <c r="D1389" s="45" t="s">
        <v>545</v>
      </c>
      <c r="E1389" s="47">
        <v>44386.944421296299</v>
      </c>
      <c r="F1389" s="45" t="s">
        <v>679</v>
      </c>
    </row>
    <row r="1390" spans="1:6" ht="14.25">
      <c r="A1390" s="45"/>
      <c r="B1390" s="45" t="s">
        <v>220</v>
      </c>
      <c r="C1390" s="46" t="str">
        <f>HYPERLINK("https://au.indeed.com/viewjob?jk=8c8856847a83ee60","Sales Engineer - Industrial Production Machinery")</f>
        <v>Sales Engineer - Industrial Production Machinery</v>
      </c>
      <c r="D1390" s="45" t="s">
        <v>566</v>
      </c>
      <c r="E1390" s="47">
        <v>44386.944780092592</v>
      </c>
      <c r="F1390" s="45" t="s">
        <v>679</v>
      </c>
    </row>
    <row r="1391" spans="1:6" ht="14.25">
      <c r="A1391" s="45"/>
      <c r="B1391" s="45" t="s">
        <v>220</v>
      </c>
      <c r="C1391" s="46" t="str">
        <f>HYPERLINK("https://au.indeed.com/viewjob?jk=a94cb371d3755c34","Electrical Engineer - Industrial and Resources")</f>
        <v>Electrical Engineer - Industrial and Resources</v>
      </c>
      <c r="D1391" s="45" t="s">
        <v>456</v>
      </c>
      <c r="E1391" s="47">
        <v>44386.944884259261</v>
      </c>
      <c r="F1391" s="45" t="s">
        <v>679</v>
      </c>
    </row>
    <row r="1392" spans="1:6" ht="14.25">
      <c r="A1392" s="45"/>
      <c r="B1392" s="45" t="s">
        <v>220</v>
      </c>
      <c r="C1392" s="46" t="str">
        <f>HYPERLINK("https://au.indeed.com/viewjob?jk=badf482aa1e75e23","Process Engineer – Industrial Wastewater (Intermediate Level)")</f>
        <v>Process Engineer – Industrial Wastewater (Intermediate Level)</v>
      </c>
      <c r="D1392" s="45" t="s">
        <v>496</v>
      </c>
      <c r="E1392" s="47">
        <v>44386.945254629631</v>
      </c>
      <c r="F1392" s="45" t="s">
        <v>679</v>
      </c>
    </row>
    <row r="1393" spans="1:6" ht="14.25">
      <c r="A1393" s="45"/>
      <c r="B1393" s="45" t="s">
        <v>220</v>
      </c>
      <c r="C1393" s="46" t="str">
        <f>HYPERLINK("https://au.indeed.com/viewjob?jk=5adda336e30b820a","Utilities Engineer – Industrial")</f>
        <v>Utilities Engineer – Industrial</v>
      </c>
      <c r="D1393" s="45" t="s">
        <v>496</v>
      </c>
      <c r="E1393" s="47">
        <v>44386.945613425924</v>
      </c>
      <c r="F1393" s="45" t="s">
        <v>679</v>
      </c>
    </row>
    <row r="1394" spans="1:6" ht="14.25">
      <c r="A1394" s="45"/>
      <c r="B1394" s="45" t="s">
        <v>167</v>
      </c>
      <c r="C1394" s="46" t="str">
        <f>HYPERLINK("https://au.indeed.com/viewjob?jk=5ef745a4f451d4c3","Cloud and Infrastructure Engineer")</f>
        <v>Cloud and Infrastructure Engineer</v>
      </c>
      <c r="D1394" s="45" t="s">
        <v>375</v>
      </c>
      <c r="E1394" s="47">
        <v>44386.94604166667</v>
      </c>
      <c r="F1394" s="45" t="s">
        <v>679</v>
      </c>
    </row>
    <row r="1395" spans="1:6" ht="14.25">
      <c r="A1395" s="45"/>
      <c r="B1395" s="45" t="s">
        <v>167</v>
      </c>
      <c r="C1395" s="46" t="str">
        <f>HYPERLINK("https://au.indeed.com/viewjob?jk=243033ab06082a5d","IT Infrastructure Engineer")</f>
        <v>IT Infrastructure Engineer</v>
      </c>
      <c r="D1395" s="45" t="s">
        <v>724</v>
      </c>
      <c r="E1395" s="47">
        <v>44386.946145833332</v>
      </c>
      <c r="F1395" s="45" t="s">
        <v>679</v>
      </c>
    </row>
    <row r="1396" spans="1:6" ht="14.25">
      <c r="A1396" s="45"/>
      <c r="B1396" s="45" t="s">
        <v>167</v>
      </c>
      <c r="C1396" s="46" t="str">
        <f>HYPERLINK("https://au.indeed.com/viewjob?jk=d78efe3eb2e6b546","Azure Cloud Infrastructure / DevOps Engineer")</f>
        <v>Azure Cloud Infrastructure / DevOps Engineer</v>
      </c>
      <c r="D1396" s="45" t="s">
        <v>187</v>
      </c>
      <c r="E1396" s="47">
        <v>44386.946851851855</v>
      </c>
      <c r="F1396" s="45" t="s">
        <v>679</v>
      </c>
    </row>
    <row r="1397" spans="1:6" ht="14.25">
      <c r="A1397" s="45"/>
      <c r="B1397" s="45" t="s">
        <v>167</v>
      </c>
      <c r="C1397" s="46" t="str">
        <f>HYPERLINK("https://au.indeed.com/viewjob?jk=b5ac87276c881348","Infrastructure Engineer")</f>
        <v>Infrastructure Engineer</v>
      </c>
      <c r="D1397" s="45" t="s">
        <v>391</v>
      </c>
      <c r="E1397" s="47">
        <v>44386.946944444448</v>
      </c>
      <c r="F1397" s="45" t="s">
        <v>679</v>
      </c>
    </row>
    <row r="1398" spans="1:6" ht="14.25">
      <c r="A1398" s="45"/>
      <c r="B1398" s="45" t="s">
        <v>167</v>
      </c>
      <c r="C1398" s="46" t="str">
        <f>HYPERLINK("https://au.indeed.com/viewjob?jk=c7f9c84dc2831b02","Senior Infrastructure Engineer.")</f>
        <v>Senior Infrastructure Engineer.</v>
      </c>
      <c r="D1398" s="45" t="s">
        <v>725</v>
      </c>
      <c r="E1398" s="47">
        <v>44386.947337962964</v>
      </c>
      <c r="F1398" s="45" t="s">
        <v>679</v>
      </c>
    </row>
    <row r="1399" spans="1:6" ht="14.25">
      <c r="A1399" s="45"/>
      <c r="B1399" s="45" t="s">
        <v>167</v>
      </c>
      <c r="C1399" s="46" t="str">
        <f>HYPERLINK("https://au.indeed.com/viewjob?jk=efd0db82f7b3e48d","System Infrastructure Engineer")</f>
        <v>System Infrastructure Engineer</v>
      </c>
      <c r="D1399" s="45" t="s">
        <v>495</v>
      </c>
      <c r="E1399" s="47">
        <v>44386.947696759256</v>
      </c>
      <c r="F1399" s="45" t="s">
        <v>679</v>
      </c>
    </row>
    <row r="1400" spans="1:6" ht="14.25">
      <c r="A1400" s="45"/>
      <c r="B1400" s="45" t="s">
        <v>167</v>
      </c>
      <c r="C1400" s="46" t="str">
        <f>HYPERLINK("https://au.indeed.com/viewjob?jk=c88919fb3c12ffc6","Infrastructure Project Engineer")</f>
        <v>Infrastructure Project Engineer</v>
      </c>
      <c r="D1400" s="45" t="s">
        <v>570</v>
      </c>
      <c r="E1400" s="47">
        <v>44386.947835648149</v>
      </c>
      <c r="F1400" s="45" t="s">
        <v>679</v>
      </c>
    </row>
    <row r="1401" spans="1:6" ht="14.25">
      <c r="A1401" s="45"/>
      <c r="B1401" s="45" t="s">
        <v>167</v>
      </c>
      <c r="C1401" s="46" t="str">
        <f>HYPERLINK("https://au.indeed.com/viewjob?jk=ecf9b20cf584483e","Core Infrastructure Engineer - DevOps - Remote")</f>
        <v>Core Infrastructure Engineer - DevOps - Remote</v>
      </c>
      <c r="D1401" s="45" t="s">
        <v>726</v>
      </c>
      <c r="E1401" s="47">
        <v>44386.948194444441</v>
      </c>
      <c r="F1401" s="45" t="s">
        <v>679</v>
      </c>
    </row>
    <row r="1402" spans="1:6" ht="14.25">
      <c r="A1402" s="45"/>
      <c r="B1402" s="45" t="s">
        <v>167</v>
      </c>
      <c r="C1402" s="46" t="str">
        <f>HYPERLINK("https://au.indeed.com/viewjob?jk=e36513a8f9ec0e5d","Infrastructure Engineer")</f>
        <v>Infrastructure Engineer</v>
      </c>
      <c r="D1402" s="45" t="s">
        <v>630</v>
      </c>
      <c r="E1402" s="47">
        <v>44386.949062500003</v>
      </c>
      <c r="F1402" s="45" t="s">
        <v>679</v>
      </c>
    </row>
    <row r="1403" spans="1:6" ht="14.25">
      <c r="A1403" s="45"/>
      <c r="B1403" s="45" t="s">
        <v>167</v>
      </c>
      <c r="C1403" s="46" t="str">
        <f>HYPERLINK("https://au.indeed.com/viewjob?jk=cd89cc0b4db5d68d","Senior Infrastructure Engineer - Projects")</f>
        <v>Senior Infrastructure Engineer - Projects</v>
      </c>
      <c r="D1403" s="45" t="s">
        <v>419</v>
      </c>
      <c r="E1403" s="47">
        <v>44386.949178240742</v>
      </c>
      <c r="F1403" s="45" t="s">
        <v>679</v>
      </c>
    </row>
    <row r="1404" spans="1:6" ht="14.25">
      <c r="A1404" s="45"/>
      <c r="B1404" s="45" t="s">
        <v>167</v>
      </c>
      <c r="C1404" s="46" t="str">
        <f>HYPERLINK("https://au.indeed.com/viewjob?jk=039e802ca44b8aca","Security Engineer, Infrastructure Protection")</f>
        <v>Security Engineer, Infrastructure Protection</v>
      </c>
      <c r="D1404" s="45" t="s">
        <v>358</v>
      </c>
      <c r="E1404" s="47">
        <v>44386.949317129627</v>
      </c>
      <c r="F1404" s="45" t="s">
        <v>679</v>
      </c>
    </row>
    <row r="1405" spans="1:6" ht="14.25">
      <c r="A1405" s="45"/>
      <c r="B1405" s="45" t="s">
        <v>167</v>
      </c>
      <c r="C1405" s="46" t="str">
        <f>HYPERLINK("https://au.indeed.com/viewjob?jk=ec43229873bbcd8b","Infrastructure Engineer.")</f>
        <v>Infrastructure Engineer.</v>
      </c>
      <c r="D1405" s="45" t="s">
        <v>725</v>
      </c>
      <c r="E1405" s="47">
        <v>44386.94971064815</v>
      </c>
      <c r="F1405" s="45" t="s">
        <v>679</v>
      </c>
    </row>
    <row r="1406" spans="1:6" ht="14.25">
      <c r="A1406" s="45"/>
      <c r="B1406" s="45" t="s">
        <v>167</v>
      </c>
      <c r="C1406" s="46" t="str">
        <f>HYPERLINK("https://au.indeed.com/viewjob?jk=e31faa1f6610b3c5","Infrastructure Engineer")</f>
        <v>Infrastructure Engineer</v>
      </c>
      <c r="D1406" s="45" t="s">
        <v>629</v>
      </c>
      <c r="E1406" s="47">
        <v>44386.95008101852</v>
      </c>
      <c r="F1406" s="45" t="s">
        <v>679</v>
      </c>
    </row>
    <row r="1407" spans="1:6" ht="14.25">
      <c r="A1407" s="45"/>
      <c r="B1407" s="45" t="s">
        <v>167</v>
      </c>
      <c r="C1407" s="46" t="str">
        <f>HYPERLINK("https://au.indeed.com/viewjob?jk=751b568e8acfd0be","Infrastructure Engineer")</f>
        <v>Infrastructure Engineer</v>
      </c>
      <c r="D1407" s="45" t="s">
        <v>629</v>
      </c>
      <c r="E1407" s="47">
        <v>44386.950532407405</v>
      </c>
      <c r="F1407" s="45" t="s">
        <v>679</v>
      </c>
    </row>
    <row r="1408" spans="1:6" ht="14.25">
      <c r="A1408" s="45"/>
      <c r="B1408" s="45" t="s">
        <v>167</v>
      </c>
      <c r="C1408" s="46" t="str">
        <f>HYPERLINK("https://au.indeed.com/viewjob?jk=580b3ddb4ce1bea4","Technical Solutions Engineer, Infrastructure, Google Cloud")</f>
        <v>Technical Solutions Engineer, Infrastructure, Google Cloud</v>
      </c>
      <c r="D1408" s="45" t="s">
        <v>358</v>
      </c>
      <c r="E1408" s="47">
        <v>44386.950879629629</v>
      </c>
      <c r="F1408" s="45" t="s">
        <v>679</v>
      </c>
    </row>
    <row r="1409" spans="1:6" ht="14.25">
      <c r="A1409" s="45"/>
      <c r="B1409" s="45" t="s">
        <v>167</v>
      </c>
      <c r="C1409" s="46" t="str">
        <f>HYPERLINK("https://au.indeed.com/viewjob?jk=54c94635f36d23c7","Infrastructure Engineer")</f>
        <v>Infrastructure Engineer</v>
      </c>
      <c r="D1409" s="45" t="s">
        <v>727</v>
      </c>
      <c r="E1409" s="47">
        <v>44386.951226851852</v>
      </c>
      <c r="F1409" s="45" t="s">
        <v>679</v>
      </c>
    </row>
    <row r="1410" spans="1:6" ht="14.25">
      <c r="A1410" s="45"/>
      <c r="B1410" s="45" t="s">
        <v>167</v>
      </c>
      <c r="C1410" s="46" t="str">
        <f>HYPERLINK("https://au.indeed.com/viewjob?jk=f59eec762cdbb087","Infrastructure Engineer")</f>
        <v>Infrastructure Engineer</v>
      </c>
      <c r="D1410" s="45" t="s">
        <v>419</v>
      </c>
      <c r="E1410" s="47">
        <v>44386.951342592591</v>
      </c>
      <c r="F1410" s="45" t="s">
        <v>679</v>
      </c>
    </row>
    <row r="1411" spans="1:6" ht="14.25">
      <c r="A1411" s="45"/>
      <c r="B1411" s="45" t="s">
        <v>167</v>
      </c>
      <c r="C1411" s="46" t="str">
        <f>HYPERLINK("https://au.indeed.com/viewjob?jk=8b78dffe8399bf09","Civil Engineer (Transport Infrastructure)")</f>
        <v>Civil Engineer (Transport Infrastructure)</v>
      </c>
      <c r="D1411" s="45" t="s">
        <v>447</v>
      </c>
      <c r="E1411" s="47">
        <v>44386.951469907406</v>
      </c>
      <c r="F1411" s="45" t="s">
        <v>679</v>
      </c>
    </row>
    <row r="1412" spans="1:6" ht="14.25">
      <c r="A1412" s="45"/>
      <c r="B1412" s="45" t="s">
        <v>167</v>
      </c>
      <c r="C1412" s="46" t="str">
        <f>HYPERLINK("https://au.indeed.com/viewjob?jk=1a2c1cd894dad4e2","Senior Data Infrastructure Engineer")</f>
        <v>Senior Data Infrastructure Engineer</v>
      </c>
      <c r="D1412" s="45" t="s">
        <v>728</v>
      </c>
      <c r="E1412" s="47">
        <v>44386.951585648145</v>
      </c>
      <c r="F1412" s="45" t="s">
        <v>679</v>
      </c>
    </row>
    <row r="1413" spans="1:6" ht="14.25">
      <c r="A1413" s="45"/>
      <c r="B1413" s="45" t="s">
        <v>167</v>
      </c>
      <c r="C1413" s="46" t="str">
        <f>HYPERLINK("https://au.indeed.com/viewjob?jk=997a32e52ddf5aca","Infrastructure Support - Network Engineer")</f>
        <v>Infrastructure Support - Network Engineer</v>
      </c>
      <c r="D1413" s="45" t="s">
        <v>570</v>
      </c>
      <c r="E1413" s="47">
        <v>44386.951701388891</v>
      </c>
      <c r="F1413" s="45" t="s">
        <v>679</v>
      </c>
    </row>
    <row r="1414" spans="1:6" ht="14.25">
      <c r="A1414" s="45"/>
      <c r="B1414" s="45" t="s">
        <v>167</v>
      </c>
      <c r="C1414" s="46" t="str">
        <f>HYPERLINK("https://au.indeed.com/viewjob?jk=84f929b231ec1581","Mainframe Infrastructure Engineer - open to all locations")</f>
        <v>Mainframe Infrastructure Engineer - open to all locations</v>
      </c>
      <c r="D1414" s="45" t="s">
        <v>377</v>
      </c>
      <c r="E1414" s="47">
        <v>44386.952141203707</v>
      </c>
      <c r="F1414" s="45" t="s">
        <v>679</v>
      </c>
    </row>
    <row r="1415" spans="1:6" ht="14.25">
      <c r="A1415" s="45"/>
      <c r="B1415" s="45" t="s">
        <v>167</v>
      </c>
      <c r="C1415" s="46" t="str">
        <f>HYPERLINK("https://au.indeed.com/viewjob?jk=1267f511febdf9dd","Senior Infrastructure Engineer")</f>
        <v>Senior Infrastructure Engineer</v>
      </c>
      <c r="D1415" s="45" t="s">
        <v>435</v>
      </c>
      <c r="E1415" s="47">
        <v>44386.952245370368</v>
      </c>
      <c r="F1415" s="45" t="s">
        <v>679</v>
      </c>
    </row>
    <row r="1416" spans="1:6" ht="14.25">
      <c r="A1416" s="45"/>
      <c r="B1416" s="45" t="s">
        <v>167</v>
      </c>
      <c r="C1416" s="46" t="str">
        <f>HYPERLINK("https://au.indeed.com/viewjob?jk=a3f088a0b0500222","IT Infrastructure Engineer")</f>
        <v>IT Infrastructure Engineer</v>
      </c>
      <c r="D1416" s="45" t="s">
        <v>724</v>
      </c>
      <c r="E1416" s="47">
        <v>44386.952361111114</v>
      </c>
      <c r="F1416" s="45" t="s">
        <v>679</v>
      </c>
    </row>
    <row r="1417" spans="1:6" ht="14.25">
      <c r="A1417" s="45"/>
      <c r="B1417" s="45" t="s">
        <v>167</v>
      </c>
      <c r="C1417" s="46" t="str">
        <f>HYPERLINK("https://au.indeed.com/viewjob?jk=1b9ca606c81d590f","ICT Infrastructure Engineer (Networking and Communications)")</f>
        <v>ICT Infrastructure Engineer (Networking and Communications)</v>
      </c>
      <c r="D1417" s="45" t="s">
        <v>729</v>
      </c>
      <c r="E1417" s="47">
        <v>44386.952465277776</v>
      </c>
      <c r="F1417" s="45" t="s">
        <v>679</v>
      </c>
    </row>
    <row r="1418" spans="1:6" ht="14.25">
      <c r="A1418" s="45"/>
      <c r="B1418" s="45" t="s">
        <v>167</v>
      </c>
      <c r="C1418" s="46" t="str">
        <f>HYPERLINK("https://au.indeed.com/viewjob?jk=a51d7245dcf03015","Wintel Infrastructure Engineer")</f>
        <v>Wintel Infrastructure Engineer</v>
      </c>
      <c r="D1418" s="45" t="s">
        <v>432</v>
      </c>
      <c r="E1418" s="47">
        <v>44386.953333333331</v>
      </c>
      <c r="F1418" s="45" t="s">
        <v>679</v>
      </c>
    </row>
    <row r="1419" spans="1:6" ht="14.25">
      <c r="A1419" s="45"/>
      <c r="B1419" s="45" t="s">
        <v>167</v>
      </c>
      <c r="C1419" s="46" t="str">
        <f>HYPERLINK("https://au.indeed.com/viewjob?jk=d0cca35a69d989d4","Infrastructure Engineer")</f>
        <v>Infrastructure Engineer</v>
      </c>
      <c r="D1419" s="45" t="s">
        <v>391</v>
      </c>
      <c r="E1419" s="47">
        <v>44386.953425925924</v>
      </c>
      <c r="F1419" s="45" t="s">
        <v>679</v>
      </c>
    </row>
    <row r="1420" spans="1:6" ht="14.25">
      <c r="A1420" s="45"/>
      <c r="B1420" s="45" t="s">
        <v>167</v>
      </c>
      <c r="C1420" s="46" t="str">
        <f>HYPERLINK("https://au.indeed.com/viewjob?jk=7a0f2355e3f1ab0d","Oracle Cloud Infrastructure Engineer")</f>
        <v>Oracle Cloud Infrastructure Engineer</v>
      </c>
      <c r="D1420" s="45" t="s">
        <v>393</v>
      </c>
      <c r="E1420" s="47">
        <v>44386.953530092593</v>
      </c>
      <c r="F1420" s="45" t="s">
        <v>679</v>
      </c>
    </row>
    <row r="1421" spans="1:6" ht="14.25">
      <c r="A1421" s="45"/>
      <c r="B1421" s="45" t="s">
        <v>167</v>
      </c>
      <c r="C1421" s="46" t="str">
        <f>HYPERLINK("https://au.indeed.com/viewjob?jk=3421a4f7b90074ea","Infrastructure Engineer")</f>
        <v>Infrastructure Engineer</v>
      </c>
      <c r="D1421" s="45" t="s">
        <v>730</v>
      </c>
      <c r="E1421" s="47">
        <v>44386.954143518517</v>
      </c>
      <c r="F1421" s="45" t="s">
        <v>679</v>
      </c>
    </row>
    <row r="1422" spans="1:6" ht="14.25">
      <c r="A1422" s="45"/>
      <c r="B1422" s="45" t="s">
        <v>167</v>
      </c>
      <c r="C1422" s="46" t="str">
        <f>HYPERLINK("https://au.indeed.com/viewjob?jk=bf35e0e32aba6405","Infrastructure Engineer")</f>
        <v>Infrastructure Engineer</v>
      </c>
      <c r="D1422" s="45" t="s">
        <v>731</v>
      </c>
      <c r="E1422" s="47">
        <v>44386.954502314817</v>
      </c>
      <c r="F1422" s="45" t="s">
        <v>679</v>
      </c>
    </row>
    <row r="1423" spans="1:6" ht="14.25">
      <c r="A1423" s="45"/>
      <c r="B1423" s="45" t="s">
        <v>190</v>
      </c>
      <c r="C1423" s="46" t="str">
        <f>HYPERLINK("https://au.indeed.com/viewjob?jk=b504b9be8b63b472","Maintenance Engineer")</f>
        <v>Maintenance Engineer</v>
      </c>
      <c r="D1423" s="45" t="s">
        <v>732</v>
      </c>
      <c r="E1423" s="47">
        <v>44386.956747685188</v>
      </c>
      <c r="F1423" s="45" t="s">
        <v>679</v>
      </c>
    </row>
    <row r="1424" spans="1:6" ht="14.25">
      <c r="A1424" s="45"/>
      <c r="B1424" s="45" t="s">
        <v>190</v>
      </c>
      <c r="C1424" s="46" t="str">
        <f>HYPERLINK("https://au.indeed.com/viewjob?jk=d2b0c869807a9c60","Aircraft Maintenance Engineer - Avionics")</f>
        <v>Aircraft Maintenance Engineer - Avionics</v>
      </c>
      <c r="D1424" s="45" t="s">
        <v>441</v>
      </c>
      <c r="E1424" s="47">
        <v>44386.957152777781</v>
      </c>
      <c r="F1424" s="45" t="s">
        <v>679</v>
      </c>
    </row>
    <row r="1425" spans="1:6" ht="14.25">
      <c r="A1425" s="45"/>
      <c r="B1425" s="45" t="s">
        <v>190</v>
      </c>
      <c r="C1425" s="46" t="str">
        <f>HYPERLINK("https://au.indeed.com/viewjob?jk=a9a8468e1407c2bb","Rolling Stock Maintenance Engineer")</f>
        <v>Rolling Stock Maintenance Engineer</v>
      </c>
      <c r="D1425" s="45" t="s">
        <v>733</v>
      </c>
      <c r="E1425" s="47">
        <v>44386.957268518519</v>
      </c>
      <c r="F1425" s="45" t="s">
        <v>679</v>
      </c>
    </row>
    <row r="1426" spans="1:6" ht="14.25">
      <c r="A1426" s="45"/>
      <c r="B1426" s="45" t="s">
        <v>190</v>
      </c>
      <c r="C1426" s="46" t="str">
        <f>HYPERLINK("https://au.indeed.com/viewjob?jk=d2afa064ae6aa32c","Aircraft Maintenance Engineers")</f>
        <v>Aircraft Maintenance Engineers</v>
      </c>
      <c r="D1426" s="45" t="s">
        <v>474</v>
      </c>
      <c r="E1426" s="47">
        <v>44386.957384259258</v>
      </c>
      <c r="F1426" s="45" t="s">
        <v>679</v>
      </c>
    </row>
    <row r="1427" spans="1:6" ht="14.25">
      <c r="A1427" s="45"/>
      <c r="B1427" s="45" t="s">
        <v>190</v>
      </c>
      <c r="C1427" s="46" t="str">
        <f>HYPERLINK("https://au.indeed.com/viewjob?jk=6898e63dc374f150","Maintenance and Reliability Engineer")</f>
        <v>Maintenance and Reliability Engineer</v>
      </c>
      <c r="D1427" s="45" t="s">
        <v>733</v>
      </c>
      <c r="E1427" s="47">
        <v>44386.958009259259</v>
      </c>
      <c r="F1427" s="45" t="s">
        <v>679</v>
      </c>
    </row>
    <row r="1428" spans="1:6" ht="14.25">
      <c r="A1428" s="45"/>
      <c r="B1428" s="45" t="s">
        <v>190</v>
      </c>
      <c r="C1428" s="46" t="str">
        <f>HYPERLINK("https://au.indeed.com/viewjob?jk=a6adbc5e12eabd77","Software Maintenance Engineer")</f>
        <v>Software Maintenance Engineer</v>
      </c>
      <c r="D1428" s="45" t="s">
        <v>608</v>
      </c>
      <c r="E1428" s="47">
        <v>44386.958124999997</v>
      </c>
      <c r="F1428" s="45" t="s">
        <v>679</v>
      </c>
    </row>
    <row r="1429" spans="1:6" ht="14.25">
      <c r="A1429" s="45"/>
      <c r="B1429" s="45" t="s">
        <v>190</v>
      </c>
      <c r="C1429" s="46" t="str">
        <f>HYPERLINK("https://au.indeed.com/viewjob?jk=3c186aad1d38cb78","MAKE IT - Maintenance Electrical Engineer")</f>
        <v>MAKE IT - Maintenance Electrical Engineer</v>
      </c>
      <c r="D1429" s="45" t="s">
        <v>734</v>
      </c>
      <c r="E1429" s="47">
        <v>44386.958229166667</v>
      </c>
      <c r="F1429" s="45" t="s">
        <v>679</v>
      </c>
    </row>
    <row r="1430" spans="1:6" ht="14.25">
      <c r="A1430" s="45"/>
      <c r="B1430" s="45" t="s">
        <v>190</v>
      </c>
      <c r="C1430" s="46" t="str">
        <f>HYPERLINK("https://au.indeed.com/viewjob?jk=b335207465558673","Aircraft Maintenance Engineer - Structures")</f>
        <v>Aircraft Maintenance Engineer - Structures</v>
      </c>
      <c r="D1430" s="45" t="s">
        <v>441</v>
      </c>
      <c r="E1430" s="47">
        <v>44386.958368055559</v>
      </c>
      <c r="F1430" s="45" t="s">
        <v>679</v>
      </c>
    </row>
    <row r="1431" spans="1:6" ht="14.25">
      <c r="A1431" s="45"/>
      <c r="B1431" s="45" t="s">
        <v>442</v>
      </c>
      <c r="C1431" s="46" t="str">
        <f>HYPERLINK("https://au.indeed.com/viewjob?jk=0ac494acef274d32","Manufacturing Engineer")</f>
        <v>Manufacturing Engineer</v>
      </c>
      <c r="D1431" s="45" t="s">
        <v>418</v>
      </c>
      <c r="E1431" s="47">
        <v>44386.959050925929</v>
      </c>
      <c r="F1431" s="45" t="s">
        <v>679</v>
      </c>
    </row>
    <row r="1432" spans="1:6" ht="14.25">
      <c r="A1432" s="45"/>
      <c r="B1432" s="45" t="s">
        <v>442</v>
      </c>
      <c r="C1432" s="46" t="str">
        <f>HYPERLINK("https://au.indeed.com/viewjob?jk=f1fa99c31842ea0d","Systems Integration Engineer, Manufacturing")</f>
        <v>Systems Integration Engineer, Manufacturing</v>
      </c>
      <c r="D1432" s="45" t="s">
        <v>494</v>
      </c>
      <c r="E1432" s="47">
        <v>44386.959502314814</v>
      </c>
      <c r="F1432" s="45" t="s">
        <v>679</v>
      </c>
    </row>
    <row r="1433" spans="1:6" ht="14.25">
      <c r="A1433" s="45"/>
      <c r="B1433" s="45" t="s">
        <v>442</v>
      </c>
      <c r="C1433" s="46" t="str">
        <f>HYPERLINK("https://au.indeed.com/viewjob?jk=7dff912b1ddcedae","2x Manufacturing Engineers")</f>
        <v>2x Manufacturing Engineers</v>
      </c>
      <c r="D1433" s="45" t="s">
        <v>494</v>
      </c>
      <c r="E1433" s="47">
        <v>44386.959606481483</v>
      </c>
      <c r="F1433" s="45" t="s">
        <v>679</v>
      </c>
    </row>
    <row r="1434" spans="1:6" ht="14.25">
      <c r="A1434" s="45"/>
      <c r="B1434" s="45" t="s">
        <v>284</v>
      </c>
      <c r="C1434" s="46" t="str">
        <f>HYPERLINK("https://au.indeed.com/viewjob?jk=3826c254ecab05cd","Senior Mining Engineer - Planning")</f>
        <v>Senior Mining Engineer - Planning</v>
      </c>
      <c r="D1434" s="45" t="s">
        <v>641</v>
      </c>
      <c r="E1434" s="47">
        <v>44386.959756944445</v>
      </c>
      <c r="F1434" s="45" t="s">
        <v>679</v>
      </c>
    </row>
    <row r="1435" spans="1:6" ht="14.25">
      <c r="A1435" s="45"/>
      <c r="B1435" s="45" t="s">
        <v>284</v>
      </c>
      <c r="C1435" s="46" t="str">
        <f>HYPERLINK("https://au.indeed.com/viewjob?jk=e4e901408e77b9c0","Senior Mining Engineer - Planning")</f>
        <v>Senior Mining Engineer - Planning</v>
      </c>
      <c r="D1435" s="45" t="s">
        <v>641</v>
      </c>
      <c r="E1435" s="47">
        <v>44386.960150462961</v>
      </c>
      <c r="F1435" s="45" t="s">
        <v>679</v>
      </c>
    </row>
    <row r="1436" spans="1:6" ht="14.25">
      <c r="A1436" s="45"/>
      <c r="B1436" s="45" t="s">
        <v>284</v>
      </c>
      <c r="C1436" s="46" t="str">
        <f>HYPERLINK("https://au.indeed.com/viewjob?jk=349afee583661703","Mining Engineer – 6/6 Roster - AHS")</f>
        <v>Mining Engineer – 6/6 Roster - AHS</v>
      </c>
      <c r="D1436" s="45" t="s">
        <v>735</v>
      </c>
      <c r="E1436" s="47">
        <v>44386.960277777776</v>
      </c>
      <c r="F1436" s="45" t="s">
        <v>679</v>
      </c>
    </row>
    <row r="1437" spans="1:6" ht="14.25">
      <c r="A1437" s="45"/>
      <c r="B1437" s="45" t="s">
        <v>284</v>
      </c>
      <c r="C1437" s="46" t="str">
        <f>HYPERLINK("https://au.indeed.com/viewjob?jk=557a55c48f5833f8","Open Pit Mining Engineer")</f>
        <v>Open Pit Mining Engineer</v>
      </c>
      <c r="D1437" s="45" t="s">
        <v>508</v>
      </c>
      <c r="E1437" s="47">
        <v>44386.960393518515</v>
      </c>
      <c r="F1437" s="45" t="s">
        <v>679</v>
      </c>
    </row>
    <row r="1438" spans="1:6" ht="14.25">
      <c r="A1438" s="45"/>
      <c r="B1438" s="45" t="s">
        <v>284</v>
      </c>
      <c r="C1438" s="46" t="str">
        <f>HYPERLINK("https://au.indeed.com/viewjob?jk=f9ae2b72e39c2d61","Senior Mining Engineer")</f>
        <v>Senior Mining Engineer</v>
      </c>
      <c r="D1438" s="45" t="s">
        <v>736</v>
      </c>
      <c r="E1438" s="47">
        <v>44386.960520833331</v>
      </c>
      <c r="F1438" s="45" t="s">
        <v>679</v>
      </c>
    </row>
    <row r="1439" spans="1:6" ht="14.25">
      <c r="A1439" s="45"/>
      <c r="B1439" s="45" t="s">
        <v>588</v>
      </c>
      <c r="C1439" s="46" t="str">
        <f>HYPERLINK("https://au.indeed.com/viewjob?jk=ea950e04c128f400","Software Engineer - Pipeline")</f>
        <v>Software Engineer - Pipeline</v>
      </c>
      <c r="D1439" s="45" t="s">
        <v>737</v>
      </c>
      <c r="E1439" s="47">
        <v>44386.961724537039</v>
      </c>
      <c r="F1439" s="45" t="s">
        <v>679</v>
      </c>
    </row>
    <row r="1440" spans="1:6" ht="14.25">
      <c r="A1440" s="45"/>
      <c r="B1440" s="45" t="s">
        <v>588</v>
      </c>
      <c r="C1440" s="46" t="str">
        <f>HYPERLINK("https://au.indeed.com/viewjob?jk=9a132b2d70d44ff5","SENIOR SOFTWARE ENGINEER – VFX PIPELINE")</f>
        <v>SENIOR SOFTWARE ENGINEER – VFX PIPELINE</v>
      </c>
      <c r="D1440" s="45" t="s">
        <v>589</v>
      </c>
      <c r="E1440" s="47">
        <v>44386.961840277778</v>
      </c>
      <c r="F1440" s="45" t="s">
        <v>679</v>
      </c>
    </row>
    <row r="1441" spans="1:6" ht="14.25">
      <c r="A1441" s="45"/>
      <c r="B1441" s="45" t="s">
        <v>223</v>
      </c>
      <c r="C1441" s="46" t="str">
        <f>HYPERLINK("https://au.indeed.com/viewjob?jk=0c84bb85c858b96e","Process Engineer")</f>
        <v>Process Engineer</v>
      </c>
      <c r="D1441" s="45" t="s">
        <v>738</v>
      </c>
      <c r="E1441" s="47">
        <v>44386.962557870371</v>
      </c>
      <c r="F1441" s="45" t="s">
        <v>679</v>
      </c>
    </row>
    <row r="1442" spans="1:6" ht="14.25">
      <c r="A1442" s="45"/>
      <c r="B1442" s="45" t="s">
        <v>223</v>
      </c>
      <c r="C1442" s="46" t="str">
        <f>HYPERLINK("https://au.indeed.com/viewjob?jk=b5af14629fb4cd39","Process Engineer")</f>
        <v>Process Engineer</v>
      </c>
      <c r="D1442" s="45" t="s">
        <v>375</v>
      </c>
      <c r="E1442" s="47">
        <v>44386.962708333333</v>
      </c>
      <c r="F1442" s="45" t="s">
        <v>679</v>
      </c>
    </row>
    <row r="1443" spans="1:6" ht="14.25">
      <c r="A1443" s="45"/>
      <c r="B1443" s="45" t="s">
        <v>223</v>
      </c>
      <c r="C1443" s="46" t="str">
        <f>HYPERLINK("https://au.indeed.com/viewjob?jk=27ace3950fa6ebc9","Process Improvement &amp; Control Engineer")</f>
        <v>Process Improvement &amp; Control Engineer</v>
      </c>
      <c r="D1443" s="45" t="s">
        <v>739</v>
      </c>
      <c r="E1443" s="47">
        <v>44386.962824074071</v>
      </c>
      <c r="F1443" s="45" t="s">
        <v>679</v>
      </c>
    </row>
    <row r="1444" spans="1:6" ht="14.25">
      <c r="A1444" s="45"/>
      <c r="B1444" s="45" t="s">
        <v>223</v>
      </c>
      <c r="C1444" s="46" t="str">
        <f>HYPERLINK("https://au.indeed.com/viewjob?jk=9fb5d2677f3276a9","Senior Process Engineer")</f>
        <v>Senior Process Engineer</v>
      </c>
      <c r="D1444" s="45" t="s">
        <v>635</v>
      </c>
      <c r="E1444" s="47">
        <v>44386.963310185187</v>
      </c>
      <c r="F1444" s="45" t="s">
        <v>679</v>
      </c>
    </row>
    <row r="1445" spans="1:6" ht="14.25">
      <c r="A1445" s="45"/>
      <c r="B1445" s="45" t="s">
        <v>223</v>
      </c>
      <c r="C1445" s="46" t="str">
        <f>HYPERLINK("https://au.indeed.com/viewjob?jk=1bb9858dfcaf8f86","Zone Process Engineer")</f>
        <v>Zone Process Engineer</v>
      </c>
      <c r="D1445" s="45" t="s">
        <v>620</v>
      </c>
      <c r="E1445" s="47">
        <v>44386.963437500002</v>
      </c>
      <c r="F1445" s="45" t="s">
        <v>679</v>
      </c>
    </row>
    <row r="1446" spans="1:6" ht="14.25">
      <c r="A1446" s="45"/>
      <c r="B1446" s="45" t="s">
        <v>223</v>
      </c>
      <c r="C1446" s="46" t="str">
        <f>HYPERLINK("https://au.indeed.com/viewjob?jk=f81cfec909c85716","Process Improvement Engineer - Ingleburn/Villawood")</f>
        <v>Process Improvement Engineer - Ingleburn/Villawood</v>
      </c>
      <c r="D1446" s="45" t="s">
        <v>443</v>
      </c>
      <c r="E1446" s="47">
        <v>44386.963541666664</v>
      </c>
      <c r="F1446" s="45" t="s">
        <v>679</v>
      </c>
    </row>
    <row r="1447" spans="1:6" ht="14.25">
      <c r="A1447" s="45"/>
      <c r="B1447" s="45" t="s">
        <v>223</v>
      </c>
      <c r="C1447" s="46" t="str">
        <f>HYPERLINK("https://au.indeed.com/viewjob?jk=204469676e11c5b1","Process Engineer")</f>
        <v>Process Engineer</v>
      </c>
      <c r="D1447" s="45" t="s">
        <v>740</v>
      </c>
      <c r="E1447" s="47">
        <v>44386.964386574073</v>
      </c>
      <c r="F1447" s="45" t="s">
        <v>679</v>
      </c>
    </row>
    <row r="1448" spans="1:6" ht="14.25">
      <c r="A1448" s="45"/>
      <c r="B1448" s="45" t="s">
        <v>223</v>
      </c>
      <c r="C1448" s="46" t="str">
        <f>HYPERLINK("https://au.indeed.com/viewjob?jk=f6a62a1bee6c90ba","Senior Process Engineer")</f>
        <v>Senior Process Engineer</v>
      </c>
      <c r="D1448" s="45" t="s">
        <v>391</v>
      </c>
      <c r="E1448" s="47">
        <v>44386.964525462965</v>
      </c>
      <c r="F1448" s="45" t="s">
        <v>679</v>
      </c>
    </row>
    <row r="1449" spans="1:6" ht="14.25">
      <c r="A1449" s="45"/>
      <c r="B1449" s="45" t="s">
        <v>223</v>
      </c>
      <c r="C1449" s="46" t="str">
        <f>HYPERLINK("https://au.indeed.com/viewjob?jk=52813d1a791528bf","Quality Process Engineer")</f>
        <v>Quality Process Engineer</v>
      </c>
      <c r="D1449" s="45" t="s">
        <v>740</v>
      </c>
      <c r="E1449" s="47">
        <v>44386.96465277778</v>
      </c>
      <c r="F1449" s="45" t="s">
        <v>679</v>
      </c>
    </row>
    <row r="1450" spans="1:6" ht="14.25">
      <c r="A1450" s="45"/>
      <c r="B1450" s="45" t="s">
        <v>223</v>
      </c>
      <c r="C1450" s="46" t="str">
        <f>HYPERLINK("https://au.indeed.com/viewjob?jk=2851af29078c99f2","Sales Engineer (NSW) - Process and Packaging Machinery")</f>
        <v>Sales Engineer (NSW) - Process and Packaging Machinery</v>
      </c>
      <c r="D1450" s="45" t="s">
        <v>566</v>
      </c>
      <c r="E1450" s="47">
        <v>44386.964756944442</v>
      </c>
      <c r="F1450" s="45" t="s">
        <v>679</v>
      </c>
    </row>
    <row r="1451" spans="1:6" ht="14.25">
      <c r="A1451" s="45"/>
      <c r="B1451" s="45" t="s">
        <v>223</v>
      </c>
      <c r="C1451" s="46" t="str">
        <f>HYPERLINK("https://au.indeed.com/viewjob?jk=761ff3cbc301c291","Process Engineer")</f>
        <v>Process Engineer</v>
      </c>
      <c r="D1451" s="45" t="s">
        <v>590</v>
      </c>
      <c r="E1451" s="47">
        <v>44386.964884259258</v>
      </c>
      <c r="F1451" s="45" t="s">
        <v>679</v>
      </c>
    </row>
    <row r="1452" spans="1:6" ht="14.25">
      <c r="A1452" s="45"/>
      <c r="B1452" s="45" t="s">
        <v>223</v>
      </c>
      <c r="C1452" s="46" t="str">
        <f>HYPERLINK("https://au.indeed.com/viewjob?jk=6c90863dd3fc1ef8","Chemical Process Engineer")</f>
        <v>Chemical Process Engineer</v>
      </c>
      <c r="D1452" s="45" t="s">
        <v>741</v>
      </c>
      <c r="E1452" s="47">
        <v>44386.965243055558</v>
      </c>
      <c r="F1452" s="45" t="s">
        <v>679</v>
      </c>
    </row>
    <row r="1453" spans="1:6" ht="14.25">
      <c r="A1453" s="45"/>
      <c r="B1453" s="45" t="s">
        <v>223</v>
      </c>
      <c r="C1453" s="46" t="str">
        <f>HYPERLINK("https://au.indeed.com/viewjob?jk=685e6b18125d0035","Senior Process Engineer")</f>
        <v>Senior Process Engineer</v>
      </c>
      <c r="D1453" s="45" t="s">
        <v>687</v>
      </c>
      <c r="E1453" s="47">
        <v>44386.965381944443</v>
      </c>
      <c r="F1453" s="45" t="s">
        <v>679</v>
      </c>
    </row>
    <row r="1454" spans="1:6" ht="14.25">
      <c r="A1454" s="45"/>
      <c r="B1454" s="45" t="s">
        <v>223</v>
      </c>
      <c r="C1454" s="46" t="str">
        <f>HYPERLINK("https://au.indeed.com/viewjob?jk=1058d9b5e3408588","Senior Process Engineer")</f>
        <v>Senior Process Engineer</v>
      </c>
      <c r="D1454" s="45" t="s">
        <v>635</v>
      </c>
      <c r="E1454" s="47">
        <v>44386.965543981481</v>
      </c>
      <c r="F1454" s="45" t="s">
        <v>679</v>
      </c>
    </row>
    <row r="1455" spans="1:6" ht="14.25">
      <c r="A1455" s="45"/>
      <c r="B1455" s="45" t="s">
        <v>223</v>
      </c>
      <c r="C1455" s="46" t="str">
        <f>HYPERLINK("https://au.indeed.com/viewjob?jk=c6a317339b3082c1","Process Control Engineer")</f>
        <v>Process Control Engineer</v>
      </c>
      <c r="D1455" s="45" t="s">
        <v>512</v>
      </c>
      <c r="E1455" s="47">
        <v>44386.96565972222</v>
      </c>
      <c r="F1455" s="45" t="s">
        <v>679</v>
      </c>
    </row>
    <row r="1456" spans="1:6" ht="14.25">
      <c r="A1456" s="45"/>
      <c r="B1456" s="45" t="s">
        <v>192</v>
      </c>
      <c r="C1456" s="46" t="str">
        <f>HYPERLINK("https://au.indeed.com/viewjob?jk=7c2771213edf8024","Production Engineer")</f>
        <v>Production Engineer</v>
      </c>
      <c r="D1456" s="45" t="s">
        <v>418</v>
      </c>
      <c r="E1456" s="47">
        <v>44386.965821759259</v>
      </c>
      <c r="F1456" s="45" t="s">
        <v>679</v>
      </c>
    </row>
    <row r="1457" spans="1:6" ht="14.25">
      <c r="A1457" s="45"/>
      <c r="B1457" s="45" t="s">
        <v>192</v>
      </c>
      <c r="C1457" s="46" t="str">
        <f>HYPERLINK("https://au.indeed.com/viewjob?jk=5f4feb4c8a64704d","Senior ETL Engineer - Production Support")</f>
        <v>Senior ETL Engineer - Production Support</v>
      </c>
      <c r="D1457" s="45" t="s">
        <v>663</v>
      </c>
      <c r="E1457" s="47">
        <v>44386.965925925928</v>
      </c>
      <c r="F1457" s="45" t="s">
        <v>679</v>
      </c>
    </row>
    <row r="1458" spans="1:6" ht="14.25">
      <c r="A1458" s="45"/>
      <c r="B1458" s="45" t="s">
        <v>192</v>
      </c>
      <c r="C1458" s="46" t="str">
        <f>HYPERLINK("https://au.indeed.com/viewjob?jk=eeac7bd6d245f00f","Senior Production Support Engineer")</f>
        <v>Senior Production Support Engineer</v>
      </c>
      <c r="D1458" s="45" t="s">
        <v>742</v>
      </c>
      <c r="E1458" s="47">
        <v>44386.966354166667</v>
      </c>
      <c r="F1458" s="45" t="s">
        <v>679</v>
      </c>
    </row>
    <row r="1459" spans="1:6" ht="14.25">
      <c r="A1459" s="45"/>
      <c r="B1459" s="45" t="s">
        <v>192</v>
      </c>
      <c r="C1459" s="46" t="str">
        <f>HYPERLINK("https://au.indeed.com/viewjob?jk=6823a7897fb63ba4","Staff System Engineer - Production Systems &amp; Databases")</f>
        <v>Staff System Engineer - Production Systems &amp; Databases</v>
      </c>
      <c r="D1459" s="45" t="s">
        <v>478</v>
      </c>
      <c r="E1459" s="47">
        <v>44386.966782407406</v>
      </c>
      <c r="F1459" s="45" t="s">
        <v>679</v>
      </c>
    </row>
    <row r="1460" spans="1:6" ht="14.25">
      <c r="A1460" s="45"/>
      <c r="B1460" s="45" t="s">
        <v>192</v>
      </c>
      <c r="C1460" s="46" t="str">
        <f>HYPERLINK("https://au.indeed.com/viewjob?jk=b603bc0d0403b8f0","Underground Production Engineer")</f>
        <v>Underground Production Engineer</v>
      </c>
      <c r="D1460" s="45" t="s">
        <v>508</v>
      </c>
      <c r="E1460" s="47">
        <v>44386.967164351852</v>
      </c>
      <c r="F1460" s="45" t="s">
        <v>679</v>
      </c>
    </row>
    <row r="1461" spans="1:6" ht="14.25">
      <c r="A1461" s="45"/>
      <c r="B1461" s="45" t="s">
        <v>192</v>
      </c>
      <c r="C1461" s="46" t="str">
        <f>HYPERLINK("https://au.indeed.com/viewjob?jk=a92e0e3612f3cc71","Production Engineer/Application Support - top-tier global trading firm")</f>
        <v>Production Engineer/Application Support - top-tier global trading firm</v>
      </c>
      <c r="D1461" s="45" t="s">
        <v>743</v>
      </c>
      <c r="E1461" s="47">
        <v>44386.967280092591</v>
      </c>
      <c r="F1461" s="45" t="s">
        <v>679</v>
      </c>
    </row>
    <row r="1462" spans="1:6" ht="14.25">
      <c r="A1462" s="45"/>
      <c r="B1462" s="45" t="s">
        <v>192</v>
      </c>
      <c r="C1462" s="46" t="str">
        <f>HYPERLINK("https://au.indeed.com/viewjob?jk=0d91ad9740a1c909","Production Engineer")</f>
        <v>Production Engineer</v>
      </c>
      <c r="D1462" s="45" t="s">
        <v>498</v>
      </c>
      <c r="E1462" s="47">
        <v>44386.968518518515</v>
      </c>
      <c r="F1462" s="45" t="s">
        <v>679</v>
      </c>
    </row>
    <row r="1463" spans="1:6" ht="14.25">
      <c r="A1463" s="45"/>
      <c r="B1463" s="45" t="s">
        <v>446</v>
      </c>
      <c r="C1463" s="46" t="str">
        <f>HYPERLINK("https://au.indeed.com/viewjob?jk=19cc5e344f028a0c","Senior Planner / Project Controls Engineer")</f>
        <v>Senior Planner / Project Controls Engineer</v>
      </c>
      <c r="D1463" s="45" t="s">
        <v>498</v>
      </c>
      <c r="E1463" s="47">
        <v>44386.968668981484</v>
      </c>
      <c r="F1463" s="45" t="s">
        <v>679</v>
      </c>
    </row>
    <row r="1464" spans="1:6" ht="14.25">
      <c r="A1464" s="45"/>
      <c r="B1464" s="45" t="s">
        <v>176</v>
      </c>
      <c r="C1464" s="46" t="str">
        <f>HYPERLINK("https://au.indeed.com/viewjob?jk=af391182c4a4bb57","Project Engineers")</f>
        <v>Project Engineers</v>
      </c>
      <c r="D1464" s="45" t="s">
        <v>705</v>
      </c>
      <c r="E1464" s="47">
        <v>44386.968888888892</v>
      </c>
      <c r="F1464" s="45" t="s">
        <v>679</v>
      </c>
    </row>
    <row r="1465" spans="1:6" ht="14.25">
      <c r="A1465" s="45"/>
      <c r="B1465" s="45" t="s">
        <v>176</v>
      </c>
      <c r="C1465" s="46" t="str">
        <f>HYPERLINK("https://au.indeed.com/viewjob?jk=1578197baffd814d","Project Engineer")</f>
        <v>Project Engineer</v>
      </c>
      <c r="D1465" s="45" t="s">
        <v>461</v>
      </c>
      <c r="E1465" s="47">
        <v>44386.969027777777</v>
      </c>
      <c r="F1465" s="45" t="s">
        <v>679</v>
      </c>
    </row>
    <row r="1466" spans="1:6" ht="14.25">
      <c r="A1466" s="45"/>
      <c r="B1466" s="45" t="s">
        <v>176</v>
      </c>
      <c r="C1466" s="46" t="str">
        <f>HYPERLINK("https://au.indeed.com/viewjob?jk=47cfd947b3ea6535","Project Engineer")</f>
        <v>Project Engineer</v>
      </c>
      <c r="D1466" s="45" t="s">
        <v>744</v>
      </c>
      <c r="E1466" s="47">
        <v>44386.969386574077</v>
      </c>
      <c r="F1466" s="45" t="s">
        <v>679</v>
      </c>
    </row>
    <row r="1467" spans="1:6" ht="14.25">
      <c r="A1467" s="45"/>
      <c r="B1467" s="45" t="s">
        <v>176</v>
      </c>
      <c r="C1467" s="46" t="str">
        <f>HYPERLINK("https://au.indeed.com/viewjob?jk=9c0ba3add6aebf47","Project Engineer / Assistant Project Manager")</f>
        <v>Project Engineer / Assistant Project Manager</v>
      </c>
      <c r="D1467" s="45" t="s">
        <v>564</v>
      </c>
      <c r="E1467" s="47">
        <v>44386.969490740739</v>
      </c>
      <c r="F1467" s="45" t="s">
        <v>679</v>
      </c>
    </row>
    <row r="1468" spans="1:6" ht="14.25">
      <c r="A1468" s="45"/>
      <c r="B1468" s="45" t="s">
        <v>176</v>
      </c>
      <c r="C1468" s="46" t="str">
        <f>HYPERLINK("https://au.indeed.com/viewjob?jk=8e6a8ee55a05002c","Project Engineer")</f>
        <v>Project Engineer</v>
      </c>
      <c r="D1468" s="45" t="s">
        <v>745</v>
      </c>
      <c r="E1468" s="47">
        <v>44386.969895833332</v>
      </c>
      <c r="F1468" s="45" t="s">
        <v>679</v>
      </c>
    </row>
    <row r="1469" spans="1:6" ht="14.25">
      <c r="A1469" s="45"/>
      <c r="B1469" s="45" t="s">
        <v>176</v>
      </c>
      <c r="C1469" s="46" t="str">
        <f>HYPERLINK("https://au.indeed.com/viewjob?jk=8527cca1d8f815b7","Project Manager/Engineer")</f>
        <v>Project Manager/Engineer</v>
      </c>
      <c r="D1469" s="45" t="s">
        <v>595</v>
      </c>
      <c r="E1469" s="47">
        <v>44386.970034722224</v>
      </c>
      <c r="F1469" s="45" t="s">
        <v>679</v>
      </c>
    </row>
    <row r="1470" spans="1:6" ht="14.25">
      <c r="A1470" s="45"/>
      <c r="B1470" s="45" t="s">
        <v>176</v>
      </c>
      <c r="C1470" s="46" t="str">
        <f>HYPERLINK("https://au.indeed.com/viewjob?jk=85ac104ab883f4a5","Project Engineer")</f>
        <v>Project Engineer</v>
      </c>
      <c r="D1470" s="45" t="s">
        <v>418</v>
      </c>
      <c r="E1470" s="47">
        <v>44386.970185185186</v>
      </c>
      <c r="F1470" s="45" t="s">
        <v>679</v>
      </c>
    </row>
    <row r="1471" spans="1:6" ht="14.25">
      <c r="A1471" s="45"/>
      <c r="B1471" s="45" t="s">
        <v>176</v>
      </c>
      <c r="C1471" s="46" t="str">
        <f>HYPERLINK("https://au.indeed.com/viewjob?jk=7aa9b8caa3d5c20c","Civil Project Engineer - Dams and Tailings")</f>
        <v>Civil Project Engineer - Dams and Tailings</v>
      </c>
      <c r="D1471" s="45" t="s">
        <v>544</v>
      </c>
      <c r="E1471" s="47">
        <v>44386.970648148148</v>
      </c>
      <c r="F1471" s="45" t="s">
        <v>679</v>
      </c>
    </row>
    <row r="1472" spans="1:6" ht="14.25">
      <c r="A1472" s="45"/>
      <c r="B1472" s="45" t="s">
        <v>176</v>
      </c>
      <c r="C1472" s="46" t="str">
        <f>HYPERLINK("https://au.indeed.com/viewjob?jk=1a938b099b86461d","Senior Project Engineer - Noise, Acoustics and Vibration")</f>
        <v>Senior Project Engineer - Noise, Acoustics and Vibration</v>
      </c>
      <c r="D1472" s="45" t="s">
        <v>746</v>
      </c>
      <c r="E1472" s="47">
        <v>44386.970752314817</v>
      </c>
      <c r="F1472" s="45" t="s">
        <v>679</v>
      </c>
    </row>
    <row r="1473" spans="1:6" ht="14.25">
      <c r="A1473" s="45"/>
      <c r="B1473" s="45" t="s">
        <v>176</v>
      </c>
      <c r="C1473" s="46" t="str">
        <f>HYPERLINK("https://au.indeed.com/viewjob?jk=b8a717878a298362","Project Engineer - Utilities")</f>
        <v>Project Engineer - Utilities</v>
      </c>
      <c r="D1473" s="45" t="s">
        <v>571</v>
      </c>
      <c r="E1473" s="47">
        <v>44386.970868055556</v>
      </c>
      <c r="F1473" s="45" t="s">
        <v>679</v>
      </c>
    </row>
    <row r="1474" spans="1:6" ht="14.25">
      <c r="A1474" s="45"/>
      <c r="B1474" s="45" t="s">
        <v>176</v>
      </c>
      <c r="C1474" s="46" t="str">
        <f>HYPERLINK("https://au.indeed.com/viewjob?jk=6b967834e0178a50","Project Engineer - Structures")</f>
        <v>Project Engineer - Structures</v>
      </c>
      <c r="D1474" s="45" t="s">
        <v>571</v>
      </c>
      <c r="E1474" s="47">
        <v>44386.970972222225</v>
      </c>
      <c r="F1474" s="45" t="s">
        <v>679</v>
      </c>
    </row>
    <row r="1475" spans="1:6" ht="14.25">
      <c r="A1475" s="45"/>
      <c r="B1475" s="45" t="s">
        <v>176</v>
      </c>
      <c r="C1475" s="46" t="str">
        <f>HYPERLINK("https://au.indeed.com/viewjob?jk=f475a7b5c77355c4","Project Engineer - Parramatta Light Rail")</f>
        <v>Project Engineer - Parramatta Light Rail</v>
      </c>
      <c r="D1475" s="45" t="s">
        <v>456</v>
      </c>
      <c r="E1475" s="47">
        <v>44386.97111111111</v>
      </c>
      <c r="F1475" s="45" t="s">
        <v>679</v>
      </c>
    </row>
    <row r="1476" spans="1:6" ht="14.25">
      <c r="A1476" s="45"/>
      <c r="B1476" s="45" t="s">
        <v>176</v>
      </c>
      <c r="C1476" s="46" t="str">
        <f>HYPERLINK("https://au.indeed.com/viewjob?jk=684c276fc34c1461","Project Engineer - Electrical")</f>
        <v>Project Engineer - Electrical</v>
      </c>
      <c r="D1476" s="45" t="s">
        <v>454</v>
      </c>
      <c r="E1476" s="47">
        <v>44386.971215277779</v>
      </c>
      <c r="F1476" s="45" t="s">
        <v>679</v>
      </c>
    </row>
    <row r="1477" spans="1:6" ht="14.25">
      <c r="A1477" s="45"/>
      <c r="B1477" s="45" t="s">
        <v>176</v>
      </c>
      <c r="C1477" s="46" t="str">
        <f>HYPERLINK("https://au.indeed.com/viewjob?jk=721e2c6b17383ceb","Senior Project Engineer")</f>
        <v>Senior Project Engineer</v>
      </c>
      <c r="D1477" s="45" t="s">
        <v>693</v>
      </c>
      <c r="E1477" s="47">
        <v>44386.971331018518</v>
      </c>
      <c r="F1477" s="45" t="s">
        <v>679</v>
      </c>
    </row>
    <row r="1478" spans="1:6" ht="14.25">
      <c r="A1478" s="45"/>
      <c r="B1478" s="45" t="s">
        <v>176</v>
      </c>
      <c r="C1478" s="46" t="str">
        <f>HYPERLINK("https://au.indeed.com/viewjob?jk=ce9d4e7e4d00d82f","Project Engineer")</f>
        <v>Project Engineer</v>
      </c>
      <c r="D1478" s="45" t="s">
        <v>524</v>
      </c>
      <c r="E1478" s="47">
        <v>44386.971446759257</v>
      </c>
      <c r="F1478" s="45" t="s">
        <v>679</v>
      </c>
    </row>
    <row r="1479" spans="1:6" ht="14.25">
      <c r="A1479" s="45"/>
      <c r="B1479" s="45" t="s">
        <v>176</v>
      </c>
      <c r="C1479" s="46" t="str">
        <f>HYPERLINK("https://au.indeed.com/viewjob?jk=e0695c1aade40875","Project Engineer")</f>
        <v>Project Engineer</v>
      </c>
      <c r="D1479" s="45" t="s">
        <v>459</v>
      </c>
      <c r="E1479" s="47">
        <v>44386.971562500003</v>
      </c>
      <c r="F1479" s="45" t="s">
        <v>679</v>
      </c>
    </row>
    <row r="1480" spans="1:6" ht="14.25">
      <c r="A1480" s="45"/>
      <c r="B1480" s="45" t="s">
        <v>176</v>
      </c>
      <c r="C1480" s="46" t="str">
        <f>HYPERLINK("https://au.indeed.com/viewjob?jk=cec8583231fd834f","Project Engineer")</f>
        <v>Project Engineer</v>
      </c>
      <c r="D1480" s="45" t="s">
        <v>747</v>
      </c>
      <c r="E1480" s="47">
        <v>44386.971678240741</v>
      </c>
      <c r="F1480" s="45" t="s">
        <v>679</v>
      </c>
    </row>
    <row r="1481" spans="1:6" ht="14.25">
      <c r="A1481" s="45"/>
      <c r="B1481" s="45" t="s">
        <v>176</v>
      </c>
      <c r="C1481" s="46" t="str">
        <f>HYPERLINK("https://au.indeed.com/viewjob?jk=b6fdbcce9814cf19","Senior Project Engineer")</f>
        <v>Senior Project Engineer</v>
      </c>
      <c r="D1481" s="45" t="s">
        <v>418</v>
      </c>
      <c r="E1481" s="47">
        <v>44386.971817129626</v>
      </c>
      <c r="F1481" s="45" t="s">
        <v>679</v>
      </c>
    </row>
    <row r="1482" spans="1:6" ht="14.25">
      <c r="A1482" s="45"/>
      <c r="B1482" s="45" t="s">
        <v>176</v>
      </c>
      <c r="C1482" s="46" t="str">
        <f>HYPERLINK("https://au.indeed.com/viewjob?jk=1ba04859f19d7020","Project Engineer")</f>
        <v>Project Engineer</v>
      </c>
      <c r="D1482" s="45" t="s">
        <v>693</v>
      </c>
      <c r="E1482" s="47">
        <v>44386.971932870372</v>
      </c>
      <c r="F1482" s="45" t="s">
        <v>679</v>
      </c>
    </row>
    <row r="1483" spans="1:6" ht="14.25">
      <c r="A1483" s="45"/>
      <c r="B1483" s="45" t="s">
        <v>176</v>
      </c>
      <c r="C1483" s="46" t="str">
        <f>HYPERLINK("https://au.indeed.com/viewjob?jk=1ff315bbf35045cf","Project Engineer")</f>
        <v>Project Engineer</v>
      </c>
      <c r="D1483" s="45" t="s">
        <v>748</v>
      </c>
      <c r="E1483" s="47">
        <v>44386.972060185188</v>
      </c>
      <c r="F1483" s="45" t="s">
        <v>679</v>
      </c>
    </row>
    <row r="1484" spans="1:6" ht="14.25">
      <c r="A1484" s="45"/>
      <c r="B1484" s="45" t="s">
        <v>176</v>
      </c>
      <c r="C1484" s="46" t="str">
        <f>HYPERLINK("https://au.indeed.com/viewjob?jk=51c25bc4c2f350ef","Project Engineer")</f>
        <v>Project Engineer</v>
      </c>
      <c r="D1484" s="45" t="s">
        <v>749</v>
      </c>
      <c r="E1484" s="47">
        <v>44386.97216435185</v>
      </c>
      <c r="F1484" s="45" t="s">
        <v>679</v>
      </c>
    </row>
    <row r="1485" spans="1:6" ht="14.25">
      <c r="A1485" s="45"/>
      <c r="B1485" s="45" t="s">
        <v>176</v>
      </c>
      <c r="C1485" s="46" t="str">
        <f>HYPERLINK("https://au.indeed.com/viewjob?jk=65776442fee2c4bb","Project Engineer")</f>
        <v>Project Engineer</v>
      </c>
      <c r="D1485" s="45" t="s">
        <v>693</v>
      </c>
      <c r="E1485" s="47">
        <v>44386.972314814811</v>
      </c>
      <c r="F1485" s="45" t="s">
        <v>679</v>
      </c>
    </row>
    <row r="1486" spans="1:6" ht="14.25">
      <c r="A1486" s="45"/>
      <c r="B1486" s="45" t="s">
        <v>176</v>
      </c>
      <c r="C1486" s="46" t="str">
        <f>HYPERLINK("https://au.indeed.com/viewjob?jk=63208a49b7c44c7e","Project Manager/Engineer - Junior")</f>
        <v>Project Manager/Engineer - Junior</v>
      </c>
      <c r="D1486" s="45" t="s">
        <v>595</v>
      </c>
      <c r="E1486" s="47">
        <v>44386.972442129627</v>
      </c>
      <c r="F1486" s="45" t="s">
        <v>679</v>
      </c>
    </row>
    <row r="1487" spans="1:6" ht="14.25">
      <c r="A1487" s="45"/>
      <c r="B1487" s="45" t="s">
        <v>176</v>
      </c>
      <c r="C1487" s="46" t="str">
        <f>HYPERLINK("https://au.indeed.com/viewjob?jk=48f1cca47bacdb30","Project Support Engineer")</f>
        <v>Project Support Engineer</v>
      </c>
      <c r="D1487" s="45" t="s">
        <v>749</v>
      </c>
      <c r="E1487" s="47">
        <v>44386.972581018519</v>
      </c>
      <c r="F1487" s="45" t="s">
        <v>679</v>
      </c>
    </row>
    <row r="1488" spans="1:6" ht="14.25">
      <c r="A1488" s="45"/>
      <c r="B1488" s="45" t="s">
        <v>176</v>
      </c>
      <c r="C1488" s="46" t="str">
        <f>HYPERLINK("https://au.indeed.com/viewjob?jk=1d6d428c8a4ce6f7","Technical IT Project Engineer - Townsville")</f>
        <v>Technical IT Project Engineer - Townsville</v>
      </c>
      <c r="D1488" s="45" t="s">
        <v>391</v>
      </c>
      <c r="E1488" s="47">
        <v>44386.972696759258</v>
      </c>
      <c r="F1488" s="45" t="s">
        <v>679</v>
      </c>
    </row>
    <row r="1489" spans="1:6" ht="14.25">
      <c r="A1489" s="45"/>
      <c r="B1489" s="45" t="s">
        <v>176</v>
      </c>
      <c r="C1489" s="46" t="str">
        <f>HYPERLINK("https://au.indeed.com/viewjob?jk=a1b9f49f49533b53","Project Engineer")</f>
        <v>Project Engineer</v>
      </c>
      <c r="D1489" s="45" t="s">
        <v>457</v>
      </c>
      <c r="E1489" s="47">
        <v>44386.972812499997</v>
      </c>
      <c r="F1489" s="45" t="s">
        <v>679</v>
      </c>
    </row>
    <row r="1490" spans="1:6" ht="14.25">
      <c r="A1490" s="45"/>
      <c r="B1490" s="45" t="s">
        <v>176</v>
      </c>
      <c r="C1490" s="46" t="str">
        <f>HYPERLINK("https://au.indeed.com/viewjob?jk=b7216f3e9776c802","R&amp;D Project Engineer")</f>
        <v>R&amp;D Project Engineer</v>
      </c>
      <c r="D1490" s="45" t="s">
        <v>418</v>
      </c>
      <c r="E1490" s="47">
        <v>44386.973252314812</v>
      </c>
      <c r="F1490" s="45" t="s">
        <v>679</v>
      </c>
    </row>
    <row r="1491" spans="1:6" ht="14.25">
      <c r="A1491" s="45"/>
      <c r="B1491" s="45" t="s">
        <v>176</v>
      </c>
      <c r="C1491" s="46" t="str">
        <f>HYPERLINK("https://au.indeed.com/viewjob?jk=f921f167488e0272","Project Engineer|Water")</f>
        <v>Project Engineer|Water</v>
      </c>
      <c r="D1491" s="45" t="s">
        <v>456</v>
      </c>
      <c r="E1491" s="47">
        <v>44386.973379629628</v>
      </c>
      <c r="F1491" s="45" t="s">
        <v>679</v>
      </c>
    </row>
    <row r="1492" spans="1:6" ht="14.25">
      <c r="A1492" s="45"/>
      <c r="B1492" s="45" t="s">
        <v>176</v>
      </c>
      <c r="C1492" s="46" t="str">
        <f>HYPERLINK("https://au.indeed.com/viewjob?jk=c5ccb942cce34c80","Project Engineer")</f>
        <v>Project Engineer</v>
      </c>
      <c r="D1492" s="45" t="s">
        <v>750</v>
      </c>
      <c r="E1492" s="47">
        <v>44386.973506944443</v>
      </c>
      <c r="F1492" s="45" t="s">
        <v>679</v>
      </c>
    </row>
    <row r="1493" spans="1:6" ht="14.25">
      <c r="A1493" s="45"/>
      <c r="B1493" s="45" t="s">
        <v>176</v>
      </c>
      <c r="C1493" s="46" t="str">
        <f>HYPERLINK("https://au.indeed.com/viewjob?jk=bda93b0d1811354d","Project Engineer")</f>
        <v>Project Engineer</v>
      </c>
      <c r="D1493" s="45" t="s">
        <v>751</v>
      </c>
      <c r="E1493" s="47">
        <v>44386.973622685182</v>
      </c>
      <c r="F1493" s="45" t="s">
        <v>679</v>
      </c>
    </row>
    <row r="1494" spans="1:6" ht="14.25">
      <c r="A1494" s="45"/>
      <c r="B1494" s="45" t="s">
        <v>176</v>
      </c>
      <c r="C1494" s="46" t="str">
        <f>HYPERLINK("https://au.indeed.com/viewjob?jk=8311a998f2e9c513","Project Engineer")</f>
        <v>Project Engineer</v>
      </c>
      <c r="D1494" s="45" t="s">
        <v>564</v>
      </c>
      <c r="E1494" s="47">
        <v>44386.973749999997</v>
      </c>
      <c r="F1494" s="45" t="s">
        <v>679</v>
      </c>
    </row>
    <row r="1495" spans="1:6" ht="14.25">
      <c r="A1495" s="45"/>
      <c r="B1495" s="45" t="s">
        <v>176</v>
      </c>
      <c r="C1495" s="46" t="str">
        <f>HYPERLINK("https://au.indeed.com/viewjob?jk=f08bf8830e8639fa","Project Execution Engineer")</f>
        <v>Project Execution Engineer</v>
      </c>
      <c r="D1495" s="45" t="s">
        <v>752</v>
      </c>
      <c r="E1495" s="47">
        <v>44386.973865740743</v>
      </c>
      <c r="F1495" s="45" t="s">
        <v>679</v>
      </c>
    </row>
    <row r="1496" spans="1:6" ht="14.25">
      <c r="A1496" s="45"/>
      <c r="B1496" s="45" t="s">
        <v>176</v>
      </c>
      <c r="C1496" s="46" t="str">
        <f>HYPERLINK("https://au.indeed.com/viewjob?jk=43bd998b92653e29","Project Engineer")</f>
        <v>Project Engineer</v>
      </c>
      <c r="D1496" s="45" t="s">
        <v>693</v>
      </c>
      <c r="E1496" s="47">
        <v>44386.973981481482</v>
      </c>
      <c r="F1496" s="45" t="s">
        <v>679</v>
      </c>
    </row>
    <row r="1497" spans="1:6" ht="14.25">
      <c r="A1497" s="45"/>
      <c r="B1497" s="45" t="s">
        <v>176</v>
      </c>
      <c r="C1497" s="46" t="str">
        <f>HYPERLINK("https://au.indeed.com/viewjob?jk=f37ce41d41baec39","Level 3 Engineer, Project and Solution Services")</f>
        <v>Level 3 Engineer, Project and Solution Services</v>
      </c>
      <c r="D1497" s="45" t="s">
        <v>596</v>
      </c>
      <c r="E1497" s="47">
        <v>44386.974085648151</v>
      </c>
      <c r="F1497" s="45" t="s">
        <v>679</v>
      </c>
    </row>
    <row r="1498" spans="1:6" ht="14.25">
      <c r="A1498" s="45"/>
      <c r="B1498" s="45" t="s">
        <v>176</v>
      </c>
      <c r="C1498" s="46" t="str">
        <f>HYPERLINK("https://au.indeed.com/viewjob?jk=93e654cb687cf64c","Project Engineer")</f>
        <v>Project Engineer</v>
      </c>
      <c r="D1498" s="45" t="s">
        <v>391</v>
      </c>
      <c r="E1498" s="47">
        <v>44386.974189814813</v>
      </c>
      <c r="F1498" s="45" t="s">
        <v>679</v>
      </c>
    </row>
    <row r="1499" spans="1:6" ht="14.25">
      <c r="A1499" s="45"/>
      <c r="B1499" s="45" t="s">
        <v>176</v>
      </c>
      <c r="C1499" s="46" t="str">
        <f>HYPERLINK("https://au.indeed.com/viewjob?jk=bea5bfd2f3dee912","Project Building Engineer")</f>
        <v>Project Building Engineer</v>
      </c>
      <c r="D1499" s="45" t="s">
        <v>593</v>
      </c>
      <c r="E1499" s="47">
        <v>44386.974317129629</v>
      </c>
      <c r="F1499" s="45" t="s">
        <v>679</v>
      </c>
    </row>
    <row r="1500" spans="1:6" ht="14.25">
      <c r="A1500" s="45"/>
      <c r="B1500" s="45" t="s">
        <v>176</v>
      </c>
      <c r="C1500" s="46" t="str">
        <f>HYPERLINK("https://au.indeed.com/viewjob?jk=329055515a7e6e03","Project Engineer")</f>
        <v>Project Engineer</v>
      </c>
      <c r="D1500" s="45" t="s">
        <v>749</v>
      </c>
      <c r="E1500" s="47">
        <v>44386.974456018521</v>
      </c>
      <c r="F1500" s="45" t="s">
        <v>679</v>
      </c>
    </row>
    <row r="1501" spans="1:6" ht="14.25">
      <c r="A1501" s="45"/>
      <c r="B1501" s="45" t="s">
        <v>176</v>
      </c>
      <c r="C1501" s="46" t="str">
        <f>HYPERLINK("https://au.indeed.com/viewjob?jk=cd7c7d33575e64c1","Project Support Engineer")</f>
        <v>Project Support Engineer</v>
      </c>
      <c r="D1501" s="45" t="s">
        <v>693</v>
      </c>
      <c r="E1501" s="47">
        <v>44386.97457175926</v>
      </c>
      <c r="F1501" s="45" t="s">
        <v>679</v>
      </c>
    </row>
    <row r="1502" spans="1:6" ht="14.25">
      <c r="A1502" s="45"/>
      <c r="B1502" s="45" t="s">
        <v>176</v>
      </c>
      <c r="C1502" s="46" t="str">
        <f>HYPERLINK("https://au.indeed.com/viewjob?jk=3538e335821d9ac8","Project Engineers, Water")</f>
        <v>Project Engineers, Water</v>
      </c>
      <c r="D1502" s="45" t="s">
        <v>356</v>
      </c>
      <c r="E1502" s="47">
        <v>44386.974687499998</v>
      </c>
      <c r="F1502" s="45" t="s">
        <v>679</v>
      </c>
    </row>
    <row r="1503" spans="1:6" ht="14.25">
      <c r="A1503" s="45"/>
      <c r="B1503" s="45" t="s">
        <v>176</v>
      </c>
      <c r="C1503" s="46" t="str">
        <f>HYPERLINK("https://au.indeed.com/viewjob?jk=fcedfbef9ff0d426","Project Engineer - DM Roads")</f>
        <v>Project Engineer - DM Roads</v>
      </c>
      <c r="D1503" s="45" t="s">
        <v>456</v>
      </c>
      <c r="E1503" s="47">
        <v>44386.974803240744</v>
      </c>
      <c r="F1503" s="45" t="s">
        <v>679</v>
      </c>
    </row>
    <row r="1504" spans="1:6" ht="14.25">
      <c r="A1504" s="45"/>
      <c r="B1504" s="45" t="s">
        <v>176</v>
      </c>
      <c r="C1504" s="46" t="str">
        <f>HYPERLINK("https://au.indeed.com/viewjob?jk=fceeccc50b784153","Senior Project Engineer Roads- Narrabri, North West NSW")</f>
        <v>Senior Project Engineer Roads- Narrabri, North West NSW</v>
      </c>
      <c r="D1504" s="45" t="s">
        <v>745</v>
      </c>
      <c r="E1504" s="47">
        <v>44386.974918981483</v>
      </c>
      <c r="F1504" s="45" t="s">
        <v>679</v>
      </c>
    </row>
    <row r="1505" spans="1:6" ht="14.25">
      <c r="A1505" s="45"/>
      <c r="B1505" s="45" t="s">
        <v>176</v>
      </c>
      <c r="C1505" s="46" t="str">
        <f>HYPERLINK("https://au.indeed.com/viewjob?jk=4531184b411ee35a","Site Project Engineer")</f>
        <v>Site Project Engineer</v>
      </c>
      <c r="D1505" s="45" t="s">
        <v>418</v>
      </c>
      <c r="E1505" s="47">
        <v>44386.975034722222</v>
      </c>
      <c r="F1505" s="45" t="s">
        <v>679</v>
      </c>
    </row>
    <row r="1506" spans="1:6" ht="14.25">
      <c r="A1506" s="45"/>
      <c r="B1506" s="45" t="s">
        <v>176</v>
      </c>
      <c r="C1506" s="46" t="str">
        <f>HYPERLINK("https://au.indeed.com/viewjob?jk=5226edad5f9fd060","Project Engineer")</f>
        <v>Project Engineer</v>
      </c>
      <c r="D1506" s="45" t="s">
        <v>753</v>
      </c>
      <c r="E1506" s="47">
        <v>44386.97515046296</v>
      </c>
      <c r="F1506" s="45" t="s">
        <v>679</v>
      </c>
    </row>
    <row r="1507" spans="1:6" ht="14.25">
      <c r="A1507" s="45"/>
      <c r="B1507" s="45" t="s">
        <v>176</v>
      </c>
      <c r="C1507" s="46" t="str">
        <f>HYPERLINK("https://au.indeed.com/viewjob?jk=e92a73acba424c24","Project Engineer")</f>
        <v>Project Engineer</v>
      </c>
      <c r="D1507" s="45" t="s">
        <v>564</v>
      </c>
      <c r="E1507" s="47">
        <v>44386.975277777776</v>
      </c>
      <c r="F1507" s="45" t="s">
        <v>679</v>
      </c>
    </row>
    <row r="1508" spans="1:6" ht="14.25">
      <c r="A1508" s="45"/>
      <c r="B1508" s="45" t="s">
        <v>176</v>
      </c>
      <c r="C1508" s="46" t="str">
        <f>HYPERLINK("https://au.indeed.com/viewjob?jk=f13514ec82a18e0a","Project Engineer")</f>
        <v>Project Engineer</v>
      </c>
      <c r="D1508" s="45" t="s">
        <v>456</v>
      </c>
      <c r="E1508" s="47">
        <v>44386.975393518522</v>
      </c>
      <c r="F1508" s="45" t="s">
        <v>679</v>
      </c>
    </row>
    <row r="1509" spans="1:6" ht="14.25">
      <c r="A1509" s="45"/>
      <c r="B1509" s="45" t="s">
        <v>176</v>
      </c>
      <c r="C1509" s="46" t="str">
        <f>HYPERLINK("https://au.indeed.com/viewjob?jk=7c7f8919015d5eeb","Project Engineer – Microclimate")</f>
        <v>Project Engineer – Microclimate</v>
      </c>
      <c r="D1509" s="45" t="s">
        <v>746</v>
      </c>
      <c r="E1509" s="47">
        <v>44386.97550925926</v>
      </c>
      <c r="F1509" s="45" t="s">
        <v>679</v>
      </c>
    </row>
    <row r="1510" spans="1:6" ht="14.25">
      <c r="A1510" s="45"/>
      <c r="B1510" s="45" t="s">
        <v>176</v>
      </c>
      <c r="C1510" s="46" t="str">
        <f>HYPERLINK("https://au.indeed.com/viewjob?jk=0ddeb2848d414b4f","Project Engineer")</f>
        <v>Project Engineer</v>
      </c>
      <c r="D1510" s="45" t="s">
        <v>456</v>
      </c>
      <c r="E1510" s="47">
        <v>44386.975648148145</v>
      </c>
      <c r="F1510" s="45" t="s">
        <v>679</v>
      </c>
    </row>
    <row r="1511" spans="1:6" ht="14.25">
      <c r="A1511" s="45"/>
      <c r="B1511" s="45" t="s">
        <v>176</v>
      </c>
      <c r="C1511" s="46" t="str">
        <f>HYPERLINK("https://au.indeed.com/viewjob?jk=407132279939797f","Construction Project Engineer - Civil or Mech")</f>
        <v>Construction Project Engineer - Civil or Mech</v>
      </c>
      <c r="D1511" s="45" t="s">
        <v>454</v>
      </c>
      <c r="E1511" s="47">
        <v>44386.975763888891</v>
      </c>
      <c r="F1511" s="45" t="s">
        <v>679</v>
      </c>
    </row>
    <row r="1512" spans="1:6" ht="14.25">
      <c r="A1512" s="45"/>
      <c r="B1512" s="45" t="s">
        <v>176</v>
      </c>
      <c r="C1512" s="46" t="str">
        <f>HYPERLINK("https://au.indeed.com/viewjob?jk=20b4233c291afa34","Project Engineer")</f>
        <v>Project Engineer</v>
      </c>
      <c r="D1512" s="45" t="s">
        <v>693</v>
      </c>
      <c r="E1512" s="47">
        <v>44386.975868055553</v>
      </c>
      <c r="F1512" s="45" t="s">
        <v>679</v>
      </c>
    </row>
    <row r="1513" spans="1:6" ht="14.25">
      <c r="A1513" s="45"/>
      <c r="B1513" s="45" t="s">
        <v>176</v>
      </c>
      <c r="C1513" s="46" t="str">
        <f>HYPERLINK("https://au.indeed.com/viewjob?jk=568d8f4cd8193746","Project Engineer")</f>
        <v>Project Engineer</v>
      </c>
      <c r="D1513" s="45" t="s">
        <v>754</v>
      </c>
      <c r="E1513" s="47">
        <v>44386.975983796299</v>
      </c>
      <c r="F1513" s="45" t="s">
        <v>679</v>
      </c>
    </row>
    <row r="1514" spans="1:6" ht="14.25">
      <c r="A1514" s="45"/>
      <c r="B1514" s="45" t="s">
        <v>176</v>
      </c>
      <c r="C1514" s="46" t="str">
        <f>HYPERLINK("https://au.indeed.com/viewjob?jk=e5ded4871df818cf","Project Engineer")</f>
        <v>Project Engineer</v>
      </c>
      <c r="D1514" s="45" t="s">
        <v>456</v>
      </c>
      <c r="E1514" s="47">
        <v>44386.976076388892</v>
      </c>
      <c r="F1514" s="45" t="s">
        <v>679</v>
      </c>
    </row>
    <row r="1515" spans="1:6" ht="14.25">
      <c r="A1515" s="45"/>
      <c r="B1515" s="45" t="s">
        <v>176</v>
      </c>
      <c r="C1515" s="46" t="str">
        <f>HYPERLINK("https://au.indeed.com/viewjob?jk=02e13a25e4470faf","Senior Project Engineer")</f>
        <v>Senior Project Engineer</v>
      </c>
      <c r="D1515" s="45" t="s">
        <v>755</v>
      </c>
      <c r="E1515" s="47">
        <v>44386.977129629631</v>
      </c>
      <c r="F1515" s="45" t="s">
        <v>679</v>
      </c>
    </row>
    <row r="1516" spans="1:6" ht="14.25">
      <c r="A1516" s="45"/>
      <c r="B1516" s="45" t="s">
        <v>176</v>
      </c>
      <c r="C1516" s="46" t="str">
        <f>HYPERLINK("https://au.indeed.com/viewjob?jk=db47e0ebbfaf813b","Project Engineer - (24 Months)")</f>
        <v>Project Engineer - (24 Months)</v>
      </c>
      <c r="D1516" s="45" t="s">
        <v>598</v>
      </c>
      <c r="E1516" s="47">
        <v>44386.97724537037</v>
      </c>
      <c r="F1516" s="45" t="s">
        <v>679</v>
      </c>
    </row>
    <row r="1517" spans="1:6" ht="14.25">
      <c r="A1517" s="45"/>
      <c r="B1517" s="45" t="s">
        <v>176</v>
      </c>
      <c r="C1517" s="46" t="str">
        <f>HYPERLINK("https://au.indeed.com/viewjob?jk=c33eb0b0249b23e3","Snr Project Engineer")</f>
        <v>Snr Project Engineer</v>
      </c>
      <c r="D1517" s="45" t="s">
        <v>449</v>
      </c>
      <c r="E1517" s="47">
        <v>44386.97761574074</v>
      </c>
      <c r="F1517" s="45" t="s">
        <v>679</v>
      </c>
    </row>
    <row r="1518" spans="1:6" ht="14.25">
      <c r="A1518" s="45"/>
      <c r="B1518" s="45" t="s">
        <v>176</v>
      </c>
      <c r="C1518" s="46" t="str">
        <f>HYPERLINK("https://au.indeed.com/viewjob?jk=329e75cfdc3652ad","Senior Project Engineer – Rail Systems")</f>
        <v>Senior Project Engineer – Rail Systems</v>
      </c>
      <c r="D1518" s="45" t="s">
        <v>448</v>
      </c>
      <c r="E1518" s="47">
        <v>44386.977719907409</v>
      </c>
      <c r="F1518" s="45" t="s">
        <v>679</v>
      </c>
    </row>
    <row r="1519" spans="1:6" ht="14.25">
      <c r="A1519" s="45"/>
      <c r="B1519" s="45" t="s">
        <v>176</v>
      </c>
      <c r="C1519" s="46" t="str">
        <f>HYPERLINK("https://au.indeed.com/viewjob?jk=be5ae1d0630f0a51","Project Engineer")</f>
        <v>Project Engineer</v>
      </c>
      <c r="D1519" s="45" t="s">
        <v>494</v>
      </c>
      <c r="E1519" s="47">
        <v>44386.978171296294</v>
      </c>
      <c r="F1519" s="45" t="s">
        <v>679</v>
      </c>
    </row>
    <row r="1520" spans="1:6" ht="14.25">
      <c r="A1520" s="45"/>
      <c r="B1520" s="45" t="s">
        <v>176</v>
      </c>
      <c r="C1520" s="46" t="str">
        <f>HYPERLINK("https://au.indeed.com/viewjob?jk=ea1d91d413b1b421","Senior Project Engineer Rolling Stock")</f>
        <v>Senior Project Engineer Rolling Stock</v>
      </c>
      <c r="D1520" s="45" t="s">
        <v>693</v>
      </c>
      <c r="E1520" s="47">
        <v>44386.978275462963</v>
      </c>
      <c r="F1520" s="45" t="s">
        <v>679</v>
      </c>
    </row>
    <row r="1521" spans="1:6" ht="14.25">
      <c r="A1521" s="45"/>
      <c r="B1521" s="45" t="s">
        <v>176</v>
      </c>
      <c r="C1521" s="46" t="str">
        <f>HYPERLINK("https://au.indeed.com/viewjob?jk=3fc8cef07a77fd6d","Electrical Project Engineer")</f>
        <v>Electrical Project Engineer</v>
      </c>
      <c r="D1521" s="45" t="s">
        <v>448</v>
      </c>
      <c r="E1521" s="47">
        <v>44386.978402777779</v>
      </c>
      <c r="F1521" s="45" t="s">
        <v>679</v>
      </c>
    </row>
    <row r="1522" spans="1:6" ht="14.25">
      <c r="A1522" s="45"/>
      <c r="B1522" s="45" t="s">
        <v>176</v>
      </c>
      <c r="C1522" s="46" t="str">
        <f>HYPERLINK("https://au.indeed.com/viewjob?jk=7b8db364f6ac584f","Project Engineer_Central Coast")</f>
        <v>Project Engineer_Central Coast</v>
      </c>
      <c r="D1522" s="45" t="s">
        <v>637</v>
      </c>
      <c r="E1522" s="47">
        <v>44386.978518518517</v>
      </c>
      <c r="F1522" s="45" t="s">
        <v>679</v>
      </c>
    </row>
    <row r="1523" spans="1:6" ht="14.25">
      <c r="A1523" s="45"/>
      <c r="B1523" s="45" t="s">
        <v>176</v>
      </c>
      <c r="C1523" s="46" t="str">
        <f>HYPERLINK("https://au.indeed.com/viewjob?jk=e48355e7c92f847e","Project Engineer")</f>
        <v>Project Engineer</v>
      </c>
      <c r="D1523" s="45" t="s">
        <v>418</v>
      </c>
      <c r="E1523" s="47">
        <v>44386.978645833333</v>
      </c>
      <c r="F1523" s="45" t="s">
        <v>679</v>
      </c>
    </row>
    <row r="1524" spans="1:6" ht="14.25">
      <c r="A1524" s="45"/>
      <c r="B1524" s="45" t="s">
        <v>176</v>
      </c>
      <c r="C1524" s="46" t="str">
        <f>HYPERLINK("https://au.indeed.com/viewjob?jk=b83113f4cd6bfe47","Project Engineer - Storage Equipment Division")</f>
        <v>Project Engineer - Storage Equipment Division</v>
      </c>
      <c r="D1524" s="45" t="s">
        <v>618</v>
      </c>
      <c r="E1524" s="47">
        <v>44386.979085648149</v>
      </c>
      <c r="F1524" s="45" t="s">
        <v>679</v>
      </c>
    </row>
    <row r="1525" spans="1:6" ht="14.25">
      <c r="A1525" s="45"/>
      <c r="B1525" s="45" t="s">
        <v>176</v>
      </c>
      <c r="C1525" s="46" t="str">
        <f>HYPERLINK("https://au.indeed.com/viewjob?jk=e802137947bec24a","Project Engineer")</f>
        <v>Project Engineer</v>
      </c>
      <c r="D1525" s="45" t="s">
        <v>455</v>
      </c>
      <c r="E1525" s="47">
        <v>44386.979189814818</v>
      </c>
      <c r="F1525" s="45" t="s">
        <v>679</v>
      </c>
    </row>
    <row r="1526" spans="1:6" ht="14.25">
      <c r="A1526" s="45"/>
      <c r="B1526" s="45" t="s">
        <v>176</v>
      </c>
      <c r="C1526" s="46" t="str">
        <f>HYPERLINK("https://au.indeed.com/viewjob?jk=2f5b62c8629f0969","Project Engineer - MPM")</f>
        <v>Project Engineer - MPM</v>
      </c>
      <c r="D1526" s="45" t="s">
        <v>705</v>
      </c>
      <c r="E1526" s="47">
        <v>44386.979594907411</v>
      </c>
      <c r="F1526" s="45" t="s">
        <v>679</v>
      </c>
    </row>
    <row r="1527" spans="1:6" ht="14.25">
      <c r="A1527" s="45"/>
      <c r="B1527" s="45" t="s">
        <v>176</v>
      </c>
      <c r="C1527" s="46" t="str">
        <f>HYPERLINK("https://au.indeed.com/viewjob?jk=8835f27d4d8d6051","Senior Project Engineer")</f>
        <v>Senior Project Engineer</v>
      </c>
      <c r="D1527" s="45" t="s">
        <v>705</v>
      </c>
      <c r="E1527" s="47">
        <v>44386.979710648149</v>
      </c>
      <c r="F1527" s="45" t="s">
        <v>679</v>
      </c>
    </row>
    <row r="1528" spans="1:6" ht="14.25">
      <c r="A1528" s="45"/>
      <c r="B1528" s="45" t="s">
        <v>176</v>
      </c>
      <c r="C1528" s="46" t="str">
        <f>HYPERLINK("https://au.indeed.com/viewjob?jk=1f9e5eee60500159","Project Engineer")</f>
        <v>Project Engineer</v>
      </c>
      <c r="D1528" s="45" t="s">
        <v>457</v>
      </c>
      <c r="E1528" s="47">
        <v>44386.980439814812</v>
      </c>
      <c r="F1528" s="45" t="s">
        <v>679</v>
      </c>
    </row>
    <row r="1529" spans="1:6" ht="14.25">
      <c r="A1529" s="45"/>
      <c r="B1529" s="45" t="s">
        <v>176</v>
      </c>
      <c r="C1529" s="46" t="str">
        <f>HYPERLINK("https://au.indeed.com/viewjob?jk=c4f93d50e2fed64e","Project Engineer for Victoria Cross")</f>
        <v>Project Engineer for Victoria Cross</v>
      </c>
      <c r="D1529" s="45" t="s">
        <v>461</v>
      </c>
      <c r="E1529" s="47">
        <v>44386.980555555558</v>
      </c>
      <c r="F1529" s="45" t="s">
        <v>679</v>
      </c>
    </row>
    <row r="1530" spans="1:6" ht="14.25">
      <c r="A1530" s="45"/>
      <c r="B1530" s="45" t="s">
        <v>176</v>
      </c>
      <c r="C1530" s="46" t="str">
        <f>HYPERLINK("https://au.indeed.com/viewjob?jk=4da1ff716b140038","Project Engineer - Technical Lead")</f>
        <v>Project Engineer - Technical Lead</v>
      </c>
      <c r="D1530" s="45" t="s">
        <v>522</v>
      </c>
      <c r="E1530" s="47">
        <v>44386.980682870373</v>
      </c>
      <c r="F1530" s="45" t="s">
        <v>679</v>
      </c>
    </row>
    <row r="1531" spans="1:6" ht="14.25">
      <c r="A1531" s="45"/>
      <c r="B1531" s="45" t="s">
        <v>176</v>
      </c>
      <c r="C1531" s="46" t="str">
        <f>HYPERLINK("https://au.indeed.com/viewjob?jk=f5d4af53a8507451","Project Engineer - Structural")</f>
        <v>Project Engineer - Structural</v>
      </c>
      <c r="D1531" s="45" t="s">
        <v>618</v>
      </c>
      <c r="E1531" s="47">
        <v>44386.980821759258</v>
      </c>
      <c r="F1531" s="45" t="s">
        <v>679</v>
      </c>
    </row>
    <row r="1532" spans="1:6" ht="14.25">
      <c r="A1532" s="45"/>
      <c r="B1532" s="45" t="s">
        <v>176</v>
      </c>
      <c r="C1532" s="46" t="str">
        <f>HYPERLINK("https://au.indeed.com/viewjob?jk=0c207010ee08a5f6","Senior Project Engineer")</f>
        <v>Senior Project Engineer</v>
      </c>
      <c r="D1532" s="45" t="s">
        <v>756</v>
      </c>
      <c r="E1532" s="47">
        <v>44386.980937499997</v>
      </c>
      <c r="F1532" s="45" t="s">
        <v>679</v>
      </c>
    </row>
    <row r="1533" spans="1:6" ht="14.25">
      <c r="A1533" s="45"/>
      <c r="B1533" s="45" t="s">
        <v>176</v>
      </c>
      <c r="C1533" s="46" t="str">
        <f>HYPERLINK("https://au.indeed.com/viewjob?jk=c4e7aabd79a771e9","Senior Project Engineer")</f>
        <v>Senior Project Engineer</v>
      </c>
      <c r="D1533" s="45" t="s">
        <v>457</v>
      </c>
      <c r="E1533" s="47">
        <v>44386.981076388889</v>
      </c>
      <c r="F1533" s="45" t="s">
        <v>679</v>
      </c>
    </row>
    <row r="1534" spans="1:6" ht="14.25">
      <c r="A1534" s="45"/>
      <c r="B1534" s="45" t="s">
        <v>176</v>
      </c>
      <c r="C1534" s="46" t="str">
        <f>HYPERLINK("https://au.indeed.com/viewjob?jk=5d9e3f78fac031a2","Project Engineer")</f>
        <v>Project Engineer</v>
      </c>
      <c r="D1534" s="45" t="s">
        <v>470</v>
      </c>
      <c r="E1534" s="47">
        <v>44386.981180555558</v>
      </c>
      <c r="F1534" s="45" t="s">
        <v>679</v>
      </c>
    </row>
    <row r="1535" spans="1:6" ht="14.25">
      <c r="A1535" s="45"/>
      <c r="B1535" s="45" t="s">
        <v>176</v>
      </c>
      <c r="C1535" s="46" t="str">
        <f>HYPERLINK("https://au.indeed.com/viewjob?jk=fdd62d557caaeb00","Project Engineer")</f>
        <v>Project Engineer</v>
      </c>
      <c r="D1535" s="45" t="s">
        <v>757</v>
      </c>
      <c r="E1535" s="47">
        <v>44386.981307870374</v>
      </c>
      <c r="F1535" s="45" t="s">
        <v>679</v>
      </c>
    </row>
    <row r="1536" spans="1:6" ht="14.25">
      <c r="A1536" s="45"/>
      <c r="B1536" s="45" t="s">
        <v>176</v>
      </c>
      <c r="C1536" s="46" t="str">
        <f>HYPERLINK("https://au.indeed.com/viewjob?jk=d3f7f45b9e30d843","Project Engineer - Co-Location team")</f>
        <v>Project Engineer - Co-Location team</v>
      </c>
      <c r="D1536" s="45" t="s">
        <v>423</v>
      </c>
      <c r="E1536" s="47">
        <v>44386.981446759259</v>
      </c>
      <c r="F1536" s="45" t="s">
        <v>679</v>
      </c>
    </row>
    <row r="1537" spans="1:6" ht="14.25">
      <c r="A1537" s="45"/>
      <c r="B1537" s="45" t="s">
        <v>176</v>
      </c>
      <c r="C1537" s="46" t="str">
        <f>HYPERLINK("https://au.indeed.com/viewjob?jk=a3adb0346f4a4183","Project Coordinator / Scheduler / Engineer")</f>
        <v>Project Coordinator / Scheduler / Engineer</v>
      </c>
      <c r="D1537" s="45" t="s">
        <v>524</v>
      </c>
      <c r="E1537" s="47">
        <v>44386.981574074074</v>
      </c>
      <c r="F1537" s="45" t="s">
        <v>679</v>
      </c>
    </row>
    <row r="1538" spans="1:6" ht="14.25">
      <c r="A1538" s="45"/>
      <c r="B1538" s="45" t="s">
        <v>176</v>
      </c>
      <c r="C1538" s="46" t="str">
        <f>HYPERLINK("https://au.indeed.com/viewjob?jk=603b177f6ba3bb4e","Civil Project Engineer")</f>
        <v>Civil Project Engineer</v>
      </c>
      <c r="D1538" s="45" t="s">
        <v>758</v>
      </c>
      <c r="E1538" s="47">
        <v>44386.98170138889</v>
      </c>
      <c r="F1538" s="45" t="s">
        <v>679</v>
      </c>
    </row>
    <row r="1539" spans="1:6" ht="14.25">
      <c r="A1539" s="45"/>
      <c r="B1539" s="45" t="s">
        <v>176</v>
      </c>
      <c r="C1539" s="46" t="str">
        <f>HYPERLINK("https://au.indeed.com/viewjob?jk=57f322e593569148","Project Engineer")</f>
        <v>Project Engineer</v>
      </c>
      <c r="D1539" s="45" t="s">
        <v>461</v>
      </c>
      <c r="E1539" s="47">
        <v>44386.981817129628</v>
      </c>
      <c r="F1539" s="45" t="s">
        <v>679</v>
      </c>
    </row>
    <row r="1540" spans="1:6" ht="14.25">
      <c r="A1540" s="45"/>
      <c r="B1540" s="45" t="s">
        <v>176</v>
      </c>
      <c r="C1540" s="46" t="str">
        <f>HYPERLINK("https://au.indeed.com/viewjob?jk=2be7c6b0fc80d895","Project Engineer - Rail")</f>
        <v>Project Engineer - Rail</v>
      </c>
      <c r="D1540" s="45" t="s">
        <v>757</v>
      </c>
      <c r="E1540" s="47">
        <v>44386.981932870367</v>
      </c>
      <c r="F1540" s="45" t="s">
        <v>679</v>
      </c>
    </row>
    <row r="1541" spans="1:6" ht="14.25">
      <c r="A1541" s="45"/>
      <c r="B1541" s="45" t="s">
        <v>176</v>
      </c>
      <c r="C1541" s="46" t="str">
        <f>HYPERLINK("https://au.indeed.com/viewjob?jk=3fa621cb6362a76c","Project &amp; Site Engineers - Utilities")</f>
        <v>Project &amp; Site Engineers - Utilities</v>
      </c>
      <c r="D1541" s="45" t="s">
        <v>450</v>
      </c>
      <c r="E1541" s="47">
        <v>44386.98265046296</v>
      </c>
      <c r="F1541" s="45" t="s">
        <v>679</v>
      </c>
    </row>
    <row r="1542" spans="1:6" ht="14.25">
      <c r="A1542" s="45"/>
      <c r="B1542" s="45" t="s">
        <v>176</v>
      </c>
      <c r="C1542" s="46" t="str">
        <f>HYPERLINK("https://au.indeed.com/viewjob?jk=8c9d865b3fcf2564","Graduate Project Engineer - Independent Assurance Services")</f>
        <v>Graduate Project Engineer - Independent Assurance Services</v>
      </c>
      <c r="D1542" s="45" t="s">
        <v>421</v>
      </c>
      <c r="E1542" s="47">
        <v>44386.982789351852</v>
      </c>
      <c r="F1542" s="45" t="s">
        <v>679</v>
      </c>
    </row>
    <row r="1543" spans="1:6" ht="14.25">
      <c r="A1543" s="45"/>
      <c r="B1543" s="45" t="s">
        <v>176</v>
      </c>
      <c r="C1543" s="46" t="str">
        <f>HYPERLINK("https://au.indeed.com/viewjob?jk=84b2972b9ff21b26","Project Engineer – Civil (Rail/Road)")</f>
        <v>Project Engineer – Civil (Rail/Road)</v>
      </c>
      <c r="D1543" s="45" t="s">
        <v>759</v>
      </c>
      <c r="E1543" s="47">
        <v>44386.982905092591</v>
      </c>
      <c r="F1543" s="45" t="s">
        <v>679</v>
      </c>
    </row>
    <row r="1544" spans="1:6" ht="14.25">
      <c r="A1544" s="45"/>
      <c r="B1544" s="45" t="s">
        <v>176</v>
      </c>
      <c r="C1544" s="46" t="str">
        <f>HYPERLINK("https://au.indeed.com/viewjob?jk=0bc4376efb35cfd6","Project Engineer - Civil Engineering")</f>
        <v>Project Engineer - Civil Engineering</v>
      </c>
      <c r="D1544" s="45" t="s">
        <v>640</v>
      </c>
      <c r="E1544" s="47">
        <v>44386.983020833337</v>
      </c>
      <c r="F1544" s="45" t="s">
        <v>679</v>
      </c>
    </row>
    <row r="1545" spans="1:6" ht="14.25">
      <c r="A1545" s="45"/>
      <c r="B1545" s="45" t="s">
        <v>176</v>
      </c>
      <c r="C1545" s="46" t="str">
        <f>HYPERLINK("https://au.indeed.com/viewjob?jk=eecafec1560a6c81","Water Engineer - Potable &amp; Recycled Water Projects")</f>
        <v>Water Engineer - Potable &amp; Recycled Water Projects</v>
      </c>
      <c r="D1545" s="45" t="s">
        <v>549</v>
      </c>
      <c r="E1545" s="47">
        <v>44386.983136574076</v>
      </c>
      <c r="F1545" s="45" t="s">
        <v>679</v>
      </c>
    </row>
    <row r="1546" spans="1:6" ht="14.25">
      <c r="A1546" s="45"/>
      <c r="B1546" s="45" t="s">
        <v>176</v>
      </c>
      <c r="C1546" s="46" t="str">
        <f>HYPERLINK("https://au.indeed.com/viewjob?jk=44eeb3a19937ed4b","Senior Project Engineer - Signalling")</f>
        <v>Senior Project Engineer - Signalling</v>
      </c>
      <c r="D1546" s="45" t="s">
        <v>448</v>
      </c>
      <c r="E1546" s="47">
        <v>44386.983252314814</v>
      </c>
      <c r="F1546" s="45" t="s">
        <v>679</v>
      </c>
    </row>
    <row r="1547" spans="1:6" ht="14.25">
      <c r="A1547" s="45"/>
      <c r="B1547" s="45" t="s">
        <v>176</v>
      </c>
      <c r="C1547" s="46" t="str">
        <f>HYPERLINK("https://au.indeed.com/viewjob?jk=47472756c9d855d0","Project Chief Engineer - Phantom Works International")</f>
        <v>Project Chief Engineer - Phantom Works International</v>
      </c>
      <c r="D1547" s="45" t="s">
        <v>522</v>
      </c>
      <c r="E1547" s="47">
        <v>44386.983657407407</v>
      </c>
      <c r="F1547" s="45" t="s">
        <v>679</v>
      </c>
    </row>
  </sheetData>
  <hyperlinks>
    <hyperlink ref="D719" r:id="rId1"/>
    <hyperlink ref="D823" r:id="rId2"/>
    <hyperlink ref="D851" r:id="rId3"/>
    <hyperlink ref="D1314" r:id="rId4"/>
    <hyperlink ref="D1352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I7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" width="20.5703125" customWidth="1"/>
    <col min="3" max="3" width="34.85546875" customWidth="1"/>
    <col min="4" max="4" width="31.42578125" customWidth="1"/>
    <col min="6" max="6" width="69.5703125" customWidth="1"/>
    <col min="7" max="7" width="33.42578125" customWidth="1"/>
    <col min="8" max="9" width="25.7109375" customWidth="1"/>
  </cols>
  <sheetData>
    <row r="1" spans="1:9" ht="15.75" customHeight="1">
      <c r="A1" s="49" t="s">
        <v>156</v>
      </c>
      <c r="B1" s="50" t="s">
        <v>157</v>
      </c>
      <c r="C1" s="49" t="s">
        <v>158</v>
      </c>
      <c r="D1" s="49" t="s">
        <v>159</v>
      </c>
      <c r="E1" s="51" t="s">
        <v>760</v>
      </c>
      <c r="F1" s="50" t="s">
        <v>16</v>
      </c>
      <c r="G1" s="49" t="s">
        <v>761</v>
      </c>
      <c r="H1" s="51" t="s">
        <v>160</v>
      </c>
      <c r="I1" s="50" t="s">
        <v>161</v>
      </c>
    </row>
    <row r="2" spans="1:9">
      <c r="A2" s="45"/>
      <c r="B2" s="45" t="s">
        <v>165</v>
      </c>
      <c r="C2" s="52" t="str">
        <f>HYPERLINK("https://au.indeed.com/viewjob?from=iaBackPress&amp;jk=0135effafd949ae0&amp;vjs=3","Trade Qualified Sales Engineer / Mechanical Engineer / Fitter")</f>
        <v>Trade Qualified Sales Engineer / Mechanical Engineer / Fitter</v>
      </c>
      <c r="D2" s="53" t="s">
        <v>762</v>
      </c>
      <c r="E2" s="54" t="s">
        <v>18</v>
      </c>
      <c r="F2" s="45" t="s">
        <v>763</v>
      </c>
      <c r="G2" s="45" t="s">
        <v>764</v>
      </c>
      <c r="H2" s="47">
        <v>44202.361435185187</v>
      </c>
      <c r="I2" s="45" t="s">
        <v>164</v>
      </c>
    </row>
    <row r="3" spans="1:9">
      <c r="A3" s="45"/>
      <c r="B3" s="45" t="s">
        <v>162</v>
      </c>
      <c r="C3" s="52" t="str">
        <f>HYPERLINK("https://au.indeed.com/viewjob?from=iaBackPress&amp;jk=b6f7efaf7e94544a&amp;vjs=3","Technical | Design Engineer | Structural Engineer")</f>
        <v>Technical | Design Engineer | Structural Engineer</v>
      </c>
      <c r="D3" s="53" t="s">
        <v>765</v>
      </c>
      <c r="E3" s="54" t="s">
        <v>19</v>
      </c>
      <c r="F3" s="45" t="s">
        <v>766</v>
      </c>
      <c r="G3" s="45"/>
      <c r="H3" s="47">
        <v>44202.363229166665</v>
      </c>
      <c r="I3" s="45" t="s">
        <v>164</v>
      </c>
    </row>
    <row r="4" spans="1:9">
      <c r="A4" s="45"/>
      <c r="B4" s="45" t="s">
        <v>162</v>
      </c>
      <c r="C4" s="52" t="str">
        <f>HYPERLINK("https://au.indeed.com/viewjob?from=iaBackPress&amp;jk=627c606995cd76ec&amp;vjs=3","FPGA Design Engineer")</f>
        <v>FPGA Design Engineer</v>
      </c>
      <c r="D4" s="53" t="s">
        <v>767</v>
      </c>
      <c r="E4" s="54" t="s">
        <v>18</v>
      </c>
      <c r="F4" s="45" t="s">
        <v>768</v>
      </c>
      <c r="G4" s="45" t="s">
        <v>769</v>
      </c>
      <c r="H4" s="47">
        <v>44202.364942129629</v>
      </c>
      <c r="I4" s="45" t="s">
        <v>164</v>
      </c>
    </row>
    <row r="5" spans="1:9">
      <c r="A5" s="45"/>
      <c r="B5" s="45" t="s">
        <v>186</v>
      </c>
      <c r="C5" s="52" t="str">
        <f>HYPERLINK("https://au.indeed.com/viewjob?from=iaBackPress&amp;jk=10fc1007cd0a24d5&amp;vjs=3","Software Development Engineer in Test II (Checkout Team)")</f>
        <v>Software Development Engineer in Test II (Checkout Team)</v>
      </c>
      <c r="D5" s="53" t="s">
        <v>770</v>
      </c>
      <c r="E5" s="54" t="s">
        <v>18</v>
      </c>
      <c r="F5" s="45" t="s">
        <v>771</v>
      </c>
      <c r="G5" s="45" t="s">
        <v>772</v>
      </c>
      <c r="H5" s="47">
        <v>44202.365914351853</v>
      </c>
      <c r="I5" s="45" t="s">
        <v>164</v>
      </c>
    </row>
    <row r="6" spans="1:9">
      <c r="A6" s="45"/>
      <c r="B6" s="45" t="s">
        <v>167</v>
      </c>
      <c r="C6" s="52" t="str">
        <f>HYPERLINK("https://au.indeed.com/viewjob?from=iaBackPress&amp;jk=454b1eae25ddd2bf&amp;vjs=3","Senior Network &amp; Infrastructure Engineer")</f>
        <v>Senior Network &amp; Infrastructure Engineer</v>
      </c>
      <c r="D6" s="53" t="s">
        <v>773</v>
      </c>
      <c r="E6" s="54" t="s">
        <v>17</v>
      </c>
      <c r="F6" s="45" t="s">
        <v>774</v>
      </c>
      <c r="G6" s="45"/>
      <c r="H6" s="47">
        <v>44202.366712962961</v>
      </c>
      <c r="I6" s="45" t="s">
        <v>164</v>
      </c>
    </row>
    <row r="7" spans="1:9">
      <c r="A7" s="45"/>
      <c r="B7" s="45" t="s">
        <v>165</v>
      </c>
      <c r="C7" s="52" t="str">
        <f t="shared" ref="C7:C8" si="0">HYPERLINK("https://au.indeed.com/viewjob?from=iaBackPress&amp;jk=bb09d781c7a9c1d7&amp;vjs=3","Senior Mechanical Engineer - Cowal")</f>
        <v>Senior Mechanical Engineer - Cowal</v>
      </c>
      <c r="D7" s="53" t="s">
        <v>775</v>
      </c>
      <c r="E7" s="54" t="s">
        <v>776</v>
      </c>
      <c r="F7" s="45"/>
      <c r="G7" s="45"/>
      <c r="H7" s="47">
        <v>44209.726273148146</v>
      </c>
      <c r="I7" s="45" t="s">
        <v>164</v>
      </c>
    </row>
    <row r="8" spans="1:9">
      <c r="A8" s="45"/>
      <c r="B8" s="45" t="s">
        <v>165</v>
      </c>
      <c r="C8" s="52" t="str">
        <f t="shared" si="0"/>
        <v>Senior Mechanical Engineer - Cowal</v>
      </c>
      <c r="D8" s="53" t="s">
        <v>775</v>
      </c>
      <c r="E8" s="54" t="s">
        <v>776</v>
      </c>
      <c r="F8" s="45"/>
      <c r="G8" s="45"/>
      <c r="H8" s="47">
        <v>44209.729398148149</v>
      </c>
      <c r="I8" s="45" t="s">
        <v>164</v>
      </c>
    </row>
    <row r="9" spans="1:9">
      <c r="A9" s="45"/>
      <c r="B9" s="45" t="s">
        <v>165</v>
      </c>
      <c r="C9" s="52" t="str">
        <f>HYPERLINK("https://au.indeed.com/viewjob?from=iaBackPress&amp;jk=0135effafd949ae0&amp;vjs=3","Trade Qualified Sales Engineer / Mechanical Engineer / Fitter")</f>
        <v>Trade Qualified Sales Engineer / Mechanical Engineer / Fitter</v>
      </c>
      <c r="D9" s="53" t="s">
        <v>762</v>
      </c>
      <c r="E9" s="54" t="s">
        <v>18</v>
      </c>
      <c r="F9" s="45" t="s">
        <v>763</v>
      </c>
      <c r="G9" s="45" t="s">
        <v>777</v>
      </c>
      <c r="H9" s="47">
        <v>44209.730590277781</v>
      </c>
      <c r="I9" s="45" t="s">
        <v>164</v>
      </c>
    </row>
    <row r="10" spans="1:9">
      <c r="A10" s="45"/>
      <c r="B10" s="45" t="s">
        <v>249</v>
      </c>
      <c r="C10" s="52" t="str">
        <f>HYPERLINK("https://au.indeed.com/viewjob?from=iaBackPress&amp;jk=a09a55de8a804d66&amp;vjs=3","Lead Control System Engineer")</f>
        <v>Lead Control System Engineer</v>
      </c>
      <c r="D10" s="53" t="s">
        <v>778</v>
      </c>
      <c r="E10" s="54" t="s">
        <v>17</v>
      </c>
      <c r="F10" s="45" t="s">
        <v>779</v>
      </c>
      <c r="G10" s="45"/>
      <c r="H10" s="47">
        <v>44209.735312500001</v>
      </c>
      <c r="I10" s="45" t="s">
        <v>237</v>
      </c>
    </row>
    <row r="11" spans="1:9">
      <c r="A11" s="45"/>
      <c r="B11" s="45" t="s">
        <v>165</v>
      </c>
      <c r="C11" s="52" t="str">
        <f>HYPERLINK("https://au.indeed.com/viewjob?from=iaBackPress&amp;jk=0135effafd949ae0&amp;vjs=3","Trade Qualified Sales Engineer / Mechanical Engineer / Fitter")</f>
        <v>Trade Qualified Sales Engineer / Mechanical Engineer / Fitter</v>
      </c>
      <c r="D11" s="53" t="s">
        <v>762</v>
      </c>
      <c r="E11" s="54" t="s">
        <v>18</v>
      </c>
      <c r="F11" s="45" t="s">
        <v>763</v>
      </c>
      <c r="G11" s="45" t="s">
        <v>780</v>
      </c>
      <c r="H11" s="47">
        <v>44209.736828703702</v>
      </c>
      <c r="I11" s="45" t="s">
        <v>164</v>
      </c>
    </row>
    <row r="12" spans="1:9">
      <c r="A12" s="45"/>
      <c r="B12" s="45" t="s">
        <v>249</v>
      </c>
      <c r="C12" s="52" t="str">
        <f>HYPERLINK("https://au.indeed.com/viewjob?from=iaBackPress&amp;jk=dcdaa220df4a1fde&amp;vjs=3","Senior Mission Control Engineer - Security")</f>
        <v>Senior Mission Control Engineer - Security</v>
      </c>
      <c r="D12" s="53" t="s">
        <v>781</v>
      </c>
      <c r="E12" s="54" t="s">
        <v>18</v>
      </c>
      <c r="F12" s="45" t="s">
        <v>782</v>
      </c>
      <c r="G12" s="45" t="s">
        <v>783</v>
      </c>
      <c r="H12" s="47">
        <v>44209.737500000003</v>
      </c>
      <c r="I12" s="45" t="s">
        <v>237</v>
      </c>
    </row>
    <row r="13" spans="1:9">
      <c r="A13" s="45"/>
      <c r="B13" s="45" t="s">
        <v>162</v>
      </c>
      <c r="C13" s="52" t="str">
        <f>HYPERLINK("https://au.indeed.com/viewjob?from=iaBackPress&amp;jk=e56c6b87b1452a2e&amp;vjs=3","Product Design Engineer - Maker Industry")</f>
        <v>Product Design Engineer - Maker Industry</v>
      </c>
      <c r="D13" s="53" t="s">
        <v>784</v>
      </c>
      <c r="E13" s="54" t="s">
        <v>18</v>
      </c>
      <c r="F13" s="45" t="s">
        <v>785</v>
      </c>
      <c r="G13" s="45" t="s">
        <v>786</v>
      </c>
      <c r="H13" s="47">
        <v>44209.739039351851</v>
      </c>
      <c r="I13" s="45" t="s">
        <v>164</v>
      </c>
    </row>
    <row r="14" spans="1:9">
      <c r="A14" s="45"/>
      <c r="B14" s="45" t="s">
        <v>676</v>
      </c>
      <c r="C14" s="52" t="str">
        <f>HYPERLINK("https://au.indeed.com/viewjob?from=iaBackPress&amp;jk=a09a55de8a804d66&amp;vjs=3","Lead Control System Engineer")</f>
        <v>Lead Control System Engineer</v>
      </c>
      <c r="D14" s="53" t="s">
        <v>778</v>
      </c>
      <c r="E14" s="54" t="s">
        <v>17</v>
      </c>
      <c r="F14" s="45" t="s">
        <v>779</v>
      </c>
      <c r="G14" s="45"/>
      <c r="H14" s="47">
        <v>44209.739282407405</v>
      </c>
      <c r="I14" s="45" t="s">
        <v>237</v>
      </c>
    </row>
    <row r="15" spans="1:9">
      <c r="A15" s="45"/>
      <c r="B15" s="45" t="s">
        <v>162</v>
      </c>
      <c r="C15" s="52" t="str">
        <f>HYPERLINK("https://au.indeed.com/viewjob?from=iaBackPress&amp;jk=2a9998a0e61e5a15&amp;vjs=3","Product design and mechatronics engineer")</f>
        <v>Product design and mechatronics engineer</v>
      </c>
      <c r="D15" s="53" t="s">
        <v>787</v>
      </c>
      <c r="E15" s="54" t="s">
        <v>17</v>
      </c>
      <c r="F15" s="45" t="s">
        <v>788</v>
      </c>
      <c r="G15" s="45"/>
      <c r="H15" s="47">
        <v>44209.739398148151</v>
      </c>
      <c r="I15" s="45" t="s">
        <v>164</v>
      </c>
    </row>
    <row r="16" spans="1:9">
      <c r="A16" s="45"/>
      <c r="B16" s="45" t="s">
        <v>789</v>
      </c>
      <c r="C16" s="52" t="str">
        <f>HYPERLINK("https://au.indeed.com/viewjob?from=iaBackPress&amp;jk=a09a55de8a804d66&amp;vjs=3","Lead Control System Engineer")</f>
        <v>Lead Control System Engineer</v>
      </c>
      <c r="D16" s="53" t="s">
        <v>778</v>
      </c>
      <c r="E16" s="54" t="s">
        <v>17</v>
      </c>
      <c r="F16" s="45" t="s">
        <v>779</v>
      </c>
      <c r="G16" s="45"/>
      <c r="H16" s="47">
        <v>44209.739687499998</v>
      </c>
      <c r="I16" s="45" t="s">
        <v>237</v>
      </c>
    </row>
    <row r="17" spans="1:9">
      <c r="A17" s="45"/>
      <c r="B17" s="45" t="s">
        <v>789</v>
      </c>
      <c r="C17" s="52" t="str">
        <f>HYPERLINK("https://au.indeed.com/viewjob?from=iaBackPress&amp;jk=dcdaa220df4a1fde&amp;vjs=3","Senior Mission Control Engineer - Security")</f>
        <v>Senior Mission Control Engineer - Security</v>
      </c>
      <c r="D17" s="53" t="s">
        <v>781</v>
      </c>
      <c r="E17" s="54" t="s">
        <v>18</v>
      </c>
      <c r="F17" s="45" t="s">
        <v>782</v>
      </c>
      <c r="G17" s="45" t="s">
        <v>790</v>
      </c>
      <c r="H17" s="47">
        <v>44209.740046296298</v>
      </c>
      <c r="I17" s="45" t="s">
        <v>237</v>
      </c>
    </row>
    <row r="18" spans="1:9">
      <c r="A18" s="45"/>
      <c r="B18" s="45" t="s">
        <v>255</v>
      </c>
      <c r="C18" s="52" t="str">
        <f>HYPERLINK("https://au.indeed.com/viewjob?from=iaBackPress&amp;jk=753949180b763992&amp;vjs=3","Lead Electrical Engineer")</f>
        <v>Lead Electrical Engineer</v>
      </c>
      <c r="D18" s="53" t="s">
        <v>778</v>
      </c>
      <c r="E18" s="54" t="s">
        <v>17</v>
      </c>
      <c r="F18" s="45" t="s">
        <v>779</v>
      </c>
      <c r="G18" s="45"/>
      <c r="H18" s="47">
        <v>44209.746539351851</v>
      </c>
      <c r="I18" s="45" t="s">
        <v>237</v>
      </c>
    </row>
    <row r="19" spans="1:9">
      <c r="A19" s="45"/>
      <c r="B19" s="45" t="s">
        <v>162</v>
      </c>
      <c r="C19" s="52" t="str">
        <f>HYPERLINK("https://au.indeed.com/viewjob?from=iaBackPress&amp;jk=e56c6b87b1452a2e&amp;vjs=3","Product Design Engineer - Maker Industry")</f>
        <v>Product Design Engineer - Maker Industry</v>
      </c>
      <c r="D19" s="53" t="s">
        <v>784</v>
      </c>
      <c r="E19" s="54" t="s">
        <v>18</v>
      </c>
      <c r="F19" s="45" t="s">
        <v>785</v>
      </c>
      <c r="G19" s="45" t="s">
        <v>791</v>
      </c>
      <c r="H19" s="47">
        <v>44209.747025462966</v>
      </c>
      <c r="I19" s="45" t="s">
        <v>164</v>
      </c>
    </row>
    <row r="20" spans="1:9">
      <c r="A20" s="45"/>
      <c r="B20" s="45" t="s">
        <v>186</v>
      </c>
      <c r="C20" s="52" t="str">
        <f>HYPERLINK("https://au.indeed.com/viewjob?from=iaBackPress&amp;jk=10fc1007cd0a24d5&amp;vjs=3","Software Development Engineer in Test II (Checkout Team)")</f>
        <v>Software Development Engineer in Test II (Checkout Team)</v>
      </c>
      <c r="D20" s="53" t="s">
        <v>770</v>
      </c>
      <c r="E20" s="54" t="s">
        <v>18</v>
      </c>
      <c r="F20" s="45" t="s">
        <v>771</v>
      </c>
      <c r="G20" s="45" t="s">
        <v>792</v>
      </c>
      <c r="H20" s="47">
        <v>44209.749143518522</v>
      </c>
      <c r="I20" s="45" t="s">
        <v>164</v>
      </c>
    </row>
    <row r="21" spans="1:9">
      <c r="A21" s="45"/>
      <c r="B21" s="45" t="s">
        <v>186</v>
      </c>
      <c r="C21" s="52" t="str">
        <f>HYPERLINK("https://au.indeed.com/viewjob?from=iaBackPress&amp;jk=10fe0a7b36ca203b&amp;vjs=3","Senior Software Engineer (Physics/Game Development)")</f>
        <v>Senior Software Engineer (Physics/Game Development)</v>
      </c>
      <c r="D21" s="53" t="s">
        <v>793</v>
      </c>
      <c r="E21" s="54" t="s">
        <v>17</v>
      </c>
      <c r="F21" s="45" t="s">
        <v>771</v>
      </c>
      <c r="G21" s="45"/>
      <c r="H21" s="47">
        <v>44209.7499537037</v>
      </c>
      <c r="I21" s="45" t="s">
        <v>164</v>
      </c>
    </row>
    <row r="22" spans="1:9">
      <c r="A22" s="45"/>
      <c r="B22" s="45" t="s">
        <v>186</v>
      </c>
      <c r="C22" s="52" t="str">
        <f>HYPERLINK("https://au.indeed.com/viewjob?from=iaBackPress&amp;jk=c74255ab6c743f66&amp;vjs=3","Junior Software Engineer (Game Development, C++) Internship Program")</f>
        <v>Junior Software Engineer (Game Development, C++) Internship Program</v>
      </c>
      <c r="D22" s="53" t="s">
        <v>793</v>
      </c>
      <c r="E22" s="54" t="s">
        <v>18</v>
      </c>
      <c r="F22" s="45" t="s">
        <v>794</v>
      </c>
      <c r="G22" s="45" t="s">
        <v>795</v>
      </c>
      <c r="H22" s="47">
        <v>44209.750335648147</v>
      </c>
      <c r="I22" s="45" t="s">
        <v>164</v>
      </c>
    </row>
    <row r="23" spans="1:9">
      <c r="A23" s="45"/>
      <c r="B23" s="45" t="s">
        <v>186</v>
      </c>
      <c r="C23" s="52" t="str">
        <f>HYPERLINK("https://au.indeed.com/viewjob?from=iaBackPress&amp;jk=a3e1b0825317c814&amp;vjs=3","Junior Software Engineer (Game Development, C++) Internship Program")</f>
        <v>Junior Software Engineer (Game Development, C++) Internship Program</v>
      </c>
      <c r="D23" s="53" t="s">
        <v>796</v>
      </c>
      <c r="E23" s="54" t="s">
        <v>18</v>
      </c>
      <c r="F23" s="45" t="s">
        <v>794</v>
      </c>
      <c r="G23" s="45" t="s">
        <v>797</v>
      </c>
      <c r="H23" s="47">
        <v>44209.751909722225</v>
      </c>
      <c r="I23" s="45" t="s">
        <v>164</v>
      </c>
    </row>
    <row r="24" spans="1:9">
      <c r="A24" s="45"/>
      <c r="B24" s="45" t="s">
        <v>176</v>
      </c>
      <c r="C24" s="52" t="str">
        <f>HYPERLINK("https://au.indeed.com/viewjob?from=iaBackPress&amp;jk=86171e9379b5899f&amp;vjs=3","Civil Project Engineer")</f>
        <v>Civil Project Engineer</v>
      </c>
      <c r="D24" s="53" t="s">
        <v>798</v>
      </c>
      <c r="E24" s="54" t="s">
        <v>18</v>
      </c>
      <c r="F24" s="45" t="s">
        <v>799</v>
      </c>
      <c r="G24" s="45" t="s">
        <v>800</v>
      </c>
      <c r="H24" s="47">
        <v>44209.758136574077</v>
      </c>
      <c r="I24" s="45" t="s">
        <v>237</v>
      </c>
    </row>
    <row r="25" spans="1:9">
      <c r="A25" s="45"/>
      <c r="B25" s="45" t="s">
        <v>167</v>
      </c>
      <c r="C25" s="52" t="str">
        <f>HYPERLINK("https://au.indeed.com/viewjob?from=iaBackPress&amp;jk=e8d148374be4d92b&amp;vjs=3","Senior ML Infrastructure Engineer")</f>
        <v>Senior ML Infrastructure Engineer</v>
      </c>
      <c r="D25" s="53" t="s">
        <v>801</v>
      </c>
      <c r="E25" s="54" t="s">
        <v>18</v>
      </c>
      <c r="F25" s="45" t="s">
        <v>802</v>
      </c>
      <c r="G25" s="45" t="s">
        <v>803</v>
      </c>
      <c r="H25" s="47">
        <v>44209.759212962963</v>
      </c>
      <c r="I25" s="45" t="s">
        <v>164</v>
      </c>
    </row>
    <row r="26" spans="1:9">
      <c r="A26" s="45"/>
      <c r="B26" s="45" t="s">
        <v>167</v>
      </c>
      <c r="C26" s="52" t="str">
        <f>HYPERLINK("https://au.indeed.com/viewjob?from=iaBackPress&amp;jk=454b1eae25ddd2bf&amp;vjs=3","Senior Network &amp; Infrastructure Engineer")</f>
        <v>Senior Network &amp; Infrastructure Engineer</v>
      </c>
      <c r="D26" s="53" t="s">
        <v>773</v>
      </c>
      <c r="E26" s="54" t="s">
        <v>17</v>
      </c>
      <c r="F26" s="45" t="s">
        <v>774</v>
      </c>
      <c r="G26" s="45"/>
      <c r="H26" s="47">
        <v>44209.760000000002</v>
      </c>
      <c r="I26" s="45" t="s">
        <v>164</v>
      </c>
    </row>
    <row r="27" spans="1:9">
      <c r="A27" s="45"/>
      <c r="B27" s="45" t="s">
        <v>176</v>
      </c>
      <c r="C27" s="52" t="str">
        <f>HYPERLINK("https://au.indeed.com/viewjob?from=iaBackPress&amp;jk=1921c29486dec363&amp;vjs=3","Junior Project Engineer")</f>
        <v>Junior Project Engineer</v>
      </c>
      <c r="D27" s="53" t="s">
        <v>268</v>
      </c>
      <c r="E27" s="54" t="s">
        <v>17</v>
      </c>
      <c r="F27" s="45" t="s">
        <v>804</v>
      </c>
      <c r="G27" s="45"/>
      <c r="H27" s="47">
        <v>44209.767291666663</v>
      </c>
      <c r="I27" s="45" t="s">
        <v>237</v>
      </c>
    </row>
    <row r="28" spans="1:9">
      <c r="A28" s="45"/>
      <c r="B28" s="45" t="s">
        <v>176</v>
      </c>
      <c r="C28" s="52" t="str">
        <f>HYPERLINK("https://au.indeed.com/viewjob?from=iaBackPress&amp;jk=56d66f468497c514&amp;vjs=3","Project Engineer")</f>
        <v>Project Engineer</v>
      </c>
      <c r="D28" s="53" t="s">
        <v>805</v>
      </c>
      <c r="E28" s="54" t="s">
        <v>18</v>
      </c>
      <c r="F28" s="45" t="s">
        <v>806</v>
      </c>
      <c r="G28" s="45" t="s">
        <v>807</v>
      </c>
      <c r="H28" s="47">
        <v>44209.768923611111</v>
      </c>
      <c r="I28" s="45" t="s">
        <v>164</v>
      </c>
    </row>
    <row r="29" spans="1:9">
      <c r="A29" s="45"/>
      <c r="B29" s="45" t="s">
        <v>176</v>
      </c>
      <c r="C29" s="52" t="str">
        <f>HYPERLINK("https://au.indeed.com/viewjob?from=iaBackPress&amp;jk=29f65e39b9473cab&amp;vjs=3","Project Engineer")</f>
        <v>Project Engineer</v>
      </c>
      <c r="D29" s="53" t="s">
        <v>808</v>
      </c>
      <c r="E29" s="54" t="s">
        <v>18</v>
      </c>
      <c r="F29" s="45" t="s">
        <v>809</v>
      </c>
      <c r="G29" s="45" t="s">
        <v>810</v>
      </c>
      <c r="H29" s="47">
        <v>44209.772627314815</v>
      </c>
      <c r="I29" s="45" t="s">
        <v>164</v>
      </c>
    </row>
    <row r="30" spans="1:9">
      <c r="A30" s="45"/>
      <c r="B30" s="45" t="s">
        <v>176</v>
      </c>
      <c r="C30" s="52" t="str">
        <f>HYPERLINK("https://au.indeed.com/viewjob?from=iaBackPress&amp;jk=86171e9379b5899f&amp;vjs=3","Civil Project Engineer")</f>
        <v>Civil Project Engineer</v>
      </c>
      <c r="D30" s="53" t="s">
        <v>798</v>
      </c>
      <c r="E30" s="54" t="s">
        <v>18</v>
      </c>
      <c r="F30" s="45" t="s">
        <v>799</v>
      </c>
      <c r="G30" s="45" t="s">
        <v>811</v>
      </c>
      <c r="H30" s="47">
        <v>44209.773125</v>
      </c>
      <c r="I30" s="45" t="s">
        <v>237</v>
      </c>
    </row>
    <row r="31" spans="1:9">
      <c r="A31" s="45"/>
      <c r="B31" s="45" t="s">
        <v>176</v>
      </c>
      <c r="C31" s="52" t="str">
        <f>HYPERLINK("https://au.indeed.com/viewjob?from=iaBackPress&amp;jk=71b7f392510c08eb&amp;vjs=3","Project Sales Engineer")</f>
        <v>Project Sales Engineer</v>
      </c>
      <c r="D31" s="53" t="s">
        <v>812</v>
      </c>
      <c r="E31" s="54" t="s">
        <v>17</v>
      </c>
      <c r="F31" s="45" t="s">
        <v>813</v>
      </c>
      <c r="G31" s="45"/>
      <c r="H31" s="47">
        <v>44209.773506944446</v>
      </c>
      <c r="I31" s="45" t="s">
        <v>164</v>
      </c>
    </row>
    <row r="32" spans="1:9">
      <c r="A32" s="45"/>
      <c r="B32" s="45" t="s">
        <v>235</v>
      </c>
      <c r="C32" s="52" t="str">
        <f>HYPERLINK("https://au.indeed.com/viewjob?from=iaBackPress&amp;jk=641709264d1d36fa&amp;vjs=3","Rail Vehicle Electrical and Electronic Systems Engineer")</f>
        <v>Rail Vehicle Electrical and Electronic Systems Engineer</v>
      </c>
      <c r="D32" s="53" t="s">
        <v>814</v>
      </c>
      <c r="E32" s="54" t="s">
        <v>17</v>
      </c>
      <c r="F32" s="45" t="s">
        <v>813</v>
      </c>
      <c r="G32" s="45"/>
      <c r="H32" s="47">
        <v>44209.776608796295</v>
      </c>
      <c r="I32" s="45" t="s">
        <v>237</v>
      </c>
    </row>
    <row r="33" spans="1:9">
      <c r="A33" s="45"/>
      <c r="B33" s="45" t="s">
        <v>235</v>
      </c>
      <c r="C33" s="52" t="str">
        <f>HYPERLINK("https://au.indeed.com/viewjob?from=iaBackPress&amp;jk=96b4af2c5628004b&amp;vjs=3","Hardware / Electronics Engineer (Australia)")</f>
        <v>Hardware / Electronics Engineer (Australia)</v>
      </c>
      <c r="D33" s="53" t="s">
        <v>815</v>
      </c>
      <c r="E33" s="54" t="s">
        <v>19</v>
      </c>
      <c r="F33" s="45" t="s">
        <v>816</v>
      </c>
      <c r="G33" s="45"/>
      <c r="H33" s="47">
        <v>44209.777199074073</v>
      </c>
      <c r="I33" s="45" t="s">
        <v>237</v>
      </c>
    </row>
    <row r="34" spans="1:9">
      <c r="A34" s="45"/>
      <c r="B34" s="45" t="s">
        <v>235</v>
      </c>
      <c r="C34" s="52" t="str">
        <f>HYPERLINK("https://au.indeed.com/viewjob?from=iaBackPress&amp;jk=4c867de2bcce6a36&amp;vjs=3","871 - ELECTRICAL - ELECTRONICS ENGINEER - DESIGN")</f>
        <v>871 - ELECTRICAL - ELECTRONICS ENGINEER - DESIGN</v>
      </c>
      <c r="D34" s="53" t="s">
        <v>817</v>
      </c>
      <c r="E34" s="54" t="s">
        <v>17</v>
      </c>
      <c r="F34" s="45" t="s">
        <v>818</v>
      </c>
      <c r="G34" s="45"/>
      <c r="H34" s="47">
        <v>44209.778865740744</v>
      </c>
      <c r="I34" s="45" t="s">
        <v>237</v>
      </c>
    </row>
    <row r="35" spans="1:9">
      <c r="A35" s="45"/>
      <c r="B35" s="45" t="s">
        <v>235</v>
      </c>
      <c r="C35" s="52" t="str">
        <f>HYPERLINK("https://au.indeed.com/viewjob?from=iaBackPress&amp;jk=0f6cd30d36d7c683&amp;vjs=3","Rolling Stock Electronics Engineer")</f>
        <v>Rolling Stock Electronics Engineer</v>
      </c>
      <c r="D35" s="53" t="s">
        <v>819</v>
      </c>
      <c r="E35" s="54" t="s">
        <v>17</v>
      </c>
      <c r="F35" s="45" t="s">
        <v>820</v>
      </c>
      <c r="G35" s="45"/>
      <c r="H35" s="47">
        <v>44209.779594907406</v>
      </c>
      <c r="I35" s="45" t="s">
        <v>237</v>
      </c>
    </row>
    <row r="36" spans="1:9">
      <c r="A36" s="45"/>
      <c r="B36" s="45" t="s">
        <v>301</v>
      </c>
      <c r="C36" s="52" t="str">
        <f>HYPERLINK("https://au.indeed.com/viewjob?from=iaBackPress&amp;jk=bc43a3d9f9a76242&amp;vjs=3","Civil Project Engineer")</f>
        <v>Civil Project Engineer</v>
      </c>
      <c r="D36" s="53" t="s">
        <v>821</v>
      </c>
      <c r="E36" s="54" t="s">
        <v>17</v>
      </c>
      <c r="F36" s="45" t="s">
        <v>822</v>
      </c>
      <c r="G36" s="45"/>
      <c r="H36" s="47">
        <v>44209.781701388885</v>
      </c>
      <c r="I36" s="45" t="s">
        <v>237</v>
      </c>
    </row>
    <row r="37" spans="1:9">
      <c r="A37" s="45"/>
      <c r="B37" s="45" t="s">
        <v>301</v>
      </c>
      <c r="C37" s="52" t="str">
        <f>HYPERLINK("https://au.indeed.com/viewjob?from=iaBackPress&amp;jk=c82515b27f9ad96a&amp;vjs=3","Test Engineer")</f>
        <v>Test Engineer</v>
      </c>
      <c r="D37" s="53" t="s">
        <v>823</v>
      </c>
      <c r="E37" s="54" t="s">
        <v>18</v>
      </c>
      <c r="F37" s="45" t="s">
        <v>824</v>
      </c>
      <c r="G37" s="45" t="s">
        <v>825</v>
      </c>
      <c r="H37" s="47">
        <v>44209.783391203702</v>
      </c>
      <c r="I37" s="45" t="s">
        <v>237</v>
      </c>
    </row>
    <row r="38" spans="1:9">
      <c r="A38" s="45"/>
      <c r="B38" s="45" t="s">
        <v>165</v>
      </c>
      <c r="C38" s="52" t="str">
        <f>HYPERLINK("https://au.indeed.com/viewjob?from=iaBackPress&amp;jk=bb09d781c7a9c1d7&amp;vjs=3","Senior Mechanical Engineer - Cowal")</f>
        <v>Senior Mechanical Engineer - Cowal</v>
      </c>
      <c r="D38" s="53" t="s">
        <v>775</v>
      </c>
      <c r="E38" s="54" t="s">
        <v>776</v>
      </c>
      <c r="F38" s="45"/>
      <c r="G38" s="45"/>
      <c r="H38" s="47">
        <v>44217.7422337963</v>
      </c>
      <c r="I38" s="45" t="s">
        <v>164</v>
      </c>
    </row>
    <row r="39" spans="1:9">
      <c r="A39" s="45"/>
      <c r="B39" s="45" t="s">
        <v>165</v>
      </c>
      <c r="C39" s="52" t="str">
        <f>HYPERLINK("https://au.indeed.com/viewjob?from=iaBackPress&amp;jk=0135effafd949ae0&amp;vjs=3","Trade Qualified Sales Engineer / Mechanical Engineer / Fitter")</f>
        <v>Trade Qualified Sales Engineer / Mechanical Engineer / Fitter</v>
      </c>
      <c r="D39" s="53" t="s">
        <v>762</v>
      </c>
      <c r="E39" s="54" t="s">
        <v>18</v>
      </c>
      <c r="F39" s="45" t="s">
        <v>763</v>
      </c>
      <c r="G39" s="45" t="s">
        <v>826</v>
      </c>
      <c r="H39" s="47">
        <v>44217.742615740739</v>
      </c>
      <c r="I39" s="45" t="s">
        <v>164</v>
      </c>
    </row>
    <row r="40" spans="1:9" ht="14.25">
      <c r="A40" s="45"/>
      <c r="B40" s="45" t="s">
        <v>165</v>
      </c>
      <c r="C40" s="52" t="str">
        <f>HYPERLINK("https://au.indeed.com/viewjob?from=iaBackPress&amp;jk=e9f3562f583cfd2b&amp;vjs=3","Mechanical Engineer, Port Kembla NSW")</f>
        <v>Mechanical Engineer, Port Kembla NSW</v>
      </c>
      <c r="D40" s="53" t="s">
        <v>827</v>
      </c>
      <c r="E40" s="54" t="s">
        <v>18</v>
      </c>
      <c r="F40" s="45" t="s">
        <v>828</v>
      </c>
      <c r="G40" s="45" t="s">
        <v>829</v>
      </c>
      <c r="H40" s="47">
        <v>44217.744050925925</v>
      </c>
      <c r="I40" s="45" t="s">
        <v>164</v>
      </c>
    </row>
    <row r="41" spans="1:9" ht="14.25">
      <c r="A41" s="45"/>
      <c r="B41" s="45" t="s">
        <v>162</v>
      </c>
      <c r="C41" s="52" t="str">
        <f>HYPERLINK("https://au.indeed.com/viewjob?from=iaBackPress&amp;jk=2a9998a0e61e5a15&amp;vjs=3","Product design and mechatronics engineer")</f>
        <v>Product design and mechatronics engineer</v>
      </c>
      <c r="D41" s="53" t="s">
        <v>830</v>
      </c>
      <c r="E41" s="54" t="s">
        <v>17</v>
      </c>
      <c r="F41" s="45" t="s">
        <v>788</v>
      </c>
      <c r="G41" s="45"/>
      <c r="H41" s="47">
        <v>44217.748715277776</v>
      </c>
      <c r="I41" s="45" t="s">
        <v>164</v>
      </c>
    </row>
    <row r="42" spans="1:9" ht="14.25">
      <c r="A42" s="45"/>
      <c r="B42" s="45" t="s">
        <v>249</v>
      </c>
      <c r="C42" s="52" t="str">
        <f t="shared" ref="C42:C43" si="1">HYPERLINK("https://au.indeed.com/viewjob?from=iaBackPress&amp;jk=dcdaa220df4a1fde&amp;vjs=3","Senior Mission Control Engineer - Security")</f>
        <v>Senior Mission Control Engineer - Security</v>
      </c>
      <c r="D42" s="53" t="s">
        <v>781</v>
      </c>
      <c r="E42" s="54" t="s">
        <v>18</v>
      </c>
      <c r="F42" s="45" t="s">
        <v>782</v>
      </c>
      <c r="G42" s="45" t="s">
        <v>831</v>
      </c>
      <c r="H42" s="47">
        <v>44217.749988425923</v>
      </c>
      <c r="I42" s="45" t="s">
        <v>237</v>
      </c>
    </row>
    <row r="43" spans="1:9" ht="14.25">
      <c r="A43" s="45"/>
      <c r="B43" s="45" t="s">
        <v>249</v>
      </c>
      <c r="C43" s="52" t="str">
        <f t="shared" si="1"/>
        <v>Senior Mission Control Engineer - Security</v>
      </c>
      <c r="D43" s="53" t="s">
        <v>781</v>
      </c>
      <c r="E43" s="54" t="s">
        <v>18</v>
      </c>
      <c r="F43" s="45" t="s">
        <v>782</v>
      </c>
      <c r="G43" s="45" t="s">
        <v>832</v>
      </c>
      <c r="H43" s="47">
        <v>44217.7503125</v>
      </c>
      <c r="I43" s="45" t="s">
        <v>237</v>
      </c>
    </row>
    <row r="44" spans="1:9" ht="14.25">
      <c r="A44" s="45"/>
      <c r="B44" s="45" t="s">
        <v>165</v>
      </c>
      <c r="C44" s="52" t="str">
        <f>HYPERLINK("https://au.indeed.com/viewjob?from=iaBackPress&amp;jk=0135effafd949ae0&amp;vjs=3","Trade Qualified Sales Engineer / Mechanical Engineer / Fitter")</f>
        <v>Trade Qualified Sales Engineer / Mechanical Engineer / Fitter</v>
      </c>
      <c r="D44" s="53" t="s">
        <v>762</v>
      </c>
      <c r="E44" s="54" t="s">
        <v>18</v>
      </c>
      <c r="F44" s="45" t="s">
        <v>763</v>
      </c>
      <c r="G44" s="45" t="s">
        <v>833</v>
      </c>
      <c r="H44" s="47">
        <v>44221.638692129629</v>
      </c>
      <c r="I44" s="45" t="s">
        <v>164</v>
      </c>
    </row>
    <row r="45" spans="1:9" ht="14.25">
      <c r="A45" s="45"/>
      <c r="B45" s="45" t="s">
        <v>165</v>
      </c>
      <c r="C45" s="52" t="str">
        <f>HYPERLINK("https://au.indeed.com/viewjob?from=iaBackPress&amp;jk=e9f3562f583cfd2b&amp;vjs=3","Mechanical Engineer, Port Kembla NSW")</f>
        <v>Mechanical Engineer, Port Kembla NSW</v>
      </c>
      <c r="D45" s="53" t="s">
        <v>827</v>
      </c>
      <c r="E45" s="54" t="s">
        <v>18</v>
      </c>
      <c r="F45" s="45" t="s">
        <v>828</v>
      </c>
      <c r="G45" s="45" t="s">
        <v>834</v>
      </c>
      <c r="H45" s="47">
        <v>44221.639085648145</v>
      </c>
      <c r="I45" s="45" t="s">
        <v>164</v>
      </c>
    </row>
    <row r="46" spans="1:9" ht="14.25">
      <c r="A46" s="45"/>
      <c r="B46" s="45" t="s">
        <v>162</v>
      </c>
      <c r="C46" s="52" t="str">
        <f>HYPERLINK("https://au.indeed.com/viewjob?from=iaBackPress&amp;jk=2a9998a0e61e5a15&amp;vjs=3","Product design and mechatronics engineer")</f>
        <v>Product design and mechatronics engineer</v>
      </c>
      <c r="D46" s="53" t="s">
        <v>830</v>
      </c>
      <c r="E46" s="54" t="s">
        <v>17</v>
      </c>
      <c r="F46" s="45" t="s">
        <v>788</v>
      </c>
      <c r="G46" s="45"/>
      <c r="H46" s="47">
        <v>44221.641979166663</v>
      </c>
      <c r="I46" s="45" t="s">
        <v>164</v>
      </c>
    </row>
    <row r="47" spans="1:9" ht="14.25">
      <c r="A47" s="45"/>
      <c r="B47" s="45" t="s">
        <v>186</v>
      </c>
      <c r="C47" s="52" t="str">
        <f>HYPERLINK("https://au.indeed.com/viewjob?from=iaBackPress&amp;jk=cfcc39a3380a0595&amp;vjs=3","Junior/Mid Software Engineer (Game Development, Unreal)")</f>
        <v>Junior/Mid Software Engineer (Game Development, Unreal)</v>
      </c>
      <c r="D47" s="53" t="s">
        <v>793</v>
      </c>
      <c r="E47" s="54" t="s">
        <v>20</v>
      </c>
      <c r="F47" s="45" t="s">
        <v>835</v>
      </c>
      <c r="G47" s="45" t="s">
        <v>836</v>
      </c>
      <c r="H47" s="47">
        <v>44221.646412037036</v>
      </c>
      <c r="I47" s="45" t="s">
        <v>164</v>
      </c>
    </row>
    <row r="48" spans="1:9" ht="14.25">
      <c r="A48" s="45"/>
      <c r="B48" s="45" t="s">
        <v>186</v>
      </c>
      <c r="C48" s="52" t="str">
        <f>HYPERLINK("https://au.indeed.com/viewjob?from=iaBackPress&amp;jk=10fc1007cd0a24d5&amp;vjs=3","Software Development Engineer in Test II (Checkout Team)")</f>
        <v>Software Development Engineer in Test II (Checkout Team)</v>
      </c>
      <c r="D48" s="53" t="s">
        <v>770</v>
      </c>
      <c r="E48" s="54" t="s">
        <v>18</v>
      </c>
      <c r="F48" s="45" t="s">
        <v>771</v>
      </c>
      <c r="G48" s="45" t="s">
        <v>837</v>
      </c>
      <c r="H48" s="47">
        <v>44221.646805555552</v>
      </c>
      <c r="I48" s="45" t="s">
        <v>164</v>
      </c>
    </row>
    <row r="49" spans="1:9" ht="14.25">
      <c r="A49" s="45"/>
      <c r="B49" s="45" t="s">
        <v>186</v>
      </c>
      <c r="C49" s="52" t="str">
        <f>HYPERLINK("https://au.indeed.com/viewjob?from=iaBackPress&amp;jk=acd431976056beef&amp;vjs=3","Junior/Mid Software Engineer (Online Game Development, Unreal)")</f>
        <v>Junior/Mid Software Engineer (Online Game Development, Unreal)</v>
      </c>
      <c r="D49" s="53" t="s">
        <v>796</v>
      </c>
      <c r="E49" s="54" t="s">
        <v>20</v>
      </c>
      <c r="F49" s="45" t="s">
        <v>835</v>
      </c>
      <c r="G49" s="45" t="s">
        <v>838</v>
      </c>
      <c r="H49" s="47">
        <v>44221.64770833333</v>
      </c>
      <c r="I49" s="45" t="s">
        <v>164</v>
      </c>
    </row>
    <row r="50" spans="1:9" ht="14.25">
      <c r="A50" s="45"/>
      <c r="B50" s="45" t="s">
        <v>186</v>
      </c>
      <c r="C50" s="52" t="str">
        <f>HYPERLINK("https://au.indeed.com/viewjob?from=iaBackPress&amp;jk=c74255ab6c743f66&amp;vjs=3","Junior Software Engineer (Game Development, C++) Internship Program")</f>
        <v>Junior Software Engineer (Game Development, C++) Internship Program</v>
      </c>
      <c r="D50" s="53" t="s">
        <v>793</v>
      </c>
      <c r="E50" s="54" t="s">
        <v>18</v>
      </c>
      <c r="F50" s="45" t="s">
        <v>794</v>
      </c>
      <c r="G50" s="45" t="s">
        <v>839</v>
      </c>
      <c r="H50" s="47">
        <v>44221.648287037038</v>
      </c>
      <c r="I50" s="45" t="s">
        <v>164</v>
      </c>
    </row>
    <row r="51" spans="1:9" ht="14.25">
      <c r="A51" s="45"/>
      <c r="B51" s="45" t="s">
        <v>186</v>
      </c>
      <c r="C51" s="52" t="str">
        <f>HYPERLINK("https://au.indeed.com/viewjob?from=iaBackPress&amp;jk=a3e1b0825317c814&amp;vjs=3","Junior Software Engineer (Game Development, C++) Internship Program")</f>
        <v>Junior Software Engineer (Game Development, C++) Internship Program</v>
      </c>
      <c r="D51" s="53" t="s">
        <v>796</v>
      </c>
      <c r="E51" s="54" t="s">
        <v>18</v>
      </c>
      <c r="F51" s="45" t="s">
        <v>794</v>
      </c>
      <c r="G51" s="45" t="s">
        <v>840</v>
      </c>
      <c r="H51" s="47">
        <v>44221.649108796293</v>
      </c>
      <c r="I51" s="45" t="s">
        <v>164</v>
      </c>
    </row>
    <row r="52" spans="1:9" ht="14.25">
      <c r="A52" s="45"/>
      <c r="B52" s="45" t="s">
        <v>167</v>
      </c>
      <c r="C52" s="52" t="str">
        <f>HYPERLINK("https://au.indeed.com/viewjob?from=iaBackPress&amp;jk=e8d148374be4d92b&amp;vjs=3","Senior ML Infrastructure Engineer")</f>
        <v>Senior ML Infrastructure Engineer</v>
      </c>
      <c r="D52" s="53" t="s">
        <v>801</v>
      </c>
      <c r="E52" s="54" t="s">
        <v>18</v>
      </c>
      <c r="F52" s="45" t="s">
        <v>841</v>
      </c>
      <c r="G52" s="45" t="s">
        <v>842</v>
      </c>
      <c r="H52" s="47">
        <v>44221.654652777775</v>
      </c>
      <c r="I52" s="45" t="s">
        <v>164</v>
      </c>
    </row>
    <row r="53" spans="1:9" ht="14.25">
      <c r="A53" s="45"/>
      <c r="B53" s="45" t="s">
        <v>176</v>
      </c>
      <c r="C53" s="52" t="str">
        <f>HYPERLINK("https://au.indeed.com/viewjob?from=iaBackPress&amp;jk=56d66f468497c514&amp;vjs=3","Project Engineer")</f>
        <v>Project Engineer</v>
      </c>
      <c r="D53" s="53" t="s">
        <v>805</v>
      </c>
      <c r="E53" s="54" t="s">
        <v>18</v>
      </c>
      <c r="F53" s="45" t="s">
        <v>806</v>
      </c>
      <c r="G53" s="45" t="s">
        <v>843</v>
      </c>
      <c r="H53" s="47">
        <v>44221.659016203703</v>
      </c>
      <c r="I53" s="45" t="s">
        <v>164</v>
      </c>
    </row>
    <row r="54" spans="1:9" ht="14.25">
      <c r="A54" s="45"/>
      <c r="B54" s="45" t="s">
        <v>176</v>
      </c>
      <c r="C54" s="52" t="str">
        <f>HYPERLINK("https://au.indeed.com/viewjob?from=iaBackPress&amp;jk=29f65e39b9473cab&amp;vjs=3","Project Engineer")</f>
        <v>Project Engineer</v>
      </c>
      <c r="D54" s="53" t="s">
        <v>808</v>
      </c>
      <c r="E54" s="54" t="s">
        <v>18</v>
      </c>
      <c r="F54" s="45" t="s">
        <v>809</v>
      </c>
      <c r="G54" s="45" t="s">
        <v>844</v>
      </c>
      <c r="H54" s="47">
        <v>44221.660601851851</v>
      </c>
      <c r="I54" s="45" t="s">
        <v>164</v>
      </c>
    </row>
    <row r="55" spans="1:9" ht="14.25">
      <c r="A55" s="45"/>
      <c r="B55" s="45" t="s">
        <v>176</v>
      </c>
      <c r="C55" s="52" t="str">
        <f>HYPERLINK("https://au.indeed.com/viewjob?from=iaBackPress&amp;jk=71b7f392510c08eb&amp;vjs=3","Project Sales Engineer")</f>
        <v>Project Sales Engineer</v>
      </c>
      <c r="D55" s="53" t="s">
        <v>812</v>
      </c>
      <c r="E55" s="54" t="s">
        <v>17</v>
      </c>
      <c r="F55" s="45" t="s">
        <v>813</v>
      </c>
      <c r="G55" s="45"/>
      <c r="H55" s="47">
        <v>44221.661099537036</v>
      </c>
      <c r="I55" s="45" t="s">
        <v>164</v>
      </c>
    </row>
    <row r="56" spans="1:9" ht="14.25">
      <c r="A56" s="45"/>
      <c r="B56" s="45" t="s">
        <v>202</v>
      </c>
      <c r="C56" s="52" t="str">
        <f>HYPERLINK("https://au.indeed.com/viewjob?from=iaBackPress&amp;jk=e01e3538682ff0c7&amp;vjs=3","Senior Site Reliability Engineer")</f>
        <v>Senior Site Reliability Engineer</v>
      </c>
      <c r="D56" s="53" t="s">
        <v>801</v>
      </c>
      <c r="E56" s="54" t="s">
        <v>18</v>
      </c>
      <c r="F56" s="45" t="s">
        <v>841</v>
      </c>
      <c r="G56" s="45" t="s">
        <v>845</v>
      </c>
      <c r="H56" s="47">
        <v>44221.679189814815</v>
      </c>
      <c r="I56" s="45" t="s">
        <v>164</v>
      </c>
    </row>
    <row r="57" spans="1:9" ht="14.25">
      <c r="A57" s="45"/>
      <c r="B57" s="45" t="s">
        <v>202</v>
      </c>
      <c r="C57" s="52" t="str">
        <f>HYPERLINK("https://au.indeed.com/viewjob?from=iaBackPress&amp;jk=b714c3cf10d9b664&amp;vjs=3","Senior Site Reliability Engineer")</f>
        <v>Senior Site Reliability Engineer</v>
      </c>
      <c r="D57" s="53" t="s">
        <v>846</v>
      </c>
      <c r="E57" s="54" t="s">
        <v>776</v>
      </c>
      <c r="F57" s="45"/>
      <c r="G57" s="45"/>
      <c r="H57" s="47">
        <v>44221.679548611108</v>
      </c>
      <c r="I57" s="45" t="s">
        <v>164</v>
      </c>
    </row>
    <row r="58" spans="1:9" ht="14.25">
      <c r="A58" s="45"/>
      <c r="B58" s="45" t="s">
        <v>202</v>
      </c>
      <c r="C58" s="52" t="str">
        <f>HYPERLINK("https://au.indeed.com/viewjob?from=iaBackPress&amp;jk=c7ba20acdf334e21&amp;vjs=3","Site Reliability Engineer")</f>
        <v>Site Reliability Engineer</v>
      </c>
      <c r="D58" s="53" t="s">
        <v>847</v>
      </c>
      <c r="E58" s="54" t="s">
        <v>17</v>
      </c>
      <c r="F58" s="45" t="s">
        <v>771</v>
      </c>
      <c r="G58" s="45"/>
      <c r="H58" s="47">
        <v>44221.683668981481</v>
      </c>
      <c r="I58" s="45" t="s">
        <v>164</v>
      </c>
    </row>
    <row r="59" spans="1:9" ht="14.25">
      <c r="A59" s="45"/>
      <c r="B59" s="45" t="s">
        <v>209</v>
      </c>
      <c r="C59" s="52" t="str">
        <f>HYPERLINK("https://au.indeed.com/viewjob?from=iaBackPress&amp;jk=52148f0624c0d5d6&amp;vjs=3","Sr. Implementation Services Engineer, II")</f>
        <v>Sr. Implementation Services Engineer, II</v>
      </c>
      <c r="D59" s="53" t="s">
        <v>848</v>
      </c>
      <c r="E59" s="54" t="s">
        <v>17</v>
      </c>
      <c r="F59" s="45" t="s">
        <v>771</v>
      </c>
      <c r="G59" s="45"/>
      <c r="H59" s="47">
        <v>44221.689004629632</v>
      </c>
      <c r="I59" s="45" t="s">
        <v>164</v>
      </c>
    </row>
    <row r="60" spans="1:9" ht="14.25">
      <c r="A60" s="45"/>
      <c r="B60" s="45" t="s">
        <v>209</v>
      </c>
      <c r="C60" s="52" t="str">
        <f>HYPERLINK("https://au.indeed.com/viewjob?from=iaBackPress&amp;jk=9ff238df3b485889&amp;vjs=3","Service Quality Engineer")</f>
        <v>Service Quality Engineer</v>
      </c>
      <c r="D60" s="53" t="s">
        <v>849</v>
      </c>
      <c r="E60" s="54" t="s">
        <v>17</v>
      </c>
      <c r="F60" s="45" t="s">
        <v>850</v>
      </c>
      <c r="G60" s="45"/>
      <c r="H60" s="47">
        <v>44221.690057870372</v>
      </c>
      <c r="I60" s="45" t="s">
        <v>164</v>
      </c>
    </row>
    <row r="61" spans="1:9" ht="14.25">
      <c r="A61" s="45"/>
      <c r="B61" s="45" t="s">
        <v>209</v>
      </c>
      <c r="C61" s="52" t="str">
        <f>HYPERLINK("https://au.indeed.com/viewjob?from=iaBackPress&amp;jk=196fbcc309bbe829&amp;vjs=3","Field Service Engineer - Managed Services (Sydney)")</f>
        <v>Field Service Engineer - Managed Services (Sydney)</v>
      </c>
      <c r="D61" s="53" t="s">
        <v>851</v>
      </c>
      <c r="E61" s="54" t="s">
        <v>19</v>
      </c>
      <c r="F61" s="45" t="s">
        <v>852</v>
      </c>
      <c r="G61" s="45"/>
      <c r="H61" s="47">
        <v>44221.692800925928</v>
      </c>
      <c r="I61" s="45" t="s">
        <v>164</v>
      </c>
    </row>
    <row r="62" spans="1:9" ht="14.25">
      <c r="A62" s="45"/>
      <c r="B62" s="45" t="s">
        <v>209</v>
      </c>
      <c r="C62" s="52" t="str">
        <f>HYPERLINK("https://au.indeed.com/viewjob?from=iaBackPress&amp;jk=aba7c6215939278b&amp;vjs=3","159 - CNC SERVICE ENGINEER - CNC MACHINIST")</f>
        <v>159 - CNC SERVICE ENGINEER - CNC MACHINIST</v>
      </c>
      <c r="D62" s="53" t="s">
        <v>817</v>
      </c>
      <c r="E62" s="54" t="s">
        <v>17</v>
      </c>
      <c r="F62" s="45" t="s">
        <v>853</v>
      </c>
      <c r="G62" s="45"/>
      <c r="H62" s="47">
        <v>44221.698773148149</v>
      </c>
      <c r="I62" s="45" t="s">
        <v>164</v>
      </c>
    </row>
    <row r="63" spans="1:9" ht="14.25">
      <c r="A63" s="45"/>
      <c r="B63" s="45" t="s">
        <v>213</v>
      </c>
      <c r="C63" s="52" t="str">
        <f>HYPERLINK("https://au.indeed.com/viewjob?from=iaBackPress&amp;jk=e01e3538682ff0c7&amp;vjs=3","Senior Site Reliability Engineer")</f>
        <v>Senior Site Reliability Engineer</v>
      </c>
      <c r="D63" s="53" t="s">
        <v>801</v>
      </c>
      <c r="E63" s="54" t="s">
        <v>18</v>
      </c>
      <c r="F63" s="45" t="s">
        <v>841</v>
      </c>
      <c r="G63" s="45" t="s">
        <v>854</v>
      </c>
      <c r="H63" s="47">
        <v>44221.700636574074</v>
      </c>
      <c r="I63" s="45" t="s">
        <v>164</v>
      </c>
    </row>
    <row r="64" spans="1:9" ht="14.25">
      <c r="A64" s="45"/>
      <c r="B64" s="45" t="s">
        <v>213</v>
      </c>
      <c r="C64" s="52" t="str">
        <f>HYPERLINK("https://au.indeed.com/viewjob?from=iaBackPress&amp;jk=b714c3cf10d9b664&amp;vjs=3","Senior Site Reliability Engineer")</f>
        <v>Senior Site Reliability Engineer</v>
      </c>
      <c r="D64" s="53" t="s">
        <v>846</v>
      </c>
      <c r="E64" s="54" t="s">
        <v>776</v>
      </c>
      <c r="F64" s="45"/>
      <c r="G64" s="45"/>
      <c r="H64" s="47">
        <v>44221.700995370367</v>
      </c>
      <c r="I64" s="45" t="s">
        <v>164</v>
      </c>
    </row>
    <row r="65" spans="1:9" ht="14.25">
      <c r="A65" s="45"/>
      <c r="B65" s="45" t="s">
        <v>213</v>
      </c>
      <c r="C65" s="52" t="str">
        <f>HYPERLINK("https://au.indeed.com/viewjob?from=iaBackPress&amp;jk=c7ba20acdf334e21&amp;vjs=3","Site Reliability Engineer")</f>
        <v>Site Reliability Engineer</v>
      </c>
      <c r="D65" s="53" t="s">
        <v>847</v>
      </c>
      <c r="E65" s="54" t="s">
        <v>17</v>
      </c>
      <c r="F65" s="45" t="s">
        <v>771</v>
      </c>
      <c r="G65" s="45"/>
      <c r="H65" s="47">
        <v>44221.704108796293</v>
      </c>
      <c r="I65" s="45" t="s">
        <v>164</v>
      </c>
    </row>
    <row r="66" spans="1:9" ht="14.25">
      <c r="A66" s="45"/>
      <c r="B66" s="45" t="s">
        <v>213</v>
      </c>
      <c r="C66" s="52" t="str">
        <f>HYPERLINK("https://au.indeed.com/viewjob?from=iaBackPress&amp;jk=4279c99fe4d77a16&amp;vjs=3","Site Supervisor/ Engineer - Earthworks")</f>
        <v>Site Supervisor/ Engineer - Earthworks</v>
      </c>
      <c r="D66" s="53" t="s">
        <v>855</v>
      </c>
      <c r="E66" s="54" t="s">
        <v>17</v>
      </c>
      <c r="F66" s="45" t="s">
        <v>856</v>
      </c>
      <c r="G66" s="45"/>
      <c r="H66" s="47">
        <v>44221.704675925925</v>
      </c>
      <c r="I66" s="45" t="s">
        <v>164</v>
      </c>
    </row>
    <row r="67" spans="1:9" ht="14.25">
      <c r="A67" s="45"/>
      <c r="B67" s="45" t="s">
        <v>347</v>
      </c>
      <c r="C67" s="52" t="str">
        <f>HYPERLINK("https://au.indeed.com/viewjob?from=iaBackPress&amp;jk=2a9998a0e61e5a15&amp;vjs=3","Product design and mechatronics engineer")</f>
        <v>Product design and mechatronics engineer</v>
      </c>
      <c r="D67" s="53" t="s">
        <v>830</v>
      </c>
      <c r="E67" s="54" t="s">
        <v>17</v>
      </c>
      <c r="F67" s="45" t="s">
        <v>788</v>
      </c>
      <c r="G67" s="45"/>
      <c r="H67" s="47">
        <v>44221.70815972222</v>
      </c>
      <c r="I67" s="45" t="s">
        <v>164</v>
      </c>
    </row>
    <row r="68" spans="1:9" ht="14.25">
      <c r="A68" s="45"/>
      <c r="B68" s="45" t="s">
        <v>347</v>
      </c>
      <c r="C68" s="52" t="str">
        <f>HYPERLINK("https://au.indeed.com/viewjob?from=iaBackPress&amp;jk=58d9660c6e64e38c&amp;vjs=3","Product Support Engineer")</f>
        <v>Product Support Engineer</v>
      </c>
      <c r="D68" s="53" t="s">
        <v>857</v>
      </c>
      <c r="E68" s="54" t="s">
        <v>18</v>
      </c>
      <c r="F68" s="45" t="s">
        <v>858</v>
      </c>
      <c r="G68" s="45" t="s">
        <v>859</v>
      </c>
      <c r="H68" s="47">
        <v>44221.708518518521</v>
      </c>
      <c r="I68" s="45" t="s">
        <v>164</v>
      </c>
    </row>
    <row r="69" spans="1:9" ht="14.25">
      <c r="A69" s="45"/>
      <c r="B69" s="45" t="s">
        <v>347</v>
      </c>
      <c r="C69" s="52" t="str">
        <f>HYPERLINK("https://au.indeed.com/viewjob?from=iaBackPress&amp;jk=bf301d9e535dcda6&amp;vjs=3","Data Engineer - Video Experiences - Product | Product")</f>
        <v>Data Engineer - Video Experiences - Product | Product</v>
      </c>
      <c r="D69" s="53" t="s">
        <v>860</v>
      </c>
      <c r="E69" s="54" t="s">
        <v>19</v>
      </c>
      <c r="F69" s="45" t="s">
        <v>861</v>
      </c>
      <c r="G69" s="45"/>
      <c r="H69" s="47">
        <v>44221.709733796299</v>
      </c>
      <c r="I69" s="45" t="s">
        <v>164</v>
      </c>
    </row>
    <row r="70" spans="1:9" ht="14.25">
      <c r="A70" s="45"/>
      <c r="B70" s="45" t="s">
        <v>249</v>
      </c>
      <c r="C70" s="52" t="str">
        <f t="shared" ref="C70:C71" si="2">HYPERLINK("https://au.indeed.com/viewjob?from=iaBackPress&amp;jk=dcdaa220df4a1fde&amp;vjs=3","Senior Mission Control Engineer - Security")</f>
        <v>Senior Mission Control Engineer - Security</v>
      </c>
      <c r="D70" s="53" t="s">
        <v>781</v>
      </c>
      <c r="E70" s="54" t="s">
        <v>18</v>
      </c>
      <c r="F70" s="45" t="s">
        <v>782</v>
      </c>
      <c r="G70" s="45" t="s">
        <v>862</v>
      </c>
      <c r="H70" s="47">
        <v>44221.712638888886</v>
      </c>
      <c r="I70" s="45" t="s">
        <v>237</v>
      </c>
    </row>
    <row r="71" spans="1:9" ht="14.25">
      <c r="A71" s="45"/>
      <c r="B71" s="45" t="s">
        <v>789</v>
      </c>
      <c r="C71" s="52" t="str">
        <f t="shared" si="2"/>
        <v>Senior Mission Control Engineer - Security</v>
      </c>
      <c r="D71" s="53" t="s">
        <v>781</v>
      </c>
      <c r="E71" s="54" t="s">
        <v>18</v>
      </c>
      <c r="F71" s="45" t="s">
        <v>782</v>
      </c>
      <c r="G71" s="45" t="s">
        <v>863</v>
      </c>
      <c r="H71" s="47">
        <v>44221.713807870372</v>
      </c>
      <c r="I71" s="45" t="s">
        <v>237</v>
      </c>
    </row>
  </sheetData>
  <autoFilter ref="B1:I7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G97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" width="20.5703125" customWidth="1"/>
    <col min="3" max="3" width="48" customWidth="1"/>
    <col min="4" max="4" width="36.140625" customWidth="1"/>
    <col min="5" max="5" width="25.85546875" customWidth="1"/>
    <col min="6" max="6" width="22.140625" customWidth="1"/>
    <col min="7" max="7" width="26.42578125" customWidth="1"/>
  </cols>
  <sheetData>
    <row r="1" spans="1:7" ht="15.75" customHeight="1">
      <c r="A1" s="49" t="s">
        <v>156</v>
      </c>
      <c r="B1" s="50" t="s">
        <v>157</v>
      </c>
      <c r="C1" s="49" t="s">
        <v>158</v>
      </c>
      <c r="D1" s="49" t="s">
        <v>159</v>
      </c>
      <c r="E1" s="55" t="s">
        <v>864</v>
      </c>
      <c r="F1" s="51" t="s">
        <v>160</v>
      </c>
      <c r="G1" s="50" t="s">
        <v>161</v>
      </c>
    </row>
    <row r="2" spans="1:7">
      <c r="A2" s="45"/>
      <c r="B2" s="45" t="s">
        <v>865</v>
      </c>
      <c r="C2" s="45"/>
      <c r="D2" s="45"/>
      <c r="E2" s="54">
        <v>1606658181790</v>
      </c>
      <c r="F2" s="48">
        <v>44164.809976851851</v>
      </c>
      <c r="G2" s="56" t="s">
        <v>164</v>
      </c>
    </row>
    <row r="3" spans="1:7">
      <c r="A3" s="45"/>
      <c r="B3" s="45" t="s">
        <v>165</v>
      </c>
      <c r="C3" s="45"/>
      <c r="D3" s="45"/>
      <c r="E3" s="54">
        <v>1606726884058</v>
      </c>
      <c r="F3" s="48">
        <v>44165.834305555552</v>
      </c>
      <c r="G3" s="56" t="s">
        <v>164</v>
      </c>
    </row>
    <row r="4" spans="1:7">
      <c r="A4" s="45"/>
      <c r="B4" s="45" t="s">
        <v>165</v>
      </c>
      <c r="C4" s="45"/>
      <c r="D4" s="45"/>
      <c r="E4" s="54">
        <v>1606726888404</v>
      </c>
      <c r="F4" s="48">
        <v>44165.834351851852</v>
      </c>
      <c r="G4" s="56" t="s">
        <v>164</v>
      </c>
    </row>
    <row r="5" spans="1:7">
      <c r="A5" s="45"/>
      <c r="B5" s="45" t="s">
        <v>165</v>
      </c>
      <c r="C5" s="45"/>
      <c r="D5" s="45"/>
      <c r="E5" s="54">
        <v>1606755539842</v>
      </c>
      <c r="F5" s="48">
        <v>44165.834351851852</v>
      </c>
      <c r="G5" s="56" t="s">
        <v>164</v>
      </c>
    </row>
    <row r="6" spans="1:7">
      <c r="A6" s="45"/>
      <c r="B6" s="45" t="s">
        <v>165</v>
      </c>
      <c r="C6" s="45"/>
      <c r="D6" s="45"/>
      <c r="E6" s="54">
        <v>1607271705342</v>
      </c>
      <c r="F6" s="47">
        <v>44171.910937499997</v>
      </c>
      <c r="G6" s="56" t="s">
        <v>164</v>
      </c>
    </row>
    <row r="7" spans="1:7">
      <c r="A7" s="45"/>
      <c r="B7" s="45" t="s">
        <v>165</v>
      </c>
      <c r="C7" s="45"/>
      <c r="D7" s="45"/>
      <c r="E7" s="54">
        <v>1607276422708</v>
      </c>
      <c r="F7" s="47">
        <v>44171.965543981481</v>
      </c>
      <c r="G7" s="56" t="s">
        <v>164</v>
      </c>
    </row>
    <row r="8" spans="1:7">
      <c r="A8" s="45"/>
      <c r="B8" s="45" t="s">
        <v>165</v>
      </c>
      <c r="C8" s="45"/>
      <c r="D8" s="45"/>
      <c r="E8" s="54" t="s">
        <v>866</v>
      </c>
      <c r="F8" s="47">
        <v>44171.973402777781</v>
      </c>
      <c r="G8" s="56" t="s">
        <v>164</v>
      </c>
    </row>
    <row r="9" spans="1:7">
      <c r="A9" s="45"/>
      <c r="B9" s="45" t="s">
        <v>165</v>
      </c>
      <c r="C9" s="45"/>
      <c r="D9" s="45"/>
      <c r="E9" s="54" t="s">
        <v>866</v>
      </c>
      <c r="F9" s="47">
        <v>44171.974768518521</v>
      </c>
      <c r="G9" s="56" t="s">
        <v>164</v>
      </c>
    </row>
    <row r="10" spans="1:7">
      <c r="A10" s="45"/>
      <c r="B10" s="45" t="s">
        <v>165</v>
      </c>
      <c r="C10" s="45"/>
      <c r="D10" s="45"/>
      <c r="E10" s="54" t="s">
        <v>866</v>
      </c>
      <c r="F10" s="47">
        <v>44171.986527777779</v>
      </c>
      <c r="G10" s="56" t="s">
        <v>164</v>
      </c>
    </row>
    <row r="11" spans="1:7">
      <c r="A11" s="45"/>
      <c r="B11" s="45" t="s">
        <v>165</v>
      </c>
      <c r="C11" s="45"/>
      <c r="D11" s="45"/>
      <c r="E11" s="54" t="s">
        <v>866</v>
      </c>
      <c r="F11" s="47">
        <v>44171.987187500003</v>
      </c>
      <c r="G11" s="56" t="s">
        <v>164</v>
      </c>
    </row>
    <row r="12" spans="1:7">
      <c r="A12" s="45"/>
      <c r="B12" s="45" t="s">
        <v>165</v>
      </c>
      <c r="C12" s="45"/>
      <c r="D12" s="45"/>
      <c r="E12" s="54" t="s">
        <v>866</v>
      </c>
      <c r="F12" s="47">
        <v>44172.002025462964</v>
      </c>
      <c r="G12" s="56" t="s">
        <v>164</v>
      </c>
    </row>
    <row r="13" spans="1:7">
      <c r="A13" s="45"/>
      <c r="B13" s="45" t="s">
        <v>165</v>
      </c>
      <c r="C13" s="45"/>
      <c r="D13" s="45"/>
      <c r="E13" s="54" t="s">
        <v>866</v>
      </c>
      <c r="F13" s="47">
        <v>44172.00340277778</v>
      </c>
      <c r="G13" s="56" t="s">
        <v>164</v>
      </c>
    </row>
    <row r="14" spans="1:7">
      <c r="A14" s="45"/>
      <c r="B14" s="45" t="s">
        <v>162</v>
      </c>
      <c r="C14" s="45"/>
      <c r="D14" s="45"/>
      <c r="E14" s="54">
        <v>1607279833422</v>
      </c>
      <c r="F14" s="47">
        <v>44172.005011574074</v>
      </c>
      <c r="G14" s="56" t="s">
        <v>164</v>
      </c>
    </row>
    <row r="15" spans="1:7">
      <c r="A15" s="45"/>
      <c r="B15" s="45" t="s">
        <v>165</v>
      </c>
      <c r="C15" s="45"/>
      <c r="D15" s="45"/>
      <c r="E15" s="54" t="s">
        <v>866</v>
      </c>
      <c r="F15" s="47">
        <v>44172.455995370372</v>
      </c>
      <c r="G15" s="56" t="s">
        <v>164</v>
      </c>
    </row>
    <row r="16" spans="1:7">
      <c r="A16" s="45"/>
      <c r="B16" s="45" t="s">
        <v>165</v>
      </c>
      <c r="C16" s="45"/>
      <c r="D16" s="45"/>
      <c r="E16" s="54" t="s">
        <v>866</v>
      </c>
      <c r="F16" s="47">
        <v>44172.456631944442</v>
      </c>
      <c r="G16" s="56" t="s">
        <v>164</v>
      </c>
    </row>
    <row r="17" spans="1:7">
      <c r="A17" s="45"/>
      <c r="B17" s="45" t="s">
        <v>223</v>
      </c>
      <c r="C17" s="45"/>
      <c r="D17" s="45"/>
      <c r="E17" s="54" t="s">
        <v>866</v>
      </c>
      <c r="F17" s="47">
        <v>44172.493356481478</v>
      </c>
      <c r="G17" s="56" t="s">
        <v>164</v>
      </c>
    </row>
    <row r="18" spans="1:7">
      <c r="A18" s="45"/>
      <c r="B18" s="45" t="s">
        <v>176</v>
      </c>
      <c r="C18" s="45"/>
      <c r="D18" s="45"/>
      <c r="E18" s="54" t="s">
        <v>866</v>
      </c>
      <c r="F18" s="47">
        <v>44172.495405092595</v>
      </c>
      <c r="G18" s="56" t="s">
        <v>164</v>
      </c>
    </row>
    <row r="19" spans="1:7">
      <c r="A19" s="45"/>
      <c r="B19" s="45" t="s">
        <v>176</v>
      </c>
      <c r="C19" s="45"/>
      <c r="D19" s="45"/>
      <c r="E19" s="54" t="s">
        <v>866</v>
      </c>
      <c r="F19" s="47">
        <v>44172.4997337963</v>
      </c>
      <c r="G19" s="56" t="s">
        <v>164</v>
      </c>
    </row>
    <row r="20" spans="1:7">
      <c r="A20" s="45"/>
      <c r="B20" s="45" t="s">
        <v>176</v>
      </c>
      <c r="C20" s="45"/>
      <c r="D20" s="45"/>
      <c r="E20" s="54" t="s">
        <v>866</v>
      </c>
      <c r="F20" s="47">
        <v>44172.500775462962</v>
      </c>
      <c r="G20" s="56" t="s">
        <v>164</v>
      </c>
    </row>
    <row r="21" spans="1:7">
      <c r="A21" s="45"/>
      <c r="B21" s="45" t="s">
        <v>202</v>
      </c>
      <c r="C21" s="45"/>
      <c r="D21" s="45"/>
      <c r="E21" s="54" t="s">
        <v>866</v>
      </c>
      <c r="F21" s="47">
        <v>44172.502928240741</v>
      </c>
      <c r="G21" s="56" t="s">
        <v>164</v>
      </c>
    </row>
    <row r="22" spans="1:7">
      <c r="A22" s="45"/>
      <c r="B22" s="45" t="s">
        <v>165</v>
      </c>
      <c r="C22" s="46" t="s">
        <v>867</v>
      </c>
      <c r="D22" s="45" t="s">
        <v>866</v>
      </c>
      <c r="E22" s="47">
        <v>44173.461678240739</v>
      </c>
      <c r="F22" s="54" t="s">
        <v>164</v>
      </c>
      <c r="G22" s="57"/>
    </row>
    <row r="23" spans="1:7">
      <c r="A23" s="45"/>
      <c r="B23" s="45" t="s">
        <v>165</v>
      </c>
      <c r="C23" s="46" t="s">
        <v>868</v>
      </c>
      <c r="D23" s="45" t="s">
        <v>866</v>
      </c>
      <c r="E23" s="47">
        <v>44173.462268518517</v>
      </c>
      <c r="F23" s="54" t="s">
        <v>164</v>
      </c>
      <c r="G23" s="57"/>
    </row>
    <row r="24" spans="1:7">
      <c r="A24" s="45"/>
      <c r="B24" s="45" t="s">
        <v>165</v>
      </c>
      <c r="C24" s="46" t="s">
        <v>867</v>
      </c>
      <c r="D24" s="45" t="s">
        <v>866</v>
      </c>
      <c r="E24" s="47">
        <v>44173.484618055554</v>
      </c>
      <c r="F24" s="54" t="s">
        <v>164</v>
      </c>
      <c r="G24" s="57"/>
    </row>
    <row r="25" spans="1:7">
      <c r="A25" s="45"/>
      <c r="B25" s="45" t="s">
        <v>165</v>
      </c>
      <c r="C25" s="46" t="s">
        <v>868</v>
      </c>
      <c r="D25" s="45" t="s">
        <v>866</v>
      </c>
      <c r="E25" s="47">
        <v>44173.485243055555</v>
      </c>
      <c r="F25" s="54" t="s">
        <v>164</v>
      </c>
      <c r="G25" s="57"/>
    </row>
    <row r="26" spans="1:7">
      <c r="A26" s="45"/>
      <c r="B26" s="45" t="s">
        <v>165</v>
      </c>
      <c r="C26" s="46" t="s">
        <v>869</v>
      </c>
      <c r="D26" s="45" t="s">
        <v>866</v>
      </c>
      <c r="E26" s="47">
        <v>44173.485879629632</v>
      </c>
      <c r="F26" s="54" t="s">
        <v>164</v>
      </c>
      <c r="G26" s="57"/>
    </row>
    <row r="27" spans="1:7">
      <c r="A27" s="45"/>
      <c r="B27" s="45" t="s">
        <v>162</v>
      </c>
      <c r="C27" s="46" t="s">
        <v>870</v>
      </c>
      <c r="D27" s="45" t="s">
        <v>866</v>
      </c>
      <c r="E27" s="47">
        <v>44173.487881944442</v>
      </c>
      <c r="F27" s="54" t="s">
        <v>164</v>
      </c>
      <c r="G27" s="57"/>
    </row>
    <row r="28" spans="1:7">
      <c r="A28" s="45"/>
      <c r="B28" s="45" t="s">
        <v>162</v>
      </c>
      <c r="C28" s="46" t="s">
        <v>871</v>
      </c>
      <c r="D28" s="45" t="s">
        <v>866</v>
      </c>
      <c r="E28" s="47">
        <v>44173.489328703705</v>
      </c>
      <c r="F28" s="54" t="s">
        <v>164</v>
      </c>
      <c r="G28" s="57"/>
    </row>
    <row r="29" spans="1:7">
      <c r="A29" s="45"/>
      <c r="B29" s="45" t="s">
        <v>162</v>
      </c>
      <c r="C29" s="46" t="s">
        <v>872</v>
      </c>
      <c r="D29" s="45" t="s">
        <v>866</v>
      </c>
      <c r="E29" s="47">
        <v>44173.490428240744</v>
      </c>
      <c r="F29" s="54" t="s">
        <v>164</v>
      </c>
      <c r="G29" s="57"/>
    </row>
    <row r="30" spans="1:7">
      <c r="A30" s="45"/>
      <c r="B30" s="45" t="s">
        <v>167</v>
      </c>
      <c r="C30" s="46" t="s">
        <v>873</v>
      </c>
      <c r="D30" s="45" t="s">
        <v>866</v>
      </c>
      <c r="E30" s="47">
        <v>44173.495127314818</v>
      </c>
      <c r="F30" s="54" t="s">
        <v>164</v>
      </c>
      <c r="G30" s="57"/>
    </row>
    <row r="31" spans="1:7">
      <c r="A31" s="45"/>
      <c r="B31" s="45" t="s">
        <v>190</v>
      </c>
      <c r="C31" s="46" t="s">
        <v>874</v>
      </c>
      <c r="D31" s="45" t="s">
        <v>866</v>
      </c>
      <c r="E31" s="47">
        <v>44173.496689814812</v>
      </c>
      <c r="F31" s="54" t="s">
        <v>164</v>
      </c>
      <c r="G31" s="57"/>
    </row>
    <row r="32" spans="1:7">
      <c r="A32" s="45"/>
      <c r="B32" s="45" t="s">
        <v>223</v>
      </c>
      <c r="C32" s="46" t="s">
        <v>875</v>
      </c>
      <c r="D32" s="45" t="s">
        <v>866</v>
      </c>
      <c r="E32" s="47">
        <v>44173.499016203707</v>
      </c>
      <c r="F32" s="54" t="s">
        <v>164</v>
      </c>
      <c r="G32" s="57"/>
    </row>
    <row r="33" spans="1:7">
      <c r="A33" s="45"/>
      <c r="B33" s="45" t="s">
        <v>192</v>
      </c>
      <c r="C33" s="46" t="s">
        <v>876</v>
      </c>
      <c r="D33" s="45" t="s">
        <v>866</v>
      </c>
      <c r="E33" s="47">
        <v>44173.499756944446</v>
      </c>
      <c r="F33" s="54" t="s">
        <v>164</v>
      </c>
      <c r="G33" s="57"/>
    </row>
    <row r="34" spans="1:7">
      <c r="A34" s="45"/>
      <c r="B34" s="45" t="s">
        <v>176</v>
      </c>
      <c r="C34" s="46" t="s">
        <v>877</v>
      </c>
      <c r="D34" s="45" t="s">
        <v>866</v>
      </c>
      <c r="E34" s="47">
        <v>44173.50267361111</v>
      </c>
      <c r="F34" s="54" t="s">
        <v>164</v>
      </c>
      <c r="G34" s="57"/>
    </row>
    <row r="35" spans="1:7">
      <c r="A35" s="45"/>
      <c r="B35" s="45" t="s">
        <v>176</v>
      </c>
      <c r="C35" s="46" t="s">
        <v>878</v>
      </c>
      <c r="D35" s="45" t="s">
        <v>866</v>
      </c>
      <c r="E35" s="47">
        <v>44173.506203703706</v>
      </c>
      <c r="F35" s="54" t="s">
        <v>164</v>
      </c>
      <c r="G35" s="57"/>
    </row>
    <row r="36" spans="1:7">
      <c r="A36" s="45"/>
      <c r="B36" s="45" t="s">
        <v>176</v>
      </c>
      <c r="C36" s="46" t="s">
        <v>879</v>
      </c>
      <c r="D36" s="45" t="s">
        <v>866</v>
      </c>
      <c r="E36" s="47">
        <v>44173.506886574076</v>
      </c>
      <c r="F36" s="54" t="s">
        <v>164</v>
      </c>
      <c r="G36" s="57"/>
    </row>
    <row r="37" spans="1:7">
      <c r="A37" s="45"/>
      <c r="B37" s="45" t="s">
        <v>202</v>
      </c>
      <c r="C37" s="46" t="s">
        <v>880</v>
      </c>
      <c r="D37" s="45" t="s">
        <v>866</v>
      </c>
      <c r="E37" s="47">
        <v>44173.5153125</v>
      </c>
      <c r="F37" s="54" t="s">
        <v>164</v>
      </c>
      <c r="G37" s="57"/>
    </row>
    <row r="38" spans="1:7">
      <c r="A38" s="45"/>
      <c r="B38" s="45" t="s">
        <v>202</v>
      </c>
      <c r="C38" s="46" t="s">
        <v>881</v>
      </c>
      <c r="D38" s="45" t="s">
        <v>866</v>
      </c>
      <c r="E38" s="47">
        <v>44173.515925925924</v>
      </c>
      <c r="F38" s="54" t="s">
        <v>164</v>
      </c>
      <c r="G38" s="57"/>
    </row>
    <row r="39" spans="1:7">
      <c r="A39" s="45"/>
      <c r="B39" s="45" t="s">
        <v>202</v>
      </c>
      <c r="C39" s="46" t="s">
        <v>882</v>
      </c>
      <c r="D39" s="45" t="s">
        <v>866</v>
      </c>
      <c r="E39" s="47">
        <v>44173.519918981481</v>
      </c>
      <c r="F39" s="54" t="s">
        <v>164</v>
      </c>
      <c r="G39" s="57"/>
    </row>
    <row r="40" spans="1:7" ht="14.25">
      <c r="A40" s="45"/>
      <c r="B40" s="45" t="s">
        <v>202</v>
      </c>
      <c r="C40" s="46" t="s">
        <v>883</v>
      </c>
      <c r="D40" s="45" t="s">
        <v>866</v>
      </c>
      <c r="E40" s="47">
        <v>44173.520497685182</v>
      </c>
      <c r="F40" s="54" t="s">
        <v>164</v>
      </c>
      <c r="G40" s="57"/>
    </row>
    <row r="41" spans="1:7" ht="14.25">
      <c r="A41" s="45"/>
      <c r="B41" s="45" t="s">
        <v>202</v>
      </c>
      <c r="C41" s="46" t="s">
        <v>884</v>
      </c>
      <c r="D41" s="45">
        <v>1607391132378</v>
      </c>
      <c r="E41" s="47">
        <v>44173.522361111114</v>
      </c>
      <c r="F41" s="54" t="s">
        <v>164</v>
      </c>
      <c r="G41" s="57"/>
    </row>
    <row r="42" spans="1:7" ht="14.25">
      <c r="A42" s="45"/>
      <c r="B42" s="45" t="s">
        <v>209</v>
      </c>
      <c r="C42" s="46" t="s">
        <v>885</v>
      </c>
      <c r="D42" s="45" t="s">
        <v>866</v>
      </c>
      <c r="E42" s="47">
        <v>44173.523472222223</v>
      </c>
      <c r="F42" s="54" t="s">
        <v>164</v>
      </c>
      <c r="G42" s="57"/>
    </row>
    <row r="43" spans="1:7" ht="14.25">
      <c r="A43" s="45"/>
      <c r="B43" s="45" t="s">
        <v>213</v>
      </c>
      <c r="C43" s="46" t="s">
        <v>886</v>
      </c>
      <c r="D43" s="45">
        <v>1607391821934</v>
      </c>
      <c r="E43" s="47">
        <v>44173.530347222222</v>
      </c>
      <c r="F43" s="54" t="s">
        <v>164</v>
      </c>
      <c r="G43" s="57"/>
    </row>
    <row r="44" spans="1:7" ht="14.25">
      <c r="A44" s="45"/>
      <c r="B44" s="45" t="s">
        <v>213</v>
      </c>
      <c r="C44" s="46" t="s">
        <v>887</v>
      </c>
      <c r="D44" s="45">
        <v>1607392031230</v>
      </c>
      <c r="E44" s="47">
        <v>44173.532766203702</v>
      </c>
      <c r="F44" s="54" t="s">
        <v>164</v>
      </c>
      <c r="G44" s="57"/>
    </row>
    <row r="45" spans="1:7" ht="14.25">
      <c r="A45" s="45"/>
      <c r="B45" s="45" t="s">
        <v>165</v>
      </c>
      <c r="C45" s="46" t="s">
        <v>867</v>
      </c>
      <c r="D45" s="45" t="s">
        <v>866</v>
      </c>
      <c r="E45" s="47">
        <v>44173.500798611109</v>
      </c>
      <c r="F45" s="54" t="s">
        <v>164</v>
      </c>
      <c r="G45" s="57"/>
    </row>
    <row r="46" spans="1:7" ht="14.25">
      <c r="A46" s="45"/>
      <c r="B46" s="45" t="s">
        <v>165</v>
      </c>
      <c r="C46" s="46" t="s">
        <v>867</v>
      </c>
      <c r="D46" s="45" t="s">
        <v>866</v>
      </c>
      <c r="E46" s="47">
        <v>44173.509212962963</v>
      </c>
      <c r="F46" s="54" t="s">
        <v>164</v>
      </c>
      <c r="G46" s="57"/>
    </row>
    <row r="47" spans="1:7" ht="14.25">
      <c r="A47" s="45"/>
      <c r="B47" s="45" t="s">
        <v>165</v>
      </c>
      <c r="C47" s="58" t="str">
        <f>HYPERLINK("https://au.indeed.com/viewjob?from=iaBackPress&amp;jk=97b87860f90a1eaf&amp;vjs=3","Mechanical Engineer")</f>
        <v>Mechanical Engineer</v>
      </c>
      <c r="D47" s="45" t="s">
        <v>888</v>
      </c>
      <c r="E47" s="54" t="s">
        <v>866</v>
      </c>
      <c r="F47" s="47">
        <v>44173.515381944446</v>
      </c>
      <c r="G47" s="56" t="s">
        <v>164</v>
      </c>
    </row>
    <row r="48" spans="1:7" ht="14.25">
      <c r="A48" s="45"/>
      <c r="B48" s="45" t="s">
        <v>162</v>
      </c>
      <c r="C48" s="58" t="str">
        <f>HYPERLINK("https://au.indeed.com/viewjob?from=iaBackPress&amp;jk=627c606995cd76ec&amp;vjs=3","FPGA Design Engineer")</f>
        <v>FPGA Design Engineer</v>
      </c>
      <c r="D48" s="45" t="s">
        <v>767</v>
      </c>
      <c r="E48" s="54" t="s">
        <v>866</v>
      </c>
      <c r="F48" s="47">
        <v>44173.517395833333</v>
      </c>
      <c r="G48" s="56" t="s">
        <v>164</v>
      </c>
    </row>
    <row r="49" spans="1:7" ht="14.25">
      <c r="A49" s="45"/>
      <c r="B49" s="45" t="s">
        <v>162</v>
      </c>
      <c r="C49" s="58" t="str">
        <f>HYPERLINK("https://au.indeed.com/viewjob?from=iaBackPress&amp;jk=aa4829ec40db55a0&amp;vjs=3","Lead Substation Design Engineer Transmission scale - (Electrical Engineer)")</f>
        <v>Lead Substation Design Engineer Transmission scale - (Electrical Engineer)</v>
      </c>
      <c r="D49" s="45" t="s">
        <v>889</v>
      </c>
      <c r="E49" s="54" t="s">
        <v>866</v>
      </c>
      <c r="F49" s="47">
        <v>44173.518472222226</v>
      </c>
      <c r="G49" s="56" t="s">
        <v>164</v>
      </c>
    </row>
    <row r="50" spans="1:7" ht="14.25">
      <c r="A50" s="45"/>
      <c r="B50" s="45" t="s">
        <v>165</v>
      </c>
      <c r="C50" s="58" t="str">
        <f>HYPERLINK("https://au.indeed.com/viewjob?from=iaBackPress&amp;jk=97b87860f90a1eaf&amp;vjs=3","Mechanical Engineer")</f>
        <v>Mechanical Engineer</v>
      </c>
      <c r="D50" s="45" t="s">
        <v>888</v>
      </c>
      <c r="E50" s="54" t="s">
        <v>866</v>
      </c>
      <c r="F50" s="47">
        <v>44173.949421296296</v>
      </c>
      <c r="G50" s="56" t="s">
        <v>164</v>
      </c>
    </row>
    <row r="51" spans="1:7" ht="14.25">
      <c r="A51" s="45"/>
      <c r="B51" s="45" t="s">
        <v>165</v>
      </c>
      <c r="C51" s="58" t="str">
        <f>HYPERLINK("https://au.indeed.com/viewjob?from=iaBackPress&amp;jk=b3a323a3b47fca8d&amp;vjs=3","Mechanical Engineer Submariner")</f>
        <v>Mechanical Engineer Submariner</v>
      </c>
      <c r="D51" s="45" t="s">
        <v>166</v>
      </c>
      <c r="E51" s="54" t="s">
        <v>866</v>
      </c>
      <c r="F51" s="47">
        <v>44173.949895833335</v>
      </c>
      <c r="G51" s="56" t="s">
        <v>164</v>
      </c>
    </row>
    <row r="52" spans="1:7" ht="14.25">
      <c r="A52" s="45"/>
      <c r="B52" s="45" t="s">
        <v>165</v>
      </c>
      <c r="C52" s="58" t="str">
        <f>HYPERLINK("https://au.indeed.com/viewjob?from=iaBackPress&amp;jk=c4e076f51cd11864&amp;vjs=3","Mechanical Engineer - Defence University Sponsorship")</f>
        <v>Mechanical Engineer - Defence University Sponsorship</v>
      </c>
      <c r="D52" s="45" t="s">
        <v>166</v>
      </c>
      <c r="E52" s="54" t="s">
        <v>866</v>
      </c>
      <c r="F52" s="47">
        <v>44173.950370370374</v>
      </c>
      <c r="G52" s="56" t="s">
        <v>164</v>
      </c>
    </row>
    <row r="53" spans="1:7" ht="14.25">
      <c r="A53" s="45"/>
      <c r="B53" s="45" t="s">
        <v>165</v>
      </c>
      <c r="C53" s="58" t="str">
        <f>HYPERLINK("https://au.indeed.com/viewjob?from=iaBackPress&amp;jk=97b87860f90a1eaf&amp;vjs=3","Mechanical Engineer")</f>
        <v>Mechanical Engineer</v>
      </c>
      <c r="D53" s="45" t="s">
        <v>888</v>
      </c>
      <c r="E53" s="54" t="s">
        <v>866</v>
      </c>
      <c r="F53" s="47">
        <v>44173.721261574072</v>
      </c>
      <c r="G53" s="56" t="s">
        <v>164</v>
      </c>
    </row>
    <row r="54" spans="1:7" ht="14.25">
      <c r="A54" s="45"/>
      <c r="B54" s="45" t="s">
        <v>162</v>
      </c>
      <c r="C54" s="58" t="str">
        <f>HYPERLINK("https://au.indeed.com/viewjob?from=iaBackPress&amp;jk=627c606995cd76ec&amp;vjs=3","FPGA Design Engineer")</f>
        <v>FPGA Design Engineer</v>
      </c>
      <c r="D54" s="45" t="s">
        <v>767</v>
      </c>
      <c r="E54" s="54" t="s">
        <v>866</v>
      </c>
      <c r="F54" s="47">
        <v>44173.951597222222</v>
      </c>
      <c r="G54" s="56" t="s">
        <v>164</v>
      </c>
    </row>
    <row r="55" spans="1:7" ht="14.25">
      <c r="A55" s="45"/>
      <c r="B55" s="45" t="s">
        <v>165</v>
      </c>
      <c r="C55" s="58" t="str">
        <f>HYPERLINK("https://au.indeed.com/viewjob?from=iaBackPress&amp;jk=97b87860f90a1eaf&amp;vjs=3","Mechanical Engineer")</f>
        <v>Mechanical Engineer</v>
      </c>
      <c r="D55" s="45" t="s">
        <v>888</v>
      </c>
      <c r="E55" s="54" t="s">
        <v>866</v>
      </c>
      <c r="F55" s="47">
        <v>44174.500358796293</v>
      </c>
      <c r="G55" s="56" t="s">
        <v>164</v>
      </c>
    </row>
    <row r="56" spans="1:7" ht="14.25">
      <c r="A56" s="45"/>
      <c r="B56" s="45" t="s">
        <v>162</v>
      </c>
      <c r="C56" s="58" t="str">
        <f>HYPERLINK("https://au.indeed.com/viewjob?from=iaBackPress&amp;jk=627c606995cd76ec&amp;vjs=3","FPGA Design Engineer")</f>
        <v>FPGA Design Engineer</v>
      </c>
      <c r="D56" s="45" t="s">
        <v>767</v>
      </c>
      <c r="E56" s="54" t="s">
        <v>866</v>
      </c>
      <c r="F56" s="47">
        <v>44174.502222222225</v>
      </c>
      <c r="G56" s="56" t="s">
        <v>164</v>
      </c>
    </row>
    <row r="57" spans="1:7" ht="14.25">
      <c r="A57" s="45"/>
      <c r="B57" s="45" t="s">
        <v>162</v>
      </c>
      <c r="C57" s="58" t="str">
        <f>HYPERLINK("https://au.indeed.com/viewjob?from=iaBackPress&amp;jk=aa4829ec40db55a0&amp;vjs=3","Lead Substation Design Engineer Transmission scale - (Electrical Engineer)")</f>
        <v>Lead Substation Design Engineer Transmission scale - (Electrical Engineer)</v>
      </c>
      <c r="D57" s="45" t="s">
        <v>889</v>
      </c>
      <c r="E57" s="54" t="s">
        <v>866</v>
      </c>
      <c r="F57" s="47">
        <v>44174.50309027778</v>
      </c>
      <c r="G57" s="56" t="s">
        <v>164</v>
      </c>
    </row>
    <row r="58" spans="1:7" ht="14.25">
      <c r="A58" s="45"/>
      <c r="B58" s="45" t="s">
        <v>162</v>
      </c>
      <c r="C58" s="58" t="str">
        <f>HYPERLINK("https://au.indeed.com/viewjob?from=iaBackPress&amp;jk=59748a463b6f36ae&amp;vjs=3","Civil Design Engineer")</f>
        <v>Civil Design Engineer</v>
      </c>
      <c r="D58" s="45" t="s">
        <v>890</v>
      </c>
      <c r="E58" s="54" t="s">
        <v>866</v>
      </c>
      <c r="F58" s="47">
        <v>44174.503622685188</v>
      </c>
      <c r="G58" s="56" t="s">
        <v>164</v>
      </c>
    </row>
    <row r="59" spans="1:7" ht="14.25">
      <c r="A59" s="45"/>
      <c r="B59" s="45" t="s">
        <v>167</v>
      </c>
      <c r="C59" s="58" t="str">
        <f>HYPERLINK("https://au.indeed.com/viewjob?from=iaBackPress&amp;jk=78d9624fe7590315&amp;vjs=3","Infrastructure Engineer")</f>
        <v>Infrastructure Engineer</v>
      </c>
      <c r="D59" s="45" t="s">
        <v>891</v>
      </c>
      <c r="E59" s="54" t="s">
        <v>866</v>
      </c>
      <c r="F59" s="47">
        <v>44174.504895833335</v>
      </c>
      <c r="G59" s="56" t="s">
        <v>164</v>
      </c>
    </row>
    <row r="60" spans="1:7" ht="14.25">
      <c r="A60" s="45"/>
      <c r="B60" s="45" t="s">
        <v>169</v>
      </c>
      <c r="C60" s="58" t="str">
        <f t="shared" ref="C60:C61" si="0">HYPERLINK("https://au.indeed.com/viewjob?from=iaBackPress&amp;jk=86167aee03e8ba74&amp;vjs=3","Cloud Support Engineer")</f>
        <v>Cloud Support Engineer</v>
      </c>
      <c r="D60" s="45" t="s">
        <v>892</v>
      </c>
      <c r="E60" s="54">
        <v>1607503109586</v>
      </c>
      <c r="F60" s="47">
        <v>44174.818391203706</v>
      </c>
      <c r="G60" s="56" t="s">
        <v>171</v>
      </c>
    </row>
    <row r="61" spans="1:7" ht="14.25">
      <c r="A61" s="45"/>
      <c r="B61" s="45" t="s">
        <v>169</v>
      </c>
      <c r="C61" s="58" t="str">
        <f t="shared" si="0"/>
        <v>Cloud Support Engineer</v>
      </c>
      <c r="D61" s="45" t="s">
        <v>892</v>
      </c>
      <c r="E61" s="54" t="s">
        <v>866</v>
      </c>
      <c r="F61" s="47">
        <v>44174.821215277778</v>
      </c>
      <c r="G61" s="56" t="s">
        <v>171</v>
      </c>
    </row>
    <row r="62" spans="1:7" ht="14.25">
      <c r="A62" s="45"/>
      <c r="B62" s="45" t="s">
        <v>165</v>
      </c>
      <c r="C62" s="58" t="str">
        <f>HYPERLINK("https://au.indeed.com/viewjob?from=iaBackPress&amp;jk=97b87860f90a1eaf&amp;vjs=3","Mechanical Engineer")</f>
        <v>Mechanical Engineer</v>
      </c>
      <c r="D62" s="45" t="s">
        <v>888</v>
      </c>
      <c r="E62" s="54" t="s">
        <v>866</v>
      </c>
      <c r="F62" s="48">
        <v>44175.373425925929</v>
      </c>
      <c r="G62" s="56" t="s">
        <v>164</v>
      </c>
    </row>
    <row r="63" spans="1:7" ht="14.25">
      <c r="A63" s="45"/>
      <c r="B63" s="45" t="s">
        <v>162</v>
      </c>
      <c r="C63" s="58" t="str">
        <f>HYPERLINK("https://au.indeed.com/viewjob?from=iaBackPress&amp;jk=627c606995cd76ec&amp;vjs=3","FPGA Design Engineer")</f>
        <v>FPGA Design Engineer</v>
      </c>
      <c r="D63" s="45" t="s">
        <v>767</v>
      </c>
      <c r="E63" s="54" t="s">
        <v>866</v>
      </c>
      <c r="F63" s="48">
        <v>44175.374884259261</v>
      </c>
      <c r="G63" s="56" t="s">
        <v>164</v>
      </c>
    </row>
    <row r="64" spans="1:7" ht="14.25">
      <c r="A64" s="45"/>
      <c r="B64" s="45" t="s">
        <v>162</v>
      </c>
      <c r="C64" s="58" t="str">
        <f>HYPERLINK("https://au.indeed.com/viewjob?from=iaBackPress&amp;jk=90b85e9797cbef29&amp;vjs=3","Mechanical Design Engineer")</f>
        <v>Mechanical Design Engineer</v>
      </c>
      <c r="D64" s="45" t="s">
        <v>231</v>
      </c>
      <c r="E64" s="54" t="s">
        <v>866</v>
      </c>
      <c r="F64" s="48">
        <v>44175.376064814816</v>
      </c>
      <c r="G64" s="56" t="s">
        <v>164</v>
      </c>
    </row>
    <row r="65" spans="1:7" ht="14.25">
      <c r="A65" s="45"/>
      <c r="B65" s="45" t="s">
        <v>162</v>
      </c>
      <c r="C65" s="58" t="str">
        <f>HYPERLINK("https://au.indeed.com/viewjob?from=iaBackPress&amp;jk=aa4829ec40db55a0&amp;vjs=3","Lead Substation Design Engineer Transmission scale - (Electrical Engineer)")</f>
        <v>Lead Substation Design Engineer Transmission scale - (Electrical Engineer)</v>
      </c>
      <c r="D65" s="45" t="s">
        <v>889</v>
      </c>
      <c r="E65" s="54" t="s">
        <v>866</v>
      </c>
      <c r="F65" s="48">
        <v>44175.376944444448</v>
      </c>
      <c r="G65" s="56" t="s">
        <v>164</v>
      </c>
    </row>
    <row r="66" spans="1:7" ht="14.25">
      <c r="A66" s="45"/>
      <c r="B66" s="45" t="s">
        <v>162</v>
      </c>
      <c r="C66" s="58" t="str">
        <f>HYPERLINK("https://au.indeed.com/viewjob?from=iaBackPress&amp;jk=59748a463b6f36ae&amp;vjs=3","Civil Design Engineer")</f>
        <v>Civil Design Engineer</v>
      </c>
      <c r="D66" s="45" t="s">
        <v>890</v>
      </c>
      <c r="E66" s="54" t="s">
        <v>866</v>
      </c>
      <c r="F66" s="48">
        <v>44175.377523148149</v>
      </c>
      <c r="G66" s="56" t="s">
        <v>164</v>
      </c>
    </row>
    <row r="67" spans="1:7" ht="14.25">
      <c r="A67" s="45"/>
      <c r="B67" s="45" t="s">
        <v>167</v>
      </c>
      <c r="C67" s="58" t="str">
        <f>HYPERLINK("https://au.indeed.com/viewjob?from=iaBackPress&amp;jk=78d9624fe7590315&amp;vjs=3","Infrastructure Engineer")</f>
        <v>Infrastructure Engineer</v>
      </c>
      <c r="D67" s="45" t="s">
        <v>891</v>
      </c>
      <c r="E67" s="54" t="s">
        <v>866</v>
      </c>
      <c r="F67" s="48">
        <v>44175.378831018519</v>
      </c>
      <c r="G67" s="56" t="s">
        <v>164</v>
      </c>
    </row>
    <row r="68" spans="1:7" ht="14.25">
      <c r="A68" s="45"/>
      <c r="B68" s="45" t="s">
        <v>190</v>
      </c>
      <c r="C68" s="58" t="str">
        <f>HYPERLINK("https://au.indeed.com/viewjob?from=iaBackPress&amp;jk=a01cd9a8819fdb6d&amp;vjs=3","Production &amp; Maintenance Engineer")</f>
        <v>Production &amp; Maintenance Engineer</v>
      </c>
      <c r="D68" s="45" t="s">
        <v>893</v>
      </c>
      <c r="E68" s="54" t="s">
        <v>866</v>
      </c>
      <c r="F68" s="48">
        <v>44175.379351851851</v>
      </c>
      <c r="G68" s="56" t="s">
        <v>164</v>
      </c>
    </row>
    <row r="69" spans="1:7" ht="14.25">
      <c r="A69" s="45"/>
      <c r="B69" s="45" t="s">
        <v>223</v>
      </c>
      <c r="C69" s="58" t="str">
        <f>HYPERLINK("https://au.indeed.com/viewjob?from=iaBackPress&amp;jk=f409160b8d1ee990&amp;vjs=3","Chemical Engineer | Process Engineer - Graduate")</f>
        <v>Chemical Engineer | Process Engineer - Graduate</v>
      </c>
      <c r="D69" s="45" t="s">
        <v>765</v>
      </c>
      <c r="E69" s="54" t="s">
        <v>866</v>
      </c>
      <c r="F69" s="48">
        <v>44175.380497685182</v>
      </c>
      <c r="G69" s="56" t="s">
        <v>164</v>
      </c>
    </row>
    <row r="70" spans="1:7" ht="14.25">
      <c r="A70" s="45"/>
      <c r="B70" s="45" t="s">
        <v>192</v>
      </c>
      <c r="C70" s="58" t="str">
        <f>HYPERLINK("https://au.indeed.com/viewjob?from=iaBackPress&amp;jk=68c5d8270bd11ecf&amp;vjs=3","Senior Biomedical Production Engineer")</f>
        <v>Senior Biomedical Production Engineer</v>
      </c>
      <c r="D70" s="45" t="s">
        <v>894</v>
      </c>
      <c r="E70" s="54" t="s">
        <v>866</v>
      </c>
      <c r="F70" s="48">
        <v>44175.38108796296</v>
      </c>
      <c r="G70" s="56" t="s">
        <v>164</v>
      </c>
    </row>
    <row r="71" spans="1:7" ht="14.25">
      <c r="A71" s="45"/>
      <c r="B71" s="45" t="s">
        <v>176</v>
      </c>
      <c r="C71" s="58" t="str">
        <f>HYPERLINK("https://au.indeed.com/viewjob?from=iaBackPress&amp;jk=49eae43bb03955d4&amp;vjs=3","Senior Project Engineer")</f>
        <v>Senior Project Engineer</v>
      </c>
      <c r="D71" s="45" t="s">
        <v>196</v>
      </c>
      <c r="E71" s="54" t="s">
        <v>866</v>
      </c>
      <c r="F71" s="48">
        <v>44175.381701388891</v>
      </c>
      <c r="G71" s="56" t="s">
        <v>164</v>
      </c>
    </row>
    <row r="72" spans="1:7" ht="14.25">
      <c r="A72" s="45"/>
      <c r="B72" s="45" t="s">
        <v>176</v>
      </c>
      <c r="C72" s="58" t="str">
        <f>HYPERLINK("https://au.indeed.com/viewjob?from=iaBackPress&amp;jk=6646a11a906e5847&amp;vjs=3","Senior Project Engineer - Sydney CBD")</f>
        <v>Senior Project Engineer - Sydney CBD</v>
      </c>
      <c r="D72" s="45" t="s">
        <v>775</v>
      </c>
      <c r="E72" s="54" t="s">
        <v>866</v>
      </c>
      <c r="F72" s="48">
        <v>44175.384120370371</v>
      </c>
      <c r="G72" s="56" t="s">
        <v>164</v>
      </c>
    </row>
    <row r="73" spans="1:7" ht="14.25">
      <c r="A73" s="45"/>
      <c r="B73" s="45" t="s">
        <v>176</v>
      </c>
      <c r="C73" s="58" t="str">
        <f>HYPERLINK("https://au.indeed.com/viewjob?from=iaBackPress&amp;jk=29f65e39b9473cab&amp;vjs=3","Project Engineer")</f>
        <v>Project Engineer</v>
      </c>
      <c r="D73" s="45" t="s">
        <v>808</v>
      </c>
      <c r="E73" s="54" t="s">
        <v>866</v>
      </c>
      <c r="F73" s="48">
        <v>44175.384687500002</v>
      </c>
      <c r="G73" s="56" t="s">
        <v>164</v>
      </c>
    </row>
    <row r="74" spans="1:7" ht="14.25">
      <c r="A74" s="45"/>
      <c r="B74" s="45" t="s">
        <v>165</v>
      </c>
      <c r="C74" s="58" t="str">
        <f>HYPERLINK("https://au.indeed.com/viewjob?from=iaBackPress&amp;jk=97b87860f90a1eaf&amp;vjs=3","Mechanical Engineer")</f>
        <v>Mechanical Engineer</v>
      </c>
      <c r="D74" s="45" t="s">
        <v>888</v>
      </c>
      <c r="E74" s="54" t="s">
        <v>866</v>
      </c>
      <c r="F74" s="48">
        <v>44175.403032407405</v>
      </c>
      <c r="G74" s="56" t="s">
        <v>164</v>
      </c>
    </row>
    <row r="75" spans="1:7" ht="14.25">
      <c r="A75" s="45"/>
      <c r="B75" s="45" t="s">
        <v>162</v>
      </c>
      <c r="C75" s="58" t="str">
        <f>HYPERLINK("https://au.indeed.com/viewjob?from=iaBackPress&amp;jk=627c606995cd76ec&amp;vjs=3","FPGA Design Engineer")</f>
        <v>FPGA Design Engineer</v>
      </c>
      <c r="D75" s="45" t="s">
        <v>767</v>
      </c>
      <c r="E75" s="54" t="s">
        <v>866</v>
      </c>
      <c r="F75" s="48">
        <v>44175.404502314814</v>
      </c>
      <c r="G75" s="56" t="s">
        <v>164</v>
      </c>
    </row>
    <row r="76" spans="1:7" ht="14.25">
      <c r="A76" s="45"/>
      <c r="B76" s="45" t="s">
        <v>162</v>
      </c>
      <c r="C76" s="58" t="str">
        <f>HYPERLINK("https://au.indeed.com/viewjob?from=iaBackPress&amp;jk=90b85e9797cbef29&amp;vjs=3","Mechanical Design Engineer")</f>
        <v>Mechanical Design Engineer</v>
      </c>
      <c r="D76" s="45" t="s">
        <v>231</v>
      </c>
      <c r="E76" s="54" t="s">
        <v>866</v>
      </c>
      <c r="F76" s="48">
        <v>44175.405578703707</v>
      </c>
      <c r="G76" s="56" t="s">
        <v>164</v>
      </c>
    </row>
    <row r="77" spans="1:7" ht="14.25">
      <c r="A77" s="45"/>
      <c r="B77" s="45" t="s">
        <v>162</v>
      </c>
      <c r="C77" s="58" t="str">
        <f>HYPERLINK("https://au.indeed.com/viewjob?from=iaBackPress&amp;jk=aa4829ec40db55a0&amp;vjs=3","Lead Substation Design Engineer Transmission scale - (Electrical Engineer)")</f>
        <v>Lead Substation Design Engineer Transmission scale - (Electrical Engineer)</v>
      </c>
      <c r="D77" s="45" t="s">
        <v>889</v>
      </c>
      <c r="E77" s="54" t="s">
        <v>866</v>
      </c>
      <c r="F77" s="48">
        <v>44175.406458333331</v>
      </c>
      <c r="G77" s="56" t="s">
        <v>164</v>
      </c>
    </row>
    <row r="78" spans="1:7" ht="14.25">
      <c r="A78" s="45"/>
      <c r="B78" s="45" t="s">
        <v>162</v>
      </c>
      <c r="C78" s="58" t="str">
        <f>HYPERLINK("https://au.indeed.com/viewjob?from=iaBackPress&amp;jk=59748a463b6f36ae&amp;vjs=3","Civil Design Engineer")</f>
        <v>Civil Design Engineer</v>
      </c>
      <c r="D78" s="45" t="s">
        <v>890</v>
      </c>
      <c r="E78" s="54" t="s">
        <v>866</v>
      </c>
      <c r="F78" s="48">
        <v>44175.40697916667</v>
      </c>
      <c r="G78" s="56" t="s">
        <v>164</v>
      </c>
    </row>
    <row r="79" spans="1:7" ht="14.25">
      <c r="A79" s="45"/>
      <c r="B79" s="45" t="s">
        <v>167</v>
      </c>
      <c r="C79" s="58" t="str">
        <f>HYPERLINK("https://au.indeed.com/viewjob?from=iaBackPress&amp;jk=78d9624fe7590315&amp;vjs=3","Infrastructure Engineer")</f>
        <v>Infrastructure Engineer</v>
      </c>
      <c r="D79" s="45" t="s">
        <v>891</v>
      </c>
      <c r="E79" s="54" t="s">
        <v>866</v>
      </c>
      <c r="F79" s="48">
        <v>44175.407905092594</v>
      </c>
      <c r="G79" s="56" t="s">
        <v>164</v>
      </c>
    </row>
    <row r="80" spans="1:7" ht="14.25">
      <c r="A80" s="45"/>
      <c r="B80" s="45" t="s">
        <v>190</v>
      </c>
      <c r="C80" s="58" t="str">
        <f>HYPERLINK("https://au.indeed.com/viewjob?from=iaBackPress&amp;jk=a01cd9a8819fdb6d&amp;vjs=3","Production &amp; Maintenance Engineer")</f>
        <v>Production &amp; Maintenance Engineer</v>
      </c>
      <c r="D80" s="45" t="s">
        <v>893</v>
      </c>
      <c r="E80" s="54" t="s">
        <v>866</v>
      </c>
      <c r="F80" s="48">
        <v>44175.408437500002</v>
      </c>
      <c r="G80" s="56" t="s">
        <v>164</v>
      </c>
    </row>
    <row r="81" spans="1:7" ht="14.25">
      <c r="A81" s="45"/>
      <c r="B81" s="45" t="s">
        <v>223</v>
      </c>
      <c r="C81" s="58" t="str">
        <f>HYPERLINK("https://au.indeed.com/viewjob?from=iaBackPress&amp;jk=f409160b8d1ee990&amp;vjs=3","Chemical Engineer | Process Engineer - Graduate")</f>
        <v>Chemical Engineer | Process Engineer - Graduate</v>
      </c>
      <c r="D81" s="45" t="s">
        <v>765</v>
      </c>
      <c r="E81" s="54" t="s">
        <v>866</v>
      </c>
      <c r="F81" s="48">
        <v>44175.409432870372</v>
      </c>
      <c r="G81" s="56" t="s">
        <v>164</v>
      </c>
    </row>
    <row r="82" spans="1:7" ht="14.25">
      <c r="A82" s="45"/>
      <c r="B82" s="45" t="s">
        <v>192</v>
      </c>
      <c r="C82" s="58" t="str">
        <f>HYPERLINK("https://au.indeed.com/viewjob?from=iaBackPress&amp;jk=68c5d8270bd11ecf&amp;vjs=3","Senior Biomedical Production Engineer")</f>
        <v>Senior Biomedical Production Engineer</v>
      </c>
      <c r="D82" s="45" t="s">
        <v>894</v>
      </c>
      <c r="E82" s="54" t="s">
        <v>866</v>
      </c>
      <c r="F82" s="48">
        <v>44175.410104166665</v>
      </c>
      <c r="G82" s="56" t="s">
        <v>164</v>
      </c>
    </row>
    <row r="83" spans="1:7" ht="14.25">
      <c r="A83" s="45"/>
      <c r="B83" s="45" t="s">
        <v>176</v>
      </c>
      <c r="C83" s="58" t="str">
        <f>HYPERLINK("https://au.indeed.com/viewjob?from=iaBackPress&amp;jk=49eae43bb03955d4&amp;vjs=3","Senior Project Engineer")</f>
        <v>Senior Project Engineer</v>
      </c>
      <c r="D83" s="45" t="s">
        <v>196</v>
      </c>
      <c r="E83" s="54" t="s">
        <v>866</v>
      </c>
      <c r="F83" s="48">
        <v>44175.410682870373</v>
      </c>
      <c r="G83" s="56" t="s">
        <v>164</v>
      </c>
    </row>
    <row r="84" spans="1:7" ht="14.25">
      <c r="A84" s="45"/>
      <c r="B84" s="45" t="s">
        <v>176</v>
      </c>
      <c r="C84" s="58" t="str">
        <f>HYPERLINK("https://au.indeed.com/viewjob?from=iaBackPress&amp;jk=6646a11a906e5847&amp;vjs=3","Senior Project Engineer - Sydney CBD")</f>
        <v>Senior Project Engineer - Sydney CBD</v>
      </c>
      <c r="D84" s="45" t="s">
        <v>775</v>
      </c>
      <c r="E84" s="54" t="s">
        <v>866</v>
      </c>
      <c r="F84" s="48">
        <v>44175.414618055554</v>
      </c>
      <c r="G84" s="56" t="s">
        <v>164</v>
      </c>
    </row>
    <row r="85" spans="1:7" ht="14.25">
      <c r="A85" s="45"/>
      <c r="B85" s="45" t="s">
        <v>176</v>
      </c>
      <c r="C85" s="58" t="str">
        <f>HYPERLINK("https://au.indeed.com/viewjob?from=iaBackPress&amp;jk=29f65e39b9473cab&amp;vjs=3","Project Engineer")</f>
        <v>Project Engineer</v>
      </c>
      <c r="D85" s="45" t="s">
        <v>808</v>
      </c>
      <c r="E85" s="54" t="s">
        <v>866</v>
      </c>
      <c r="F85" s="48">
        <v>44175.415196759262</v>
      </c>
      <c r="G85" s="56" t="s">
        <v>164</v>
      </c>
    </row>
    <row r="86" spans="1:7" ht="14.25">
      <c r="A86" s="45"/>
      <c r="B86" s="45" t="s">
        <v>165</v>
      </c>
      <c r="C86" s="58" t="str">
        <f t="shared" ref="C86:C89" si="1">HYPERLINK("https://au.indeed.com/viewjob?from=iaBackPress&amp;jk=97b87860f90a1eaf&amp;vjs=3","Mechanical Engineer")</f>
        <v>Mechanical Engineer</v>
      </c>
      <c r="D86" s="45" t="s">
        <v>888</v>
      </c>
      <c r="E86" s="54" t="s">
        <v>866</v>
      </c>
      <c r="F86" s="48">
        <v>44175.779328703706</v>
      </c>
      <c r="G86" s="56" t="s">
        <v>164</v>
      </c>
    </row>
    <row r="87" spans="1:7" ht="14.25">
      <c r="A87" s="45"/>
      <c r="B87" s="45" t="s">
        <v>165</v>
      </c>
      <c r="C87" s="58" t="str">
        <f t="shared" si="1"/>
        <v>Mechanical Engineer</v>
      </c>
      <c r="D87" s="45" t="s">
        <v>888</v>
      </c>
      <c r="E87" s="54" t="s">
        <v>866</v>
      </c>
      <c r="F87" s="48">
        <v>44175.790532407409</v>
      </c>
      <c r="G87" s="56" t="s">
        <v>164</v>
      </c>
    </row>
    <row r="88" spans="1:7" ht="14.25">
      <c r="A88" s="45"/>
      <c r="B88" s="45" t="s">
        <v>165</v>
      </c>
      <c r="C88" s="58" t="str">
        <f t="shared" si="1"/>
        <v>Mechanical Engineer</v>
      </c>
      <c r="D88" s="45" t="s">
        <v>888</v>
      </c>
      <c r="E88" s="54" t="s">
        <v>866</v>
      </c>
      <c r="F88" s="48">
        <v>44175.912129629629</v>
      </c>
      <c r="G88" s="56" t="s">
        <v>164</v>
      </c>
    </row>
    <row r="89" spans="1:7" ht="14.25">
      <c r="A89" s="45"/>
      <c r="B89" s="45" t="s">
        <v>165</v>
      </c>
      <c r="C89" s="58" t="str">
        <f t="shared" si="1"/>
        <v>Mechanical Engineer</v>
      </c>
      <c r="D89" s="45" t="s">
        <v>888</v>
      </c>
      <c r="E89" s="54" t="s">
        <v>866</v>
      </c>
      <c r="F89" s="48">
        <v>44175.914224537039</v>
      </c>
      <c r="G89" s="56" t="s">
        <v>164</v>
      </c>
    </row>
    <row r="90" spans="1:7" ht="14.25">
      <c r="A90" s="45"/>
      <c r="B90" s="45" t="s">
        <v>165</v>
      </c>
      <c r="C90" s="58" t="str">
        <f t="shared" ref="C90:C91" si="2">HYPERLINK("https://au.indeed.com/viewjob?from=iaBackPress&amp;jk=375f43dbe7ab737a&amp;vjs=3","Undergraduate Mechanical Engineer")</f>
        <v>Undergraduate Mechanical Engineer</v>
      </c>
      <c r="D90" s="45" t="s">
        <v>179</v>
      </c>
      <c r="E90" s="54">
        <v>1608488680458</v>
      </c>
      <c r="F90" s="48">
        <v>44185.996296296296</v>
      </c>
      <c r="G90" s="56" t="s">
        <v>164</v>
      </c>
    </row>
    <row r="91" spans="1:7" ht="14.25">
      <c r="A91" s="45"/>
      <c r="B91" s="45" t="s">
        <v>165</v>
      </c>
      <c r="C91" s="58" t="str">
        <f t="shared" si="2"/>
        <v>Undergraduate Mechanical Engineer</v>
      </c>
      <c r="D91" s="45" t="s">
        <v>179</v>
      </c>
      <c r="E91" s="54">
        <v>1608489226994</v>
      </c>
      <c r="F91" s="48">
        <v>44186.002627314818</v>
      </c>
      <c r="G91" s="56" t="s">
        <v>164</v>
      </c>
    </row>
    <row r="92" spans="1:7" ht="14.25">
      <c r="A92" s="45"/>
      <c r="B92" s="45" t="s">
        <v>165</v>
      </c>
      <c r="C92" s="58" t="str">
        <f>HYPERLINK("https://au.indeed.com/viewjob?from=iaBackPress&amp;jk=6619e0114adad1d1&amp;vjs=3","Mechanical Engineer")</f>
        <v>Mechanical Engineer</v>
      </c>
      <c r="D92" s="45" t="s">
        <v>180</v>
      </c>
      <c r="E92" s="54">
        <v>1608489261258</v>
      </c>
      <c r="F92" s="48">
        <v>44186.003020833334</v>
      </c>
      <c r="G92" s="56" t="s">
        <v>164</v>
      </c>
    </row>
    <row r="93" spans="1:7" ht="14.25">
      <c r="A93" s="45"/>
      <c r="B93" s="45" t="s">
        <v>165</v>
      </c>
      <c r="C93" s="58" t="str">
        <f>HYPERLINK("https://au.indeed.com/viewjob?from=iaBackPress&amp;jk=eac354bcc806ddbc&amp;vjs=3","Mechanical Engineer")</f>
        <v>Mechanical Engineer</v>
      </c>
      <c r="D93" s="45" t="s">
        <v>895</v>
      </c>
      <c r="E93" s="54" t="s">
        <v>866</v>
      </c>
      <c r="F93" s="48">
        <v>44186.558587962965</v>
      </c>
      <c r="G93" s="56" t="s">
        <v>164</v>
      </c>
    </row>
    <row r="94" spans="1:7" ht="14.25">
      <c r="A94" s="45"/>
      <c r="B94" s="45" t="s">
        <v>162</v>
      </c>
      <c r="C94" s="58" t="str">
        <f>HYPERLINK("https://au.indeed.com/viewjob?from=iaBackPress&amp;jk=b6f7efaf7e94544a&amp;vjs=3","#EANF#")</f>
        <v>#EANF#</v>
      </c>
      <c r="D94" s="45" t="s">
        <v>896</v>
      </c>
      <c r="E94" s="54">
        <v>1608517708458</v>
      </c>
      <c r="F94" s="48">
        <v>44186.561435185184</v>
      </c>
      <c r="G94" s="56" t="s">
        <v>164</v>
      </c>
    </row>
    <row r="95" spans="1:7" ht="14.25">
      <c r="A95" s="45"/>
      <c r="B95" s="45" t="s">
        <v>162</v>
      </c>
      <c r="C95" s="58" t="str">
        <f>HYPERLINK("https://au.indeed.com/viewjob?from=iaBackPress&amp;jk=90b85e9797cbef29&amp;vjs=3","Mechanical Design Engineer")</f>
        <v>Mechanical Design Engineer</v>
      </c>
      <c r="D95" s="45" t="s">
        <v>231</v>
      </c>
      <c r="E95" s="54" t="s">
        <v>866</v>
      </c>
      <c r="F95" s="48">
        <v>44186.562939814816</v>
      </c>
      <c r="G95" s="56" t="s">
        <v>164</v>
      </c>
    </row>
    <row r="96" spans="1:7" ht="14.25">
      <c r="A96" s="45"/>
      <c r="B96" s="45" t="s">
        <v>162</v>
      </c>
      <c r="C96" s="58" t="str">
        <f>HYPERLINK("https://au.indeed.com/viewjob?from=iaBackPress&amp;jk=627c606995cd76ec&amp;vjs=3","FPGA Design Engineer")</f>
        <v>FPGA Design Engineer</v>
      </c>
      <c r="D96" s="45" t="s">
        <v>767</v>
      </c>
      <c r="E96" s="54" t="s">
        <v>866</v>
      </c>
      <c r="F96" s="48">
        <v>44186.563356481478</v>
      </c>
      <c r="G96" s="56" t="s">
        <v>164</v>
      </c>
    </row>
    <row r="97" spans="1:7" ht="14.25">
      <c r="A97" s="45"/>
      <c r="B97" s="45" t="s">
        <v>162</v>
      </c>
      <c r="C97" s="58" t="str">
        <f>HYPERLINK("https://au.indeed.com/viewjob?from=iaBackPress&amp;jk=0b67319f39946614&amp;vjs=3","Civil Design Engineer")</f>
        <v>Civil Design Engineer</v>
      </c>
      <c r="D97" s="45" t="s">
        <v>890</v>
      </c>
      <c r="E97" s="54" t="s">
        <v>866</v>
      </c>
      <c r="F97" s="48">
        <v>44186.563773148147</v>
      </c>
      <c r="G97" s="56" t="s">
        <v>164</v>
      </c>
    </row>
    <row r="98" spans="1:7" ht="14.25">
      <c r="A98" s="45"/>
      <c r="B98" s="45" t="s">
        <v>167</v>
      </c>
      <c r="C98" s="58" t="str">
        <f>HYPERLINK("https://au.indeed.com/viewjob?from=iaBackPress&amp;jk=454b1eae25ddd2bf&amp;vjs=3","Senior Network &amp; Infrastructure Engineer")</f>
        <v>Senior Network &amp; Infrastructure Engineer</v>
      </c>
      <c r="D98" s="45" t="s">
        <v>773</v>
      </c>
      <c r="E98" s="54" t="s">
        <v>866</v>
      </c>
      <c r="F98" s="48">
        <v>44186.568182870367</v>
      </c>
      <c r="G98" s="56" t="s">
        <v>164</v>
      </c>
    </row>
    <row r="99" spans="1:7" ht="14.25">
      <c r="A99" s="45"/>
      <c r="B99" s="45" t="s">
        <v>192</v>
      </c>
      <c r="C99" s="58" t="str">
        <f>HYPERLINK("https://au.indeed.com/viewjob?from=iaBackPress&amp;jk=68c5d8270bd11ecf&amp;vjs=3","Senior Biomedical Production Engineer")</f>
        <v>Senior Biomedical Production Engineer</v>
      </c>
      <c r="D99" s="45" t="s">
        <v>894</v>
      </c>
      <c r="E99" s="54" t="s">
        <v>866</v>
      </c>
      <c r="F99" s="48">
        <v>44186.569849537038</v>
      </c>
      <c r="G99" s="56" t="s">
        <v>164</v>
      </c>
    </row>
    <row r="100" spans="1:7" ht="14.25">
      <c r="A100" s="45"/>
      <c r="B100" s="45" t="s">
        <v>176</v>
      </c>
      <c r="C100" s="58" t="str">
        <f>HYPERLINK("https://au.indeed.com/viewjob?from=iaBackPress&amp;jk=f85e10e79c4cb325&amp;vjs=3","SITE FOREMAN/PROJECT ENGINEER")</f>
        <v>SITE FOREMAN/PROJECT ENGINEER</v>
      </c>
      <c r="D100" s="45" t="s">
        <v>897</v>
      </c>
      <c r="E100" s="54" t="s">
        <v>866</v>
      </c>
      <c r="F100" s="48">
        <v>44186.572766203702</v>
      </c>
      <c r="G100" s="56" t="s">
        <v>164</v>
      </c>
    </row>
    <row r="101" spans="1:7" ht="14.25">
      <c r="A101" s="45"/>
      <c r="B101" s="45" t="s">
        <v>176</v>
      </c>
      <c r="C101" s="58" t="str">
        <f>HYPERLINK("https://au.indeed.com/viewjob?from=iaBackPress&amp;jk=56d66f468497c514&amp;vjs=3","Project Engineer")</f>
        <v>Project Engineer</v>
      </c>
      <c r="D101" s="45" t="s">
        <v>805</v>
      </c>
      <c r="E101" s="54" t="s">
        <v>866</v>
      </c>
      <c r="F101" s="48">
        <v>44186.574282407404</v>
      </c>
      <c r="G101" s="56" t="s">
        <v>164</v>
      </c>
    </row>
    <row r="102" spans="1:7" ht="14.25">
      <c r="A102" s="45"/>
      <c r="B102" s="45" t="s">
        <v>176</v>
      </c>
      <c r="C102" s="58" t="str">
        <f>HYPERLINK("https://au.indeed.com/viewjob?from=iaBackPress&amp;jk=29f65e39b9473cab&amp;vjs=3","Project Engineer")</f>
        <v>Project Engineer</v>
      </c>
      <c r="D102" s="45" t="s">
        <v>808</v>
      </c>
      <c r="E102" s="54" t="s">
        <v>866</v>
      </c>
      <c r="F102" s="48">
        <v>44186.575324074074</v>
      </c>
      <c r="G102" s="56" t="s">
        <v>164</v>
      </c>
    </row>
    <row r="103" spans="1:7" ht="14.25">
      <c r="A103" s="45"/>
      <c r="B103" s="45" t="s">
        <v>176</v>
      </c>
      <c r="C103" s="58" t="str">
        <f>HYPERLINK("https://au.indeed.com/viewjob?from=iaBackPress&amp;jk=feb17c9f2ca9f7d2&amp;vjs=3","Senior Project Engineer - Cowal")</f>
        <v>Senior Project Engineer - Cowal</v>
      </c>
      <c r="D103" s="45" t="s">
        <v>775</v>
      </c>
      <c r="E103" s="54" t="s">
        <v>866</v>
      </c>
      <c r="F103" s="48">
        <v>44186.577465277776</v>
      </c>
      <c r="G103" s="56" t="s">
        <v>164</v>
      </c>
    </row>
    <row r="104" spans="1:7" ht="14.25">
      <c r="A104" s="45"/>
      <c r="B104" s="45" t="s">
        <v>176</v>
      </c>
      <c r="C104" s="58" t="str">
        <f>HYPERLINK("https://au.indeed.com/viewjob?from=iaBackPress&amp;jk=56d66f468497c514&amp;vjs=3","Project Engineer")</f>
        <v>Project Engineer</v>
      </c>
      <c r="D104" s="45" t="s">
        <v>805</v>
      </c>
      <c r="E104" s="54" t="s">
        <v>866</v>
      </c>
      <c r="F104" s="48">
        <v>44186.580752314818</v>
      </c>
      <c r="G104" s="56" t="s">
        <v>164</v>
      </c>
    </row>
    <row r="105" spans="1:7" ht="14.25">
      <c r="A105" s="45"/>
      <c r="B105" s="45" t="s">
        <v>202</v>
      </c>
      <c r="C105" s="58" t="str">
        <f>HYPERLINK("https://au.indeed.com/viewjob?from=iaBackPress&amp;jk=2fa28558872f1306&amp;vjs=3","Lead Site Reliability Engineer")</f>
        <v>Lead Site Reliability Engineer</v>
      </c>
      <c r="D105" s="45" t="s">
        <v>898</v>
      </c>
      <c r="E105" s="54" t="s">
        <v>866</v>
      </c>
      <c r="F105" s="48">
        <v>44186.584456018521</v>
      </c>
      <c r="G105" s="56" t="s">
        <v>164</v>
      </c>
    </row>
    <row r="106" spans="1:7" ht="14.25">
      <c r="A106" s="45"/>
      <c r="B106" s="45" t="s">
        <v>202</v>
      </c>
      <c r="C106" s="58" t="str">
        <f>HYPERLINK("https://au.indeed.com/viewjob?from=iaBackPress&amp;jk=e01e3538682ff0c7&amp;vjs=3","Senior Site Reliability Engineer")</f>
        <v>Senior Site Reliability Engineer</v>
      </c>
      <c r="D106" s="45" t="s">
        <v>801</v>
      </c>
      <c r="E106" s="54" t="s">
        <v>866</v>
      </c>
      <c r="F106" s="48">
        <v>44186.585972222223</v>
      </c>
      <c r="G106" s="56" t="s">
        <v>164</v>
      </c>
    </row>
    <row r="107" spans="1:7" ht="14.25">
      <c r="A107" s="45"/>
      <c r="B107" s="45" t="s">
        <v>209</v>
      </c>
      <c r="C107" s="58" t="str">
        <f>HYPERLINK("https://au.indeed.com/viewjob?from=iaBackPress&amp;jk=196fbcc309bbe829&amp;vjs=3","Field Service Engineer - Managed Services (Sydney)")</f>
        <v>Field Service Engineer - Managed Services (Sydney)</v>
      </c>
      <c r="D107" s="45" t="s">
        <v>851</v>
      </c>
      <c r="E107" s="54" t="s">
        <v>866</v>
      </c>
      <c r="F107" s="48">
        <v>44186.589178240742</v>
      </c>
      <c r="G107" s="56" t="s">
        <v>164</v>
      </c>
    </row>
    <row r="108" spans="1:7" ht="14.25">
      <c r="A108" s="45"/>
      <c r="B108" s="45" t="s">
        <v>165</v>
      </c>
      <c r="C108" s="58" t="str">
        <f>HYPERLINK("https://au.indeed.com/viewjob?from=iaBackPress&amp;jk=eac354bcc806ddbc&amp;vjs=3","Mechanical Engineer")</f>
        <v>Mechanical Engineer</v>
      </c>
      <c r="D108" s="45" t="s">
        <v>895</v>
      </c>
      <c r="E108" s="54" t="s">
        <v>866</v>
      </c>
      <c r="F108" s="48">
        <v>44186.617303240739</v>
      </c>
      <c r="G108" s="56" t="s">
        <v>164</v>
      </c>
    </row>
    <row r="109" spans="1:7" ht="14.25">
      <c r="A109" s="45"/>
      <c r="B109" s="45" t="s">
        <v>162</v>
      </c>
      <c r="C109" s="58" t="str">
        <f>HYPERLINK("https://au.indeed.com/viewjob?from=iaBackPress&amp;jk=b6f7efaf7e94544a&amp;vjs=3","#EANF#")</f>
        <v>#EANF#</v>
      </c>
      <c r="D109" s="45" t="s">
        <v>896</v>
      </c>
      <c r="E109" s="54">
        <v>1608522639524</v>
      </c>
      <c r="F109" s="48">
        <v>44186.618506944447</v>
      </c>
      <c r="G109" s="56" t="s">
        <v>164</v>
      </c>
    </row>
    <row r="110" spans="1:7" ht="14.25">
      <c r="A110" s="45"/>
      <c r="B110" s="45" t="s">
        <v>162</v>
      </c>
      <c r="C110" s="58" t="str">
        <f>HYPERLINK("https://au.indeed.com/viewjob?from=iaBackPress&amp;jk=90b85e9797cbef29&amp;vjs=3","Mechanical Design Engineer")</f>
        <v>Mechanical Design Engineer</v>
      </c>
      <c r="D110" s="45" t="s">
        <v>231</v>
      </c>
      <c r="E110" s="54" t="s">
        <v>866</v>
      </c>
      <c r="F110" s="48">
        <v>44186.619456018518</v>
      </c>
      <c r="G110" s="56" t="s">
        <v>164</v>
      </c>
    </row>
    <row r="111" spans="1:7" ht="14.25">
      <c r="A111" s="45"/>
      <c r="B111" s="45" t="s">
        <v>162</v>
      </c>
      <c r="C111" s="58" t="str">
        <f>HYPERLINK("https://au.indeed.com/viewjob?from=iaBackPress&amp;jk=627c606995cd76ec&amp;vjs=3","FPGA Design Engineer")</f>
        <v>FPGA Design Engineer</v>
      </c>
      <c r="D111" s="45" t="s">
        <v>767</v>
      </c>
      <c r="E111" s="54" t="s">
        <v>866</v>
      </c>
      <c r="F111" s="48">
        <v>44186.619826388887</v>
      </c>
      <c r="G111" s="56" t="s">
        <v>164</v>
      </c>
    </row>
    <row r="112" spans="1:7" ht="14.25">
      <c r="A112" s="45"/>
      <c r="B112" s="45" t="s">
        <v>162</v>
      </c>
      <c r="C112" s="58" t="str">
        <f>HYPERLINK("https://au.indeed.com/viewjob?from=iaBackPress&amp;jk=0b67319f39946614&amp;vjs=3","Civil Design Engineer")</f>
        <v>Civil Design Engineer</v>
      </c>
      <c r="D112" s="45" t="s">
        <v>890</v>
      </c>
      <c r="E112" s="54" t="s">
        <v>866</v>
      </c>
      <c r="F112" s="48">
        <v>44186.620173611111</v>
      </c>
      <c r="G112" s="56" t="s">
        <v>164</v>
      </c>
    </row>
    <row r="113" spans="1:7" ht="14.25">
      <c r="A113" s="45"/>
      <c r="B113" s="45" t="s">
        <v>167</v>
      </c>
      <c r="C113" s="58" t="str">
        <f>HYPERLINK("https://au.indeed.com/viewjob?from=iaBackPress&amp;jk=454b1eae25ddd2bf&amp;vjs=3","Senior Network &amp; Infrastructure Engineer")</f>
        <v>Senior Network &amp; Infrastructure Engineer</v>
      </c>
      <c r="D113" s="45" t="s">
        <v>773</v>
      </c>
      <c r="E113" s="54" t="s">
        <v>866</v>
      </c>
      <c r="F113" s="48">
        <v>44186.622800925928</v>
      </c>
      <c r="G113" s="56" t="s">
        <v>164</v>
      </c>
    </row>
    <row r="114" spans="1:7" ht="14.25">
      <c r="A114" s="45"/>
      <c r="B114" s="45" t="s">
        <v>192</v>
      </c>
      <c r="C114" s="58" t="str">
        <f>HYPERLINK("https://au.indeed.com/viewjob?from=iaBackPress&amp;jk=68c5d8270bd11ecf&amp;vjs=3","Senior Biomedical Production Engineer")</f>
        <v>Senior Biomedical Production Engineer</v>
      </c>
      <c r="D114" s="45" t="s">
        <v>894</v>
      </c>
      <c r="E114" s="54" t="s">
        <v>866</v>
      </c>
      <c r="F114" s="48">
        <v>44186.623541666668</v>
      </c>
      <c r="G114" s="56" t="s">
        <v>164</v>
      </c>
    </row>
    <row r="115" spans="1:7" ht="14.25">
      <c r="A115" s="45"/>
      <c r="B115" s="45" t="s">
        <v>176</v>
      </c>
      <c r="C115" s="58" t="str">
        <f>HYPERLINK("https://au.indeed.com/viewjob?from=iaBackPress&amp;jk=f85e10e79c4cb325&amp;vjs=3","SITE FOREMAN/PROJECT ENGINEER")</f>
        <v>SITE FOREMAN/PROJECT ENGINEER</v>
      </c>
      <c r="D115" s="45" t="s">
        <v>897</v>
      </c>
      <c r="E115" s="54" t="s">
        <v>866</v>
      </c>
      <c r="F115" s="48">
        <v>44186.624282407407</v>
      </c>
      <c r="G115" s="56" t="s">
        <v>164</v>
      </c>
    </row>
    <row r="116" spans="1:7" ht="14.25">
      <c r="A116" s="45"/>
      <c r="B116" s="45" t="s">
        <v>176</v>
      </c>
      <c r="C116" s="58" t="str">
        <f>HYPERLINK("https://au.indeed.com/viewjob?from=iaBackPress&amp;jk=56d66f468497c514&amp;vjs=3","Project Engineer")</f>
        <v>Project Engineer</v>
      </c>
      <c r="D116" s="45" t="s">
        <v>805</v>
      </c>
      <c r="E116" s="54" t="s">
        <v>866</v>
      </c>
      <c r="F116" s="48">
        <v>44186.624699074076</v>
      </c>
      <c r="G116" s="56" t="s">
        <v>164</v>
      </c>
    </row>
    <row r="117" spans="1:7" ht="14.25">
      <c r="A117" s="45"/>
      <c r="B117" s="45" t="s">
        <v>176</v>
      </c>
      <c r="C117" s="58" t="str">
        <f>HYPERLINK("https://au.indeed.com/viewjob?from=iaBackPress&amp;jk=29f65e39b9473cab&amp;vjs=3","Project Engineer")</f>
        <v>Project Engineer</v>
      </c>
      <c r="D117" s="45" t="s">
        <v>808</v>
      </c>
      <c r="E117" s="54" t="s">
        <v>866</v>
      </c>
      <c r="F117" s="48">
        <v>44186.625902777778</v>
      </c>
      <c r="G117" s="56" t="s">
        <v>164</v>
      </c>
    </row>
    <row r="118" spans="1:7" ht="14.25">
      <c r="A118" s="45"/>
      <c r="B118" s="45" t="s">
        <v>176</v>
      </c>
      <c r="C118" s="58" t="str">
        <f>HYPERLINK("https://au.indeed.com/viewjob?from=iaBackPress&amp;jk=feb17c9f2ca9f7d2&amp;vjs=3","Senior Project Engineer - Cowal")</f>
        <v>Senior Project Engineer - Cowal</v>
      </c>
      <c r="D118" s="45" t="s">
        <v>775</v>
      </c>
      <c r="E118" s="54" t="s">
        <v>866</v>
      </c>
      <c r="F118" s="48">
        <v>44186.626493055555</v>
      </c>
      <c r="G118" s="56" t="s">
        <v>164</v>
      </c>
    </row>
    <row r="119" spans="1:7" ht="14.25">
      <c r="A119" s="45"/>
      <c r="B119" s="45" t="s">
        <v>176</v>
      </c>
      <c r="C119" s="58" t="str">
        <f>HYPERLINK("https://au.indeed.com/viewjob?from=iaBackPress&amp;jk=56d66f468497c514&amp;vjs=3","Project Engineer")</f>
        <v>Project Engineer</v>
      </c>
      <c r="D119" s="45" t="s">
        <v>805</v>
      </c>
      <c r="E119" s="54" t="s">
        <v>866</v>
      </c>
      <c r="F119" s="48">
        <v>44186.627766203703</v>
      </c>
      <c r="G119" s="56" t="s">
        <v>164</v>
      </c>
    </row>
    <row r="120" spans="1:7" ht="14.25">
      <c r="A120" s="45"/>
      <c r="B120" s="45" t="s">
        <v>202</v>
      </c>
      <c r="C120" s="58" t="str">
        <f>HYPERLINK("https://au.indeed.com/viewjob?from=iaBackPress&amp;jk=2fa28558872f1306&amp;vjs=3","Lead Site Reliability Engineer")</f>
        <v>Lead Site Reliability Engineer</v>
      </c>
      <c r="D120" s="45" t="s">
        <v>898</v>
      </c>
      <c r="E120" s="54" t="s">
        <v>866</v>
      </c>
      <c r="F120" s="48">
        <v>44186.628946759258</v>
      </c>
      <c r="G120" s="56" t="s">
        <v>164</v>
      </c>
    </row>
    <row r="121" spans="1:7" ht="14.25">
      <c r="A121" s="45"/>
      <c r="B121" s="45" t="s">
        <v>202</v>
      </c>
      <c r="C121" s="58" t="str">
        <f>HYPERLINK("https://au.indeed.com/viewjob?from=iaBackPress&amp;jk=e01e3538682ff0c7&amp;vjs=3","Senior Site Reliability Engineer")</f>
        <v>Senior Site Reliability Engineer</v>
      </c>
      <c r="D121" s="45" t="s">
        <v>801</v>
      </c>
      <c r="E121" s="54" t="s">
        <v>866</v>
      </c>
      <c r="F121" s="48">
        <v>44186.629525462966</v>
      </c>
      <c r="G121" s="56" t="s">
        <v>164</v>
      </c>
    </row>
    <row r="122" spans="1:7" ht="14.25">
      <c r="A122" s="45"/>
      <c r="B122" s="45" t="s">
        <v>209</v>
      </c>
      <c r="C122" s="58" t="str">
        <f>HYPERLINK("https://au.indeed.com/viewjob?from=iaBackPress&amp;jk=196fbcc309bbe829&amp;vjs=3","Field Service Engineer - Managed Services (Sydney)")</f>
        <v>Field Service Engineer - Managed Services (Sydney)</v>
      </c>
      <c r="D122" s="45" t="s">
        <v>851</v>
      </c>
      <c r="E122" s="54" t="s">
        <v>866</v>
      </c>
      <c r="F122" s="48">
        <v>44186.630486111113</v>
      </c>
      <c r="G122" s="56" t="s">
        <v>164</v>
      </c>
    </row>
    <row r="123" spans="1:7" ht="14.25">
      <c r="A123" s="45"/>
      <c r="B123" s="45" t="s">
        <v>162</v>
      </c>
      <c r="C123" s="58" t="str">
        <f t="shared" ref="C123:C125" si="3">HYPERLINK("https://au.indeed.com/viewjob?from=iaBackPress&amp;jk=b6f7efaf7e94544a&amp;vjs=3","#EANF#")</f>
        <v>#EANF#</v>
      </c>
      <c r="D123" s="45" t="s">
        <v>896</v>
      </c>
      <c r="E123" s="54">
        <v>1608748273980</v>
      </c>
      <c r="F123" s="48">
        <v>44189.230023148149</v>
      </c>
      <c r="G123" s="56" t="s">
        <v>164</v>
      </c>
    </row>
    <row r="124" spans="1:7" ht="14.25">
      <c r="A124" s="45"/>
      <c r="B124" s="45" t="s">
        <v>162</v>
      </c>
      <c r="C124" s="58" t="str">
        <f t="shared" si="3"/>
        <v>#EANF#</v>
      </c>
      <c r="D124" s="45" t="s">
        <v>896</v>
      </c>
      <c r="E124" s="54">
        <v>1608775155148</v>
      </c>
      <c r="F124" s="48">
        <v>44189.541145833333</v>
      </c>
      <c r="G124" s="56" t="s">
        <v>164</v>
      </c>
    </row>
    <row r="125" spans="1:7" ht="14.25">
      <c r="A125" s="45"/>
      <c r="B125" s="45" t="s">
        <v>162</v>
      </c>
      <c r="C125" s="58" t="str">
        <f t="shared" si="3"/>
        <v>#EANF#</v>
      </c>
      <c r="D125" s="45" t="s">
        <v>896</v>
      </c>
      <c r="E125" s="54">
        <v>1608789241146</v>
      </c>
      <c r="F125" s="48">
        <v>44189.70417824074</v>
      </c>
      <c r="G125" s="56" t="s">
        <v>164</v>
      </c>
    </row>
    <row r="126" spans="1:7" ht="14.25">
      <c r="A126" s="45"/>
      <c r="B126" s="45" t="s">
        <v>162</v>
      </c>
      <c r="C126" s="58" t="str">
        <f>HYPERLINK("https://au.indeed.com/viewjob?from=iaBackPress&amp;jk=90b85e9797cbef29&amp;vjs=3","Mechanical Design Engineer")</f>
        <v>Mechanical Design Engineer</v>
      </c>
      <c r="D126" s="45" t="s">
        <v>231</v>
      </c>
      <c r="E126" s="54" t="s">
        <v>866</v>
      </c>
      <c r="F126" s="48">
        <v>44189.704780092594</v>
      </c>
      <c r="G126" s="56" t="s">
        <v>164</v>
      </c>
    </row>
    <row r="127" spans="1:7" ht="14.25">
      <c r="A127" s="45"/>
      <c r="B127" s="45" t="s">
        <v>162</v>
      </c>
      <c r="C127" s="58" t="str">
        <f>HYPERLINK("https://au.indeed.com/viewjob?from=iaBackPress&amp;jk=627c606995cd76ec&amp;vjs=3","FPGA Design Engineer")</f>
        <v>FPGA Design Engineer</v>
      </c>
      <c r="D127" s="45" t="s">
        <v>767</v>
      </c>
      <c r="E127" s="54" t="s">
        <v>866</v>
      </c>
      <c r="F127" s="48">
        <v>44189.705416666664</v>
      </c>
      <c r="G127" s="56" t="s">
        <v>164</v>
      </c>
    </row>
    <row r="128" spans="1:7" ht="14.25">
      <c r="A128" s="45"/>
      <c r="B128" s="45" t="s">
        <v>162</v>
      </c>
      <c r="C128" s="58" t="str">
        <f>HYPERLINK("https://au.indeed.com/viewjob?from=iaBackPress&amp;jk=0b67319f39946614&amp;vjs=3","Civil Design Engineer")</f>
        <v>Civil Design Engineer</v>
      </c>
      <c r="D128" s="45" t="s">
        <v>890</v>
      </c>
      <c r="E128" s="54" t="s">
        <v>866</v>
      </c>
      <c r="F128" s="48">
        <v>44189.706747685188</v>
      </c>
      <c r="G128" s="56" t="s">
        <v>164</v>
      </c>
    </row>
    <row r="129" spans="1:7" ht="14.25">
      <c r="A129" s="45"/>
      <c r="B129" s="45" t="s">
        <v>186</v>
      </c>
      <c r="C129" s="58" t="str">
        <f>HYPERLINK("https://au.indeed.com/viewjob?from=iaBackPress&amp;jk=10fc1007cd0a24d5&amp;vjs=3","Software Development Engineer in Test II (Checkout Team)")</f>
        <v>Software Development Engineer in Test II (Checkout Team)</v>
      </c>
      <c r="D129" s="45" t="s">
        <v>770</v>
      </c>
      <c r="E129" s="54" t="s">
        <v>866</v>
      </c>
      <c r="F129" s="48">
        <v>44189.709768518522</v>
      </c>
      <c r="G129" s="56" t="s">
        <v>164</v>
      </c>
    </row>
    <row r="130" spans="1:7" ht="14.25">
      <c r="A130" s="45"/>
      <c r="B130" s="45" t="s">
        <v>167</v>
      </c>
      <c r="C130" s="58" t="str">
        <f>HYPERLINK("https://au.indeed.com/viewjob?from=iaBackPress&amp;jk=454b1eae25ddd2bf&amp;vjs=3","Senior Network &amp; Infrastructure Engineer")</f>
        <v>Senior Network &amp; Infrastructure Engineer</v>
      </c>
      <c r="D130" s="45" t="s">
        <v>773</v>
      </c>
      <c r="E130" s="54" t="s">
        <v>866</v>
      </c>
      <c r="F130" s="48">
        <v>44189.713969907411</v>
      </c>
      <c r="G130" s="56" t="s">
        <v>164</v>
      </c>
    </row>
    <row r="131" spans="1:7" ht="14.25">
      <c r="A131" s="45"/>
      <c r="B131" s="45" t="s">
        <v>192</v>
      </c>
      <c r="C131" s="58" t="str">
        <f>HYPERLINK("https://au.indeed.com/viewjob?from=iaBackPress&amp;jk=68c5d8270bd11ecf&amp;vjs=3","Senior Biomedical Production Engineer")</f>
        <v>Senior Biomedical Production Engineer</v>
      </c>
      <c r="D131" s="45" t="s">
        <v>894</v>
      </c>
      <c r="E131" s="54" t="s">
        <v>866</v>
      </c>
      <c r="F131" s="48">
        <v>44189.716053240743</v>
      </c>
      <c r="G131" s="56" t="s">
        <v>164</v>
      </c>
    </row>
    <row r="132" spans="1:7" ht="14.25">
      <c r="A132" s="45"/>
      <c r="B132" s="45" t="s">
        <v>176</v>
      </c>
      <c r="C132" s="58" t="str">
        <f>HYPERLINK("https://au.indeed.com/viewjob?from=iaBackPress&amp;jk=f85e10e79c4cb325&amp;vjs=3","SITE FOREMAN/PROJECT ENGINEER")</f>
        <v>SITE FOREMAN/PROJECT ENGINEER</v>
      </c>
      <c r="D132" s="45" t="s">
        <v>897</v>
      </c>
      <c r="E132" s="54" t="s">
        <v>866</v>
      </c>
      <c r="F132" s="48">
        <v>44189.718009259261</v>
      </c>
      <c r="G132" s="56" t="s">
        <v>164</v>
      </c>
    </row>
    <row r="133" spans="1:7" ht="14.25">
      <c r="A133" s="45"/>
      <c r="B133" s="45" t="s">
        <v>176</v>
      </c>
      <c r="C133" s="58" t="str">
        <f>HYPERLINK("https://au.indeed.com/viewjob?from=iaBackPress&amp;jk=56d66f468497c514&amp;vjs=3","Project Engineer")</f>
        <v>Project Engineer</v>
      </c>
      <c r="D133" s="45" t="s">
        <v>805</v>
      </c>
      <c r="E133" s="54" t="s">
        <v>866</v>
      </c>
      <c r="F133" s="48">
        <v>44189.718888888892</v>
      </c>
      <c r="G133" s="56" t="s">
        <v>164</v>
      </c>
    </row>
    <row r="134" spans="1:7" ht="14.25">
      <c r="A134" s="45"/>
      <c r="B134" s="45" t="s">
        <v>176</v>
      </c>
      <c r="C134" s="58" t="str">
        <f>HYPERLINK("https://au.indeed.com/viewjob?from=iaBackPress&amp;jk=29f65e39b9473cab&amp;vjs=3","Project Engineer")</f>
        <v>Project Engineer</v>
      </c>
      <c r="D134" s="45" t="s">
        <v>808</v>
      </c>
      <c r="E134" s="54" t="s">
        <v>866</v>
      </c>
      <c r="F134" s="48">
        <v>44189.720902777779</v>
      </c>
      <c r="G134" s="56" t="s">
        <v>164</v>
      </c>
    </row>
    <row r="135" spans="1:7" ht="14.25">
      <c r="A135" s="45"/>
      <c r="B135" s="45" t="s">
        <v>176</v>
      </c>
      <c r="C135" s="58" t="str">
        <f>HYPERLINK("https://au.indeed.com/viewjob?from=iaBackPress&amp;jk=feb17c9f2ca9f7d2&amp;vjs=3","Senior Project Engineer - Cowal")</f>
        <v>Senior Project Engineer - Cowal</v>
      </c>
      <c r="D135" s="45" t="s">
        <v>775</v>
      </c>
      <c r="E135" s="54" t="s">
        <v>866</v>
      </c>
      <c r="F135" s="48">
        <v>44189.721805555557</v>
      </c>
      <c r="G135" s="56" t="s">
        <v>164</v>
      </c>
    </row>
    <row r="136" spans="1:7" ht="14.25">
      <c r="A136" s="45"/>
      <c r="B136" s="45" t="s">
        <v>176</v>
      </c>
      <c r="C136" s="58" t="str">
        <f>HYPERLINK("https://au.indeed.com/viewjob?from=iaBackPress&amp;jk=56d66f468497c514&amp;vjs=3","Project Engineer")</f>
        <v>Project Engineer</v>
      </c>
      <c r="D136" s="45" t="s">
        <v>805</v>
      </c>
      <c r="E136" s="54" t="s">
        <v>866</v>
      </c>
      <c r="F136" s="48">
        <v>44189.723449074074</v>
      </c>
      <c r="G136" s="56" t="s">
        <v>164</v>
      </c>
    </row>
    <row r="137" spans="1:7" ht="14.25">
      <c r="A137" s="45"/>
      <c r="B137" s="45" t="s">
        <v>202</v>
      </c>
      <c r="C137" s="58" t="str">
        <f>HYPERLINK("https://au.indeed.com/viewjob?from=iaBackPress&amp;jk=2fa28558872f1306&amp;vjs=3","Lead Site Reliability Engineer")</f>
        <v>Lead Site Reliability Engineer</v>
      </c>
      <c r="D137" s="45" t="s">
        <v>898</v>
      </c>
      <c r="E137" s="54" t="s">
        <v>866</v>
      </c>
      <c r="F137" s="48">
        <v>44189.725914351853</v>
      </c>
      <c r="G137" s="56" t="s">
        <v>164</v>
      </c>
    </row>
    <row r="138" spans="1:7" ht="14.25">
      <c r="A138" s="45"/>
      <c r="B138" s="45" t="s">
        <v>202</v>
      </c>
      <c r="C138" s="58" t="str">
        <f>HYPERLINK("https://au.indeed.com/viewjob?from=iaBackPress&amp;jk=e01e3538682ff0c7&amp;vjs=3","Senior Site Reliability Engineer")</f>
        <v>Senior Site Reliability Engineer</v>
      </c>
      <c r="D138" s="45" t="s">
        <v>801</v>
      </c>
      <c r="E138" s="54" t="s">
        <v>866</v>
      </c>
      <c r="F138" s="48">
        <v>44189.72761574074</v>
      </c>
      <c r="G138" s="56" t="s">
        <v>164</v>
      </c>
    </row>
    <row r="139" spans="1:7" ht="14.25">
      <c r="A139" s="45"/>
      <c r="B139" s="45" t="s">
        <v>209</v>
      </c>
      <c r="C139" s="58" t="str">
        <f>HYPERLINK("https://au.indeed.com/viewjob?from=iaBackPress&amp;jk=196fbcc309bbe829&amp;vjs=3","Field Service Engineer - Managed Services (Sydney)")</f>
        <v>Field Service Engineer - Managed Services (Sydney)</v>
      </c>
      <c r="D139" s="45" t="s">
        <v>851</v>
      </c>
      <c r="E139" s="54" t="s">
        <v>866</v>
      </c>
      <c r="F139" s="48">
        <v>44189.72928240741</v>
      </c>
      <c r="G139" s="56" t="s">
        <v>164</v>
      </c>
    </row>
    <row r="140" spans="1:7" ht="14.25">
      <c r="A140" s="45"/>
      <c r="B140" s="45" t="s">
        <v>213</v>
      </c>
      <c r="C140" s="58" t="str">
        <f>HYPERLINK("https://au.indeed.com/viewjob?from=iaBackPress&amp;jk=b76fe947a2b4cdad&amp;vjs=3","Site Engineer")</f>
        <v>Site Engineer</v>
      </c>
      <c r="D140" s="45" t="s">
        <v>899</v>
      </c>
      <c r="E140" s="54" t="s">
        <v>866</v>
      </c>
      <c r="F140" s="48">
        <v>44189.730046296296</v>
      </c>
      <c r="G140" s="56" t="s">
        <v>164</v>
      </c>
    </row>
    <row r="141" spans="1:7" ht="14.25">
      <c r="A141" s="45"/>
      <c r="B141" s="45" t="s">
        <v>162</v>
      </c>
      <c r="C141" s="58" t="str">
        <f>HYPERLINK("https://au.indeed.com/viewjob?from=iaBackPress&amp;jk=b6f7efaf7e94544a&amp;vjs=3","#EANF#")</f>
        <v>#EANF#</v>
      </c>
      <c r="D141" s="45" t="s">
        <v>896</v>
      </c>
      <c r="E141" s="54">
        <v>1608795609606</v>
      </c>
      <c r="F141" s="48">
        <v>44189.777881944443</v>
      </c>
      <c r="G141" s="56" t="s">
        <v>164</v>
      </c>
    </row>
    <row r="142" spans="1:7" ht="14.25">
      <c r="A142" s="45"/>
      <c r="B142" s="45" t="s">
        <v>162</v>
      </c>
      <c r="C142" s="58" t="str">
        <f>HYPERLINK("https://au.indeed.com/viewjob?from=iaBackPress&amp;jk=90b85e9797cbef29&amp;vjs=3","Mechanical Design Engineer")</f>
        <v>Mechanical Design Engineer</v>
      </c>
      <c r="D142" s="45" t="s">
        <v>231</v>
      </c>
      <c r="E142" s="54" t="s">
        <v>866</v>
      </c>
      <c r="F142" s="48">
        <v>44189.778275462966</v>
      </c>
      <c r="G142" s="56" t="s">
        <v>164</v>
      </c>
    </row>
    <row r="143" spans="1:7" ht="14.25">
      <c r="A143" s="45"/>
      <c r="B143" s="45" t="s">
        <v>162</v>
      </c>
      <c r="C143" s="58" t="str">
        <f>HYPERLINK("https://au.indeed.com/viewjob?from=iaBackPress&amp;jk=627c606995cd76ec&amp;vjs=3","FPGA Design Engineer")</f>
        <v>FPGA Design Engineer</v>
      </c>
      <c r="D143" s="45" t="s">
        <v>767</v>
      </c>
      <c r="E143" s="54" t="s">
        <v>866</v>
      </c>
      <c r="F143" s="48">
        <v>44189.778587962966</v>
      </c>
      <c r="G143" s="56" t="s">
        <v>164</v>
      </c>
    </row>
    <row r="144" spans="1:7" ht="14.25">
      <c r="A144" s="45"/>
      <c r="B144" s="45" t="s">
        <v>162</v>
      </c>
      <c r="C144" s="58" t="str">
        <f>HYPERLINK("https://au.indeed.com/viewjob?from=iaBackPress&amp;jk=0b67319f39946614&amp;vjs=3","Civil Design Engineer")</f>
        <v>Civil Design Engineer</v>
      </c>
      <c r="D144" s="45" t="s">
        <v>890</v>
      </c>
      <c r="E144" s="54" t="s">
        <v>866</v>
      </c>
      <c r="F144" s="48">
        <v>44189.778900462959</v>
      </c>
      <c r="G144" s="56" t="s">
        <v>164</v>
      </c>
    </row>
    <row r="145" spans="1:7" ht="14.25">
      <c r="A145" s="45"/>
      <c r="B145" s="45" t="s">
        <v>186</v>
      </c>
      <c r="C145" s="58" t="str">
        <f>HYPERLINK("https://au.indeed.com/viewjob?from=iaBackPress&amp;jk=10fc1007cd0a24d5&amp;vjs=3","Software Development Engineer in Test II (Checkout Team)")</f>
        <v>Software Development Engineer in Test II (Checkout Team)</v>
      </c>
      <c r="D145" s="45" t="s">
        <v>770</v>
      </c>
      <c r="E145" s="54" t="s">
        <v>866</v>
      </c>
      <c r="F145" s="48">
        <v>44189.779328703706</v>
      </c>
      <c r="G145" s="56" t="s">
        <v>164</v>
      </c>
    </row>
    <row r="146" spans="1:7" ht="14.25">
      <c r="A146" s="45"/>
      <c r="B146" s="45" t="s">
        <v>167</v>
      </c>
      <c r="C146" s="58" t="str">
        <f>HYPERLINK("https://au.indeed.com/viewjob?from=iaBackPress&amp;jk=454b1eae25ddd2bf&amp;vjs=3","Senior Network &amp; Infrastructure Engineer")</f>
        <v>Senior Network &amp; Infrastructure Engineer</v>
      </c>
      <c r="D146" s="45" t="s">
        <v>773</v>
      </c>
      <c r="E146" s="54" t="s">
        <v>866</v>
      </c>
      <c r="F146" s="48">
        <v>44189.779953703706</v>
      </c>
      <c r="G146" s="56" t="s">
        <v>164</v>
      </c>
    </row>
    <row r="147" spans="1:7" ht="14.25">
      <c r="A147" s="45"/>
      <c r="B147" s="45" t="s">
        <v>165</v>
      </c>
      <c r="C147" s="58" t="str">
        <f>HYPERLINK("https://au.indeed.com/viewjob?from=iaBackPress&amp;jk=0135effafd949ae0&amp;vjs=3","Trade Qualified Sales Engineer / Mechanical Engineer / Fitter")</f>
        <v>Trade Qualified Sales Engineer / Mechanical Engineer / Fitter</v>
      </c>
      <c r="D147" s="45" t="s">
        <v>762</v>
      </c>
      <c r="E147" s="54" t="s">
        <v>866</v>
      </c>
      <c r="F147" s="47">
        <v>44202.361481481479</v>
      </c>
      <c r="G147" s="56" t="s">
        <v>164</v>
      </c>
    </row>
    <row r="148" spans="1:7" ht="14.25">
      <c r="A148" s="45"/>
      <c r="B148" s="45" t="s">
        <v>162</v>
      </c>
      <c r="C148" s="58" t="str">
        <f>HYPERLINK("https://au.indeed.com/viewjob?from=iaBackPress&amp;jk=b6f7efaf7e94544a&amp;vjs=3","Technical | Design Engineer | Structural Engineer")</f>
        <v>Technical | Design Engineer | Structural Engineer</v>
      </c>
      <c r="D148" s="45" t="s">
        <v>765</v>
      </c>
      <c r="E148" s="54" t="s">
        <v>866</v>
      </c>
      <c r="F148" s="47">
        <v>44202.363275462965</v>
      </c>
      <c r="G148" s="56" t="s">
        <v>164</v>
      </c>
    </row>
    <row r="149" spans="1:7" ht="14.25">
      <c r="A149" s="45"/>
      <c r="B149" s="45" t="s">
        <v>162</v>
      </c>
      <c r="C149" s="58" t="str">
        <f>HYPERLINK("https://au.indeed.com/viewjob?from=iaBackPress&amp;jk=627c606995cd76ec&amp;vjs=3","FPGA Design Engineer")</f>
        <v>FPGA Design Engineer</v>
      </c>
      <c r="D149" s="45" t="s">
        <v>767</v>
      </c>
      <c r="E149" s="54" t="s">
        <v>866</v>
      </c>
      <c r="F149" s="47">
        <v>44202.364999999998</v>
      </c>
      <c r="G149" s="56" t="s">
        <v>164</v>
      </c>
    </row>
    <row r="150" spans="1:7" ht="14.25">
      <c r="A150" s="45"/>
      <c r="B150" s="45" t="s">
        <v>162</v>
      </c>
      <c r="C150" s="58" t="str">
        <f>HYPERLINK("https://au.indeed.com/viewjob?from=iaBackPress&amp;jk=0b67319f39946614&amp;vjs=3","Civil Design Engineer")</f>
        <v>Civil Design Engineer</v>
      </c>
      <c r="D150" s="45" t="s">
        <v>890</v>
      </c>
      <c r="E150" s="54">
        <v>1609883178150</v>
      </c>
      <c r="F150" s="47">
        <v>44202.365486111114</v>
      </c>
      <c r="G150" s="56" t="s">
        <v>164</v>
      </c>
    </row>
    <row r="151" spans="1:7" ht="14.25">
      <c r="A151" s="45"/>
      <c r="B151" s="45" t="s">
        <v>186</v>
      </c>
      <c r="C151" s="58" t="str">
        <f>HYPERLINK("https://au.indeed.com/viewjob?from=iaBackPress&amp;jk=10fc1007cd0a24d5&amp;vjs=3","Software Development Engineer in Test II (Checkout Team)")</f>
        <v>Software Development Engineer in Test II (Checkout Team)</v>
      </c>
      <c r="D151" s="45" t="s">
        <v>770</v>
      </c>
      <c r="E151" s="54" t="s">
        <v>866</v>
      </c>
      <c r="F151" s="47">
        <v>44202.365972222222</v>
      </c>
      <c r="G151" s="56" t="s">
        <v>164</v>
      </c>
    </row>
    <row r="152" spans="1:7" ht="14.25">
      <c r="A152" s="45"/>
      <c r="B152" s="45" t="s">
        <v>167</v>
      </c>
      <c r="C152" s="58" t="str">
        <f>HYPERLINK("https://au.indeed.com/viewjob?from=iaBackPress&amp;jk=454b1eae25ddd2bf&amp;vjs=3","Senior Network &amp; Infrastructure Engineer")</f>
        <v>Senior Network &amp; Infrastructure Engineer</v>
      </c>
      <c r="D152" s="45" t="s">
        <v>773</v>
      </c>
      <c r="E152" s="54" t="s">
        <v>866</v>
      </c>
      <c r="F152" s="47">
        <v>44202.366759259261</v>
      </c>
      <c r="G152" s="56" t="s">
        <v>164</v>
      </c>
    </row>
    <row r="153" spans="1:7" ht="14.25">
      <c r="A153" s="45"/>
      <c r="B153" s="45" t="s">
        <v>192</v>
      </c>
      <c r="C153" s="58" t="str">
        <f>HYPERLINK("https://au.indeed.com/viewjob?from=iaBackPress&amp;jk=68c5d8270bd11ecf&amp;vjs=3","Senior Biomedical Production Engineer")</f>
        <v>Senior Biomedical Production Engineer</v>
      </c>
      <c r="D153" s="45" t="s">
        <v>894</v>
      </c>
      <c r="E153" s="54">
        <v>1609883343016</v>
      </c>
      <c r="F153" s="47">
        <v>44202.367395833331</v>
      </c>
      <c r="G153" s="56" t="s">
        <v>164</v>
      </c>
    </row>
    <row r="154" spans="1:7" ht="14.25">
      <c r="A154" s="45"/>
      <c r="B154" s="45" t="s">
        <v>165</v>
      </c>
      <c r="C154" s="58" t="str">
        <f>HYPERLINK("https://au.indeed.com/viewjob?from=iaBackPress&amp;jk=1c74da2574ce3245&amp;vjs=3","#EANF#")</f>
        <v>#EANF#</v>
      </c>
      <c r="D154" s="45" t="s">
        <v>900</v>
      </c>
      <c r="E154" s="54">
        <v>1610519105410</v>
      </c>
      <c r="F154" s="47">
        <v>44209.725752314815</v>
      </c>
      <c r="G154" s="56" t="s">
        <v>164</v>
      </c>
    </row>
    <row r="155" spans="1:7" ht="14.25">
      <c r="A155" s="45"/>
      <c r="B155" s="45" t="s">
        <v>165</v>
      </c>
      <c r="C155" s="58" t="str">
        <f t="shared" ref="C155:C156" si="4">HYPERLINK("https://au.indeed.com/viewjob?from=iaBackPress&amp;jk=bb09d781c7a9c1d7&amp;vjs=3","Senior Mechanical Engineer - Cowal")</f>
        <v>Senior Mechanical Engineer - Cowal</v>
      </c>
      <c r="D155" s="45" t="s">
        <v>775</v>
      </c>
      <c r="E155" s="54" t="s">
        <v>866</v>
      </c>
      <c r="F155" s="47">
        <v>44209.726319444446</v>
      </c>
      <c r="G155" s="56" t="s">
        <v>164</v>
      </c>
    </row>
    <row r="156" spans="1:7" ht="14.25">
      <c r="A156" s="45"/>
      <c r="B156" s="45" t="s">
        <v>165</v>
      </c>
      <c r="C156" s="58" t="str">
        <f t="shared" si="4"/>
        <v>Senior Mechanical Engineer - Cowal</v>
      </c>
      <c r="D156" s="45" t="s">
        <v>775</v>
      </c>
      <c r="E156" s="54" t="s">
        <v>866</v>
      </c>
      <c r="F156" s="47">
        <v>44209.729432870372</v>
      </c>
      <c r="G156" s="56" t="s">
        <v>164</v>
      </c>
    </row>
    <row r="157" spans="1:7" ht="14.25">
      <c r="A157" s="45"/>
      <c r="B157" s="45" t="s">
        <v>165</v>
      </c>
      <c r="C157" s="58" t="str">
        <f>HYPERLINK("https://au.indeed.com/viewjob?from=iaBackPress&amp;jk=0135effafd949ae0&amp;vjs=3","Trade Qualified Sales Engineer / Mechanical Engineer / Fitter")</f>
        <v>Trade Qualified Sales Engineer / Mechanical Engineer / Fitter</v>
      </c>
      <c r="D157" s="45" t="s">
        <v>762</v>
      </c>
      <c r="E157" s="54" t="s">
        <v>866</v>
      </c>
      <c r="F157" s="47">
        <v>44209.730636574073</v>
      </c>
      <c r="G157" s="56" t="s">
        <v>164</v>
      </c>
    </row>
    <row r="158" spans="1:7" ht="14.25">
      <c r="A158" s="45"/>
      <c r="B158" s="45" t="s">
        <v>165</v>
      </c>
      <c r="C158" s="58" t="str">
        <f>HYPERLINK("https://au.indeed.com/viewjob?from=iaBackPress&amp;jk=127f1a01edc04cc8&amp;vjs=3","#EANF#")</f>
        <v>#EANF#</v>
      </c>
      <c r="D158" s="45" t="s">
        <v>900</v>
      </c>
      <c r="E158" s="54">
        <v>1610519812206</v>
      </c>
      <c r="F158" s="47">
        <v>44209.733935185184</v>
      </c>
      <c r="G158" s="56" t="s">
        <v>164</v>
      </c>
    </row>
    <row r="159" spans="1:7" ht="14.25">
      <c r="A159" s="45"/>
      <c r="B159" s="45" t="s">
        <v>249</v>
      </c>
      <c r="C159" s="58" t="str">
        <f>HYPERLINK("https://au.indeed.com/viewjob?from=iaBackPress&amp;jk=a09a55de8a804d66&amp;vjs=3","Lead Control System Engineer")</f>
        <v>Lead Control System Engineer</v>
      </c>
      <c r="D159" s="45" t="s">
        <v>778</v>
      </c>
      <c r="E159" s="54" t="s">
        <v>866</v>
      </c>
      <c r="F159" s="47">
        <v>44209.73537037037</v>
      </c>
      <c r="G159" s="56" t="s">
        <v>237</v>
      </c>
    </row>
    <row r="160" spans="1:7" ht="14.25">
      <c r="A160" s="45"/>
      <c r="B160" s="45" t="s">
        <v>165</v>
      </c>
      <c r="C160" s="58" t="str">
        <f>HYPERLINK("https://au.indeed.com/viewjob?from=iaBackPress&amp;jk=127f1a01edc04cc8&amp;vjs=3","#EANF#")</f>
        <v>#EANF#</v>
      </c>
      <c r="D160" s="45" t="s">
        <v>900</v>
      </c>
      <c r="E160" s="54">
        <v>1610519958888</v>
      </c>
      <c r="F160" s="47">
        <v>44209.735636574071</v>
      </c>
      <c r="G160" s="56" t="s">
        <v>164</v>
      </c>
    </row>
    <row r="161" spans="1:7" ht="14.25">
      <c r="A161" s="45"/>
      <c r="B161" s="45" t="s">
        <v>165</v>
      </c>
      <c r="C161" s="58" t="str">
        <f>HYPERLINK("https://au.indeed.com/viewjob?from=iaBackPress&amp;jk=0135effafd949ae0&amp;vjs=3","Trade Qualified Sales Engineer / Mechanical Engineer / Fitter")</f>
        <v>Trade Qualified Sales Engineer / Mechanical Engineer / Fitter</v>
      </c>
      <c r="D161" s="45" t="s">
        <v>762</v>
      </c>
      <c r="E161" s="54" t="s">
        <v>866</v>
      </c>
      <c r="F161" s="47">
        <v>44209.736886574072</v>
      </c>
      <c r="G161" s="56" t="s">
        <v>164</v>
      </c>
    </row>
    <row r="162" spans="1:7" ht="14.25">
      <c r="A162" s="45"/>
      <c r="B162" s="45" t="s">
        <v>249</v>
      </c>
      <c r="C162" s="58" t="str">
        <f>HYPERLINK("https://au.indeed.com/viewjob?from=iaBackPress&amp;jk=dcdaa220df4a1fde&amp;vjs=3","Senior Mission Control Engineer - Security")</f>
        <v>Senior Mission Control Engineer - Security</v>
      </c>
      <c r="D162" s="45" t="s">
        <v>781</v>
      </c>
      <c r="E162" s="54" t="s">
        <v>866</v>
      </c>
      <c r="F162" s="47">
        <v>44209.737546296295</v>
      </c>
      <c r="G162" s="56" t="s">
        <v>237</v>
      </c>
    </row>
    <row r="163" spans="1:7" ht="14.25">
      <c r="A163" s="45"/>
      <c r="B163" s="45" t="s">
        <v>162</v>
      </c>
      <c r="C163" s="58" t="str">
        <f>HYPERLINK("https://au.indeed.com/viewjob?from=iaBackPress&amp;jk=e56c6b87b1452a2e&amp;vjs=3","Product Design Engineer - Maker Industry")</f>
        <v>Product Design Engineer - Maker Industry</v>
      </c>
      <c r="D163" s="45" t="s">
        <v>784</v>
      </c>
      <c r="E163" s="54" t="s">
        <v>866</v>
      </c>
      <c r="F163" s="47">
        <v>44209.739085648151</v>
      </c>
      <c r="G163" s="56" t="s">
        <v>164</v>
      </c>
    </row>
    <row r="164" spans="1:7" ht="14.25">
      <c r="A164" s="45"/>
      <c r="B164" s="45" t="s">
        <v>676</v>
      </c>
      <c r="C164" s="58" t="str">
        <f>HYPERLINK("https://au.indeed.com/viewjob?from=iaBackPress&amp;jk=a09a55de8a804d66&amp;vjs=3","Lead Control System Engineer")</f>
        <v>Lead Control System Engineer</v>
      </c>
      <c r="D164" s="45" t="s">
        <v>778</v>
      </c>
      <c r="E164" s="54" t="s">
        <v>866</v>
      </c>
      <c r="F164" s="47">
        <v>44209.739340277774</v>
      </c>
      <c r="G164" s="56" t="s">
        <v>237</v>
      </c>
    </row>
    <row r="165" spans="1:7" ht="14.25">
      <c r="A165" s="45"/>
      <c r="B165" s="45" t="s">
        <v>162</v>
      </c>
      <c r="C165" s="58" t="str">
        <f>HYPERLINK("https://au.indeed.com/viewjob?from=iaBackPress&amp;jk=2a9998a0e61e5a15&amp;vjs=3","Product design and mechatronics engineer")</f>
        <v>Product design and mechatronics engineer</v>
      </c>
      <c r="D165" s="45" t="s">
        <v>787</v>
      </c>
      <c r="E165" s="54" t="s">
        <v>866</v>
      </c>
      <c r="F165" s="47">
        <v>44209.73946759259</v>
      </c>
      <c r="G165" s="56" t="s">
        <v>164</v>
      </c>
    </row>
    <row r="166" spans="1:7" ht="14.25">
      <c r="A166" s="45"/>
      <c r="B166" s="45" t="s">
        <v>789</v>
      </c>
      <c r="C166" s="58" t="str">
        <f>HYPERLINK("https://au.indeed.com/viewjob?from=iaBackPress&amp;jk=a09a55de8a804d66&amp;vjs=3","Lead Control System Engineer")</f>
        <v>Lead Control System Engineer</v>
      </c>
      <c r="D166" s="45" t="s">
        <v>778</v>
      </c>
      <c r="E166" s="54" t="s">
        <v>866</v>
      </c>
      <c r="F166" s="47">
        <v>44209.739733796298</v>
      </c>
      <c r="G166" s="56" t="s">
        <v>237</v>
      </c>
    </row>
    <row r="167" spans="1:7" ht="14.25">
      <c r="A167" s="45"/>
      <c r="B167" s="45" t="s">
        <v>789</v>
      </c>
      <c r="C167" s="58" t="str">
        <f>HYPERLINK("https://au.indeed.com/viewjob?from=iaBackPress&amp;jk=dcdaa220df4a1fde&amp;vjs=3","Senior Mission Control Engineer - Security")</f>
        <v>Senior Mission Control Engineer - Security</v>
      </c>
      <c r="D167" s="45" t="s">
        <v>781</v>
      </c>
      <c r="E167" s="54" t="s">
        <v>866</v>
      </c>
      <c r="F167" s="47">
        <v>44209.74019675926</v>
      </c>
      <c r="G167" s="56" t="s">
        <v>237</v>
      </c>
    </row>
    <row r="168" spans="1:7" ht="14.25">
      <c r="A168" s="45"/>
      <c r="B168" s="45" t="s">
        <v>162</v>
      </c>
      <c r="C168" s="58" t="str">
        <f>HYPERLINK("https://au.indeed.com/viewjob?from=iaBackPress&amp;jk=e57f8e7b0f658efe&amp;vjs=3","Design Engineer")</f>
        <v>Design Engineer</v>
      </c>
      <c r="D168" s="45" t="s">
        <v>315</v>
      </c>
      <c r="E168" s="54">
        <v>1610520457592</v>
      </c>
      <c r="F168" s="47">
        <v>44209.741400462961</v>
      </c>
      <c r="G168" s="56" t="s">
        <v>164</v>
      </c>
    </row>
    <row r="169" spans="1:7" ht="14.25">
      <c r="A169" s="45"/>
      <c r="B169" s="45" t="s">
        <v>162</v>
      </c>
      <c r="C169" s="58" t="str">
        <f>HYPERLINK("https://au.indeed.com/viewjob?from=iaBackPress&amp;jk=2cb5efbd0841da53&amp;vjs=3","Senior Digital Design &amp; Verification Engineer")</f>
        <v>Senior Digital Design &amp; Verification Engineer</v>
      </c>
      <c r="D169" s="45" t="s">
        <v>901</v>
      </c>
      <c r="E169" s="54">
        <v>1610520801108</v>
      </c>
      <c r="F169" s="47">
        <v>44209.745381944442</v>
      </c>
      <c r="G169" s="56" t="s">
        <v>164</v>
      </c>
    </row>
    <row r="170" spans="1:7" ht="14.25">
      <c r="A170" s="45"/>
      <c r="B170" s="45" t="s">
        <v>255</v>
      </c>
      <c r="C170" s="58" t="str">
        <f>HYPERLINK("https://au.indeed.com/viewjob?from=iaBackPress&amp;jk=753949180b763992&amp;vjs=3","Lead Electrical Engineer")</f>
        <v>Lead Electrical Engineer</v>
      </c>
      <c r="D170" s="45" t="s">
        <v>778</v>
      </c>
      <c r="E170" s="54" t="s">
        <v>866</v>
      </c>
      <c r="F170" s="47">
        <v>44209.74658564815</v>
      </c>
      <c r="G170" s="56" t="s">
        <v>237</v>
      </c>
    </row>
    <row r="171" spans="1:7" ht="14.25">
      <c r="A171" s="45"/>
      <c r="B171" s="45" t="s">
        <v>162</v>
      </c>
      <c r="C171" s="58" t="str">
        <f>HYPERLINK("https://au.indeed.com/viewjob?from=iaBackPress&amp;jk=e56c6b87b1452a2e&amp;vjs=3","Product Design Engineer - Maker Industry")</f>
        <v>Product Design Engineer - Maker Industry</v>
      </c>
      <c r="D171" s="45" t="s">
        <v>784</v>
      </c>
      <c r="E171" s="54" t="s">
        <v>866</v>
      </c>
      <c r="F171" s="47">
        <v>44209.747071759259</v>
      </c>
      <c r="G171" s="56" t="s">
        <v>164</v>
      </c>
    </row>
    <row r="172" spans="1:7" ht="14.25">
      <c r="A172" s="45"/>
      <c r="B172" s="45" t="s">
        <v>162</v>
      </c>
      <c r="C172" s="58" t="str">
        <f>HYPERLINK("https://au.indeed.com/viewjob?from=iaBackPress&amp;jk=14fc9c85b6364c72&amp;vjs=3","Principal Digital Design &amp; Verification Engineer")</f>
        <v>Principal Digital Design &amp; Verification Engineer</v>
      </c>
      <c r="D172" s="45" t="s">
        <v>901</v>
      </c>
      <c r="E172" s="54">
        <v>1610520985542</v>
      </c>
      <c r="F172" s="47">
        <v>44209.747511574074</v>
      </c>
      <c r="G172" s="56" t="s">
        <v>164</v>
      </c>
    </row>
    <row r="173" spans="1:7" ht="14.25">
      <c r="A173" s="45"/>
      <c r="B173" s="45" t="s">
        <v>223</v>
      </c>
      <c r="C173" s="58" t="str">
        <f>HYPERLINK("https://au.indeed.com/viewjob?from=iaBackPress&amp;jk=1c2fd986023c73aa&amp;vjs=3","We are unable to process the application for this job. Please contact the employer directly to apply.")</f>
        <v>We are unable to process the application for this job. Please contact the employer directly to apply.</v>
      </c>
      <c r="D173" s="45" t="s">
        <v>896</v>
      </c>
      <c r="E173" s="54">
        <v>1610521067802</v>
      </c>
      <c r="F173" s="47">
        <v>44209.748472222222</v>
      </c>
      <c r="G173" s="56" t="s">
        <v>237</v>
      </c>
    </row>
    <row r="174" spans="1:7" ht="14.25">
      <c r="A174" s="45"/>
      <c r="B174" s="45" t="s">
        <v>186</v>
      </c>
      <c r="C174" s="58" t="str">
        <f>HYPERLINK("https://au.indeed.com/viewjob?from=iaBackPress&amp;jk=10fc1007cd0a24d5&amp;vjs=3","Software Development Engineer in Test II (Checkout Team)")</f>
        <v>Software Development Engineer in Test II (Checkout Team)</v>
      </c>
      <c r="D174" s="45" t="s">
        <v>770</v>
      </c>
      <c r="E174" s="54" t="s">
        <v>866</v>
      </c>
      <c r="F174" s="47">
        <v>44209.749189814815</v>
      </c>
      <c r="G174" s="56" t="s">
        <v>164</v>
      </c>
    </row>
    <row r="175" spans="1:7" ht="14.25">
      <c r="A175" s="45"/>
      <c r="B175" s="45" t="s">
        <v>186</v>
      </c>
      <c r="C175" s="58" t="str">
        <f>HYPERLINK("https://au.indeed.com/viewjob?from=iaBackPress&amp;jk=10fe0a7b36ca203b&amp;vjs=3","Senior Software Engineer (Physics/Game Development)")</f>
        <v>Senior Software Engineer (Physics/Game Development)</v>
      </c>
      <c r="D175" s="45" t="s">
        <v>793</v>
      </c>
      <c r="E175" s="54" t="s">
        <v>866</v>
      </c>
      <c r="F175" s="47">
        <v>44209.749988425923</v>
      </c>
      <c r="G175" s="56" t="s">
        <v>164</v>
      </c>
    </row>
    <row r="176" spans="1:7" ht="14.25">
      <c r="A176" s="45"/>
      <c r="B176" s="45" t="s">
        <v>186</v>
      </c>
      <c r="C176" s="58" t="str">
        <f>HYPERLINK("https://au.indeed.com/viewjob?from=iaBackPress&amp;jk=c74255ab6c743f66&amp;vjs=3","Junior Software Engineer (Game Development, C++) Internship Program")</f>
        <v>Junior Software Engineer (Game Development, C++) Internship Program</v>
      </c>
      <c r="D176" s="45" t="s">
        <v>793</v>
      </c>
      <c r="E176" s="54" t="s">
        <v>866</v>
      </c>
      <c r="F176" s="47">
        <v>44209.750393518516</v>
      </c>
      <c r="G176" s="56" t="s">
        <v>164</v>
      </c>
    </row>
    <row r="177" spans="1:7" ht="14.25">
      <c r="A177" s="45"/>
      <c r="B177" s="45" t="s">
        <v>176</v>
      </c>
      <c r="C177" s="58" t="str">
        <f>HYPERLINK("https://au.indeed.com/viewjob?from=iaBackPress&amp;jk=81c17d6333edba20&amp;vjs=3","Structures Project Engineer")</f>
        <v>Structures Project Engineer</v>
      </c>
      <c r="D177" s="45" t="s">
        <v>902</v>
      </c>
      <c r="E177" s="54">
        <v>1610521290204</v>
      </c>
      <c r="F177" s="47">
        <v>44209.75104166667</v>
      </c>
      <c r="G177" s="56" t="s">
        <v>237</v>
      </c>
    </row>
    <row r="178" spans="1:7" ht="14.25">
      <c r="A178" s="45"/>
      <c r="B178" s="45" t="s">
        <v>186</v>
      </c>
      <c r="C178" s="58" t="str">
        <f>HYPERLINK("https://au.indeed.com/viewjob?from=iaBackPress&amp;jk=a3e1b0825317c814&amp;vjs=3","Junior Software Engineer (Game Development, C++) Internship Program")</f>
        <v>Junior Software Engineer (Game Development, C++) Internship Program</v>
      </c>
      <c r="D178" s="45" t="s">
        <v>796</v>
      </c>
      <c r="E178" s="54" t="s">
        <v>866</v>
      </c>
      <c r="F178" s="47">
        <v>44209.751967592594</v>
      </c>
      <c r="G178" s="56" t="s">
        <v>164</v>
      </c>
    </row>
    <row r="179" spans="1:7" ht="14.25">
      <c r="A179" s="45"/>
      <c r="B179" s="45" t="s">
        <v>167</v>
      </c>
      <c r="C179" s="58" t="str">
        <f>HYPERLINK("https://au.indeed.com/viewjob?from=iaBackPress&amp;jk=27eb682091b87495&amp;vjs=3","Intermediate to Senior Civil/Drainage Engineer - Infrastructure, Perth Based")</f>
        <v>Intermediate to Senior Civil/Drainage Engineer - Infrastructure, Perth Based</v>
      </c>
      <c r="D179" s="45" t="s">
        <v>281</v>
      </c>
      <c r="E179" s="54">
        <v>1610521785206</v>
      </c>
      <c r="F179" s="47">
        <v>44209.75677083333</v>
      </c>
      <c r="G179" s="56" t="s">
        <v>164</v>
      </c>
    </row>
    <row r="180" spans="1:7" ht="14.25">
      <c r="A180" s="45"/>
      <c r="B180" s="45" t="s">
        <v>176</v>
      </c>
      <c r="C180" s="58" t="str">
        <f>HYPERLINK("https://au.indeed.com/viewjob?from=iaBackPress&amp;jk=d500b869179ad9ca&amp;vjs=3","Project Engineer")</f>
        <v>Project Engineer</v>
      </c>
      <c r="D180" s="45" t="s">
        <v>201</v>
      </c>
      <c r="E180" s="54">
        <v>1610521796444</v>
      </c>
      <c r="F180" s="47">
        <v>44209.756898148145</v>
      </c>
      <c r="G180" s="56" t="s">
        <v>237</v>
      </c>
    </row>
    <row r="181" spans="1:7" ht="14.25">
      <c r="A181" s="45"/>
      <c r="B181" s="45" t="s">
        <v>176</v>
      </c>
      <c r="C181" s="58" t="str">
        <f>HYPERLINK("https://au.indeed.com/viewjob?from=iaBackPress&amp;jk=86171e9379b5899f&amp;vjs=3","Civil Project Engineer")</f>
        <v>Civil Project Engineer</v>
      </c>
      <c r="D181" s="45" t="s">
        <v>798</v>
      </c>
      <c r="E181" s="54" t="s">
        <v>866</v>
      </c>
      <c r="F181" s="47">
        <v>44209.75818287037</v>
      </c>
      <c r="G181" s="56" t="s">
        <v>237</v>
      </c>
    </row>
    <row r="182" spans="1:7" ht="14.25">
      <c r="A182" s="45"/>
      <c r="B182" s="45" t="s">
        <v>167</v>
      </c>
      <c r="C182" s="58" t="str">
        <f>HYPERLINK("https://au.indeed.com/viewjob?from=iaBackPress&amp;jk=e8d148374be4d92b&amp;vjs=3","Senior ML Infrastructure Engineer")</f>
        <v>Senior ML Infrastructure Engineer</v>
      </c>
      <c r="D182" s="45" t="s">
        <v>801</v>
      </c>
      <c r="E182" s="54" t="s">
        <v>866</v>
      </c>
      <c r="F182" s="47">
        <v>44209.759259259263</v>
      </c>
      <c r="G182" s="56" t="s">
        <v>164</v>
      </c>
    </row>
    <row r="183" spans="1:7" ht="14.25">
      <c r="A183" s="45"/>
      <c r="B183" s="45" t="s">
        <v>167</v>
      </c>
      <c r="C183" s="58" t="str">
        <f>HYPERLINK("https://au.indeed.com/viewjob?from=iaBackPress&amp;jk=454b1eae25ddd2bf&amp;vjs=3","Senior Network &amp; Infrastructure Engineer")</f>
        <v>Senior Network &amp; Infrastructure Engineer</v>
      </c>
      <c r="D183" s="45" t="s">
        <v>773</v>
      </c>
      <c r="E183" s="54" t="s">
        <v>866</v>
      </c>
      <c r="F183" s="47">
        <v>44209.760057870371</v>
      </c>
      <c r="G183" s="56" t="s">
        <v>164</v>
      </c>
    </row>
    <row r="184" spans="1:7" ht="14.25">
      <c r="A184" s="45"/>
      <c r="B184" s="45" t="s">
        <v>176</v>
      </c>
      <c r="C184" s="58" t="str">
        <f>HYPERLINK("https://au.indeed.com/viewjob?from=iaBackPress&amp;jk=b3dfdfb1ced36f3a&amp;vjs=3","Civil Project Engineers | QLD Main Roads projects")</f>
        <v>Civil Project Engineers | QLD Main Roads projects</v>
      </c>
      <c r="D184" s="45" t="s">
        <v>902</v>
      </c>
      <c r="E184" s="54">
        <v>1610522258762</v>
      </c>
      <c r="F184" s="47">
        <v>44209.762245370373</v>
      </c>
      <c r="G184" s="56" t="s">
        <v>237</v>
      </c>
    </row>
    <row r="185" spans="1:7" ht="14.25">
      <c r="A185" s="45"/>
      <c r="B185" s="45" t="s">
        <v>176</v>
      </c>
      <c r="C185" s="58" t="str">
        <f>HYPERLINK("https://au.indeed.com/viewjob?from=iaBackPress&amp;jk=1921c29486dec363&amp;vjs=3","Junior Project Engineer")</f>
        <v>Junior Project Engineer</v>
      </c>
      <c r="D185" s="45" t="s">
        <v>268</v>
      </c>
      <c r="E185" s="54" t="s">
        <v>866</v>
      </c>
      <c r="F185" s="47">
        <v>44209.767627314817</v>
      </c>
      <c r="G185" s="56" t="s">
        <v>237</v>
      </c>
    </row>
    <row r="186" spans="1:7" ht="14.25">
      <c r="A186" s="45"/>
      <c r="B186" s="45" t="s">
        <v>176</v>
      </c>
      <c r="C186" s="58" t="str">
        <f>HYPERLINK("https://au.indeed.com/viewjob?from=iaBackPress&amp;jk=56d66f468497c514&amp;vjs=3","Project Engineer")</f>
        <v>Project Engineer</v>
      </c>
      <c r="D186" s="45" t="s">
        <v>805</v>
      </c>
      <c r="E186" s="54" t="s">
        <v>866</v>
      </c>
      <c r="F186" s="47">
        <v>44209.76898148148</v>
      </c>
      <c r="G186" s="56" t="s">
        <v>164</v>
      </c>
    </row>
    <row r="187" spans="1:7" ht="14.25">
      <c r="A187" s="45"/>
      <c r="B187" s="45" t="s">
        <v>176</v>
      </c>
      <c r="C187" s="58" t="str">
        <f>HYPERLINK("https://au.indeed.com/viewjob?from=iaBackPress&amp;jk=a9639e9bc2ab6fd4&amp;vjs=3","Civil Project Engineers - Road Projects - GenQLD")</f>
        <v>Civil Project Engineers - Road Projects - GenQLD</v>
      </c>
      <c r="D187" s="45" t="s">
        <v>286</v>
      </c>
      <c r="E187" s="54">
        <v>1610523091708</v>
      </c>
      <c r="F187" s="47">
        <v>44209.771886574075</v>
      </c>
      <c r="G187" s="56" t="s">
        <v>237</v>
      </c>
    </row>
    <row r="188" spans="1:7" ht="14.25">
      <c r="A188" s="45"/>
      <c r="B188" s="45" t="s">
        <v>176</v>
      </c>
      <c r="C188" s="58" t="str">
        <f>HYPERLINK("https://au.indeed.com/viewjob?from=iaBackPress&amp;jk=29f65e39b9473cab&amp;vjs=3","Project Engineer")</f>
        <v>Project Engineer</v>
      </c>
      <c r="D188" s="45" t="s">
        <v>808</v>
      </c>
      <c r="E188" s="54" t="s">
        <v>866</v>
      </c>
      <c r="F188" s="47">
        <v>44209.772719907407</v>
      </c>
      <c r="G188" s="56" t="s">
        <v>164</v>
      </c>
    </row>
    <row r="189" spans="1:7" ht="14.25">
      <c r="A189" s="45"/>
      <c r="B189" s="45" t="s">
        <v>176</v>
      </c>
      <c r="C189" s="58" t="str">
        <f>HYPERLINK("https://au.indeed.com/viewjob?from=iaBackPress&amp;jk=86171e9379b5899f&amp;vjs=3","Civil Project Engineer")</f>
        <v>Civil Project Engineer</v>
      </c>
      <c r="D189" s="45" t="s">
        <v>798</v>
      </c>
      <c r="E189" s="54" t="s">
        <v>866</v>
      </c>
      <c r="F189" s="47">
        <v>44209.7731712963</v>
      </c>
      <c r="G189" s="56" t="s">
        <v>237</v>
      </c>
    </row>
    <row r="190" spans="1:7" ht="14.25">
      <c r="A190" s="45"/>
      <c r="B190" s="45" t="s">
        <v>176</v>
      </c>
      <c r="C190" s="58" t="str">
        <f>HYPERLINK("https://au.indeed.com/viewjob?from=iaBackPress&amp;jk=71b7f392510c08eb&amp;vjs=3","Project Sales Engineer")</f>
        <v>Project Sales Engineer</v>
      </c>
      <c r="D190" s="45" t="s">
        <v>812</v>
      </c>
      <c r="E190" s="54" t="s">
        <v>866</v>
      </c>
      <c r="F190" s="47">
        <v>44209.773576388892</v>
      </c>
      <c r="G190" s="56" t="s">
        <v>164</v>
      </c>
    </row>
    <row r="191" spans="1:7" ht="14.25">
      <c r="A191" s="45"/>
      <c r="B191" s="45" t="s">
        <v>235</v>
      </c>
      <c r="C191" s="58" t="str">
        <f>HYPERLINK("https://au.indeed.com/viewjob?from=iaBackPress&amp;jk=641709264d1d36fa&amp;vjs=3","Rail Vehicle Electrical and Electronic Systems Engineer")</f>
        <v>Rail Vehicle Electrical and Electronic Systems Engineer</v>
      </c>
      <c r="D191" s="45" t="s">
        <v>814</v>
      </c>
      <c r="E191" s="54" t="s">
        <v>866</v>
      </c>
      <c r="F191" s="47">
        <v>44209.776666666665</v>
      </c>
      <c r="G191" s="56" t="s">
        <v>237</v>
      </c>
    </row>
    <row r="192" spans="1:7" ht="14.25">
      <c r="A192" s="45"/>
      <c r="B192" s="45" t="s">
        <v>235</v>
      </c>
      <c r="C192" s="58" t="str">
        <f>HYPERLINK("https://au.indeed.com/viewjob?from=iaBackPress&amp;jk=96b4af2c5628004b&amp;vjs=3","Hardware / Electronics Engineer (Australia)")</f>
        <v>Hardware / Electronics Engineer (Australia)</v>
      </c>
      <c r="D192" s="45" t="s">
        <v>815</v>
      </c>
      <c r="E192" s="54" t="s">
        <v>866</v>
      </c>
      <c r="F192" s="47">
        <v>44209.777291666665</v>
      </c>
      <c r="G192" s="56" t="s">
        <v>237</v>
      </c>
    </row>
    <row r="193" spans="1:7" ht="14.25">
      <c r="A193" s="45"/>
      <c r="B193" s="45" t="s">
        <v>235</v>
      </c>
      <c r="C193" s="58" t="str">
        <f>HYPERLINK("https://au.indeed.com/viewjob?from=iaBackPress&amp;jk=0bfa45938975e160&amp;vjs=3","Electronics Engineer")</f>
        <v>Electronics Engineer</v>
      </c>
      <c r="D193" s="45" t="s">
        <v>903</v>
      </c>
      <c r="E193" s="54">
        <v>1610523614434</v>
      </c>
      <c r="F193" s="47">
        <v>44209.777939814812</v>
      </c>
      <c r="G193" s="56" t="s">
        <v>237</v>
      </c>
    </row>
    <row r="194" spans="1:7" ht="14.25">
      <c r="A194" s="45"/>
      <c r="B194" s="45" t="s">
        <v>235</v>
      </c>
      <c r="C194" s="58" t="str">
        <f>HYPERLINK("https://au.indeed.com/viewjob?from=iaBackPress&amp;jk=4c867de2bcce6a36&amp;vjs=3","871 - ELECTRICAL - ELECTRONICS ENGINEER - DESIGN")</f>
        <v>871 - ELECTRICAL - ELECTRONICS ENGINEER - DESIGN</v>
      </c>
      <c r="D194" s="45" t="s">
        <v>817</v>
      </c>
      <c r="E194" s="54" t="s">
        <v>866</v>
      </c>
      <c r="F194" s="47">
        <v>44209.778969907406</v>
      </c>
      <c r="G194" s="56" t="s">
        <v>237</v>
      </c>
    </row>
    <row r="195" spans="1:7" ht="14.25">
      <c r="A195" s="45"/>
      <c r="B195" s="45" t="s">
        <v>235</v>
      </c>
      <c r="C195" s="58" t="str">
        <f>HYPERLINK("https://au.indeed.com/viewjob?from=iaBackPress&amp;jk=0f6cd30d36d7c683&amp;vjs=3","Rolling Stock Electronics Engineer")</f>
        <v>Rolling Stock Electronics Engineer</v>
      </c>
      <c r="D195" s="45" t="s">
        <v>819</v>
      </c>
      <c r="E195" s="54" t="s">
        <v>866</v>
      </c>
      <c r="F195" s="47">
        <v>44209.779652777775</v>
      </c>
      <c r="G195" s="56" t="s">
        <v>237</v>
      </c>
    </row>
    <row r="196" spans="1:7" ht="14.25">
      <c r="A196" s="45"/>
      <c r="B196" s="45" t="s">
        <v>176</v>
      </c>
      <c r="C196" s="58" t="str">
        <f>HYPERLINK("https://au.indeed.com/viewjob?from=iaBackPress&amp;jk=7fe85ba740727254&amp;vjs=3","Project Support Engineer")</f>
        <v>Project Support Engineer</v>
      </c>
      <c r="D196" s="45" t="s">
        <v>323</v>
      </c>
      <c r="E196" s="54">
        <v>1610523828426</v>
      </c>
      <c r="F196" s="47">
        <v>44209.780416666668</v>
      </c>
      <c r="G196" s="56" t="s">
        <v>164</v>
      </c>
    </row>
    <row r="197" spans="1:7" ht="14.25">
      <c r="A197" s="45"/>
      <c r="B197" s="45" t="s">
        <v>301</v>
      </c>
      <c r="C197" s="58" t="str">
        <f>HYPERLINK("https://au.indeed.com/viewjob?from=iaBackPress&amp;jk=94116ba5a8ee4de0&amp;vjs=3","Graduate Engineer")</f>
        <v>Graduate Engineer</v>
      </c>
      <c r="D197" s="45" t="s">
        <v>904</v>
      </c>
      <c r="E197" s="54">
        <v>1610523857464</v>
      </c>
      <c r="F197" s="47">
        <v>44209.780752314815</v>
      </c>
      <c r="G197" s="56" t="s">
        <v>237</v>
      </c>
    </row>
    <row r="198" spans="1:7" ht="14.25">
      <c r="A198" s="45"/>
      <c r="B198" s="45" t="s">
        <v>301</v>
      </c>
      <c r="C198" s="58" t="str">
        <f>HYPERLINK("https://au.indeed.com/viewjob?from=iaBackPress&amp;jk=90b9969e9bb58be9&amp;vjs=3","Civil Engineer")</f>
        <v>Civil Engineer</v>
      </c>
      <c r="D198" s="45" t="s">
        <v>905</v>
      </c>
      <c r="E198" s="54">
        <v>1610523910598</v>
      </c>
      <c r="F198" s="47">
        <v>44209.781365740739</v>
      </c>
      <c r="G198" s="56" t="s">
        <v>237</v>
      </c>
    </row>
    <row r="199" spans="1:7" ht="14.25">
      <c r="A199" s="45"/>
      <c r="B199" s="45" t="s">
        <v>301</v>
      </c>
      <c r="C199" s="58" t="str">
        <f>HYPERLINK("https://au.indeed.com/viewjob?from=iaBackPress&amp;jk=bc43a3d9f9a76242&amp;vjs=3","Civil Project Engineer")</f>
        <v>Civil Project Engineer</v>
      </c>
      <c r="D199" s="45" t="s">
        <v>821</v>
      </c>
      <c r="E199" s="54" t="s">
        <v>866</v>
      </c>
      <c r="F199" s="47">
        <v>44209.781747685185</v>
      </c>
      <c r="G199" s="56" t="s">
        <v>237</v>
      </c>
    </row>
    <row r="200" spans="1:7" ht="14.25">
      <c r="A200" s="45"/>
      <c r="B200" s="45" t="s">
        <v>301</v>
      </c>
      <c r="C200" s="58" t="str">
        <f>HYPERLINK("https://au.indeed.com/viewjob?from=iaBackPress&amp;jk=680939c4cda2b07d&amp;vjs=3","Operations Manager /Process Engineer")</f>
        <v>Operations Manager /Process Engineer</v>
      </c>
      <c r="D200" s="45" t="s">
        <v>906</v>
      </c>
      <c r="E200" s="54">
        <v>1610523976802</v>
      </c>
      <c r="F200" s="47">
        <v>44209.782129629632</v>
      </c>
      <c r="G200" s="56" t="s">
        <v>237</v>
      </c>
    </row>
    <row r="201" spans="1:7" ht="14.25">
      <c r="A201" s="45"/>
      <c r="B201" s="45" t="s">
        <v>301</v>
      </c>
      <c r="C201" s="58" t="str">
        <f>HYPERLINK("https://au.indeed.com/viewjob?from=iaBackPress&amp;jk=c82515b27f9ad96a&amp;vjs=3","Test Engineer")</f>
        <v>Test Engineer</v>
      </c>
      <c r="D201" s="45" t="s">
        <v>823</v>
      </c>
      <c r="E201" s="54" t="s">
        <v>866</v>
      </c>
      <c r="F201" s="47">
        <v>44209.783449074072</v>
      </c>
      <c r="G201" s="56" t="s">
        <v>237</v>
      </c>
    </row>
    <row r="202" spans="1:7" ht="14.25">
      <c r="A202" s="45"/>
      <c r="B202" s="45" t="s">
        <v>301</v>
      </c>
      <c r="C202" s="58" t="str">
        <f>HYPERLINK("https://au.indeed.com/viewjob?from=iaBackPress&amp;jk=9493c3076506c2ff&amp;vjs=3","Junior Renewable Energy Engineer")</f>
        <v>Junior Renewable Energy Engineer</v>
      </c>
      <c r="D202" s="45" t="s">
        <v>907</v>
      </c>
      <c r="E202" s="54">
        <v>1610524134642</v>
      </c>
      <c r="F202" s="47">
        <v>44209.783958333333</v>
      </c>
      <c r="G202" s="56" t="s">
        <v>237</v>
      </c>
    </row>
    <row r="203" spans="1:7" ht="14.25">
      <c r="A203" s="45"/>
      <c r="B203" s="45" t="s">
        <v>165</v>
      </c>
      <c r="C203" s="58" t="str">
        <f>HYPERLINK("https://au.indeed.com/viewjob?from=iaBackPress&amp;jk=bb09d781c7a9c1d7&amp;vjs=3","Senior Mechanical Engineer - Cowal")</f>
        <v>Senior Mechanical Engineer - Cowal</v>
      </c>
      <c r="D203" s="45" t="s">
        <v>775</v>
      </c>
      <c r="E203" s="54" t="s">
        <v>866</v>
      </c>
      <c r="F203" s="47">
        <v>44217.742280092592</v>
      </c>
      <c r="G203" s="56" t="s">
        <v>164</v>
      </c>
    </row>
    <row r="204" spans="1:7" ht="14.25">
      <c r="A204" s="45"/>
      <c r="B204" s="45" t="s">
        <v>165</v>
      </c>
      <c r="C204" s="58" t="str">
        <f>HYPERLINK("https://au.indeed.com/viewjob?from=iaBackPress&amp;jk=0135effafd949ae0&amp;vjs=3","Trade Qualified Sales Engineer / Mechanical Engineer / Fitter")</f>
        <v>Trade Qualified Sales Engineer / Mechanical Engineer / Fitter</v>
      </c>
      <c r="D204" s="45" t="s">
        <v>762</v>
      </c>
      <c r="E204" s="54" t="s">
        <v>866</v>
      </c>
      <c r="F204" s="47">
        <v>44217.742662037039</v>
      </c>
      <c r="G204" s="56" t="s">
        <v>164</v>
      </c>
    </row>
    <row r="205" spans="1:7" ht="14.25">
      <c r="A205" s="45"/>
      <c r="B205" s="45" t="s">
        <v>165</v>
      </c>
      <c r="C205" s="58" t="str">
        <f>HYPERLINK("https://au.indeed.com/viewjob?from=iaBackPress&amp;jk=e9f3562f583cfd2b&amp;vjs=3","Mechanical Engineer, Port Kembla NSW")</f>
        <v>Mechanical Engineer, Port Kembla NSW</v>
      </c>
      <c r="D205" s="45" t="s">
        <v>827</v>
      </c>
      <c r="E205" s="54" t="s">
        <v>866</v>
      </c>
      <c r="F205" s="47">
        <v>44217.744108796294</v>
      </c>
      <c r="G205" s="56" t="s">
        <v>164</v>
      </c>
    </row>
    <row r="206" spans="1:7" ht="14.25">
      <c r="A206" s="45"/>
      <c r="B206" s="45" t="s">
        <v>165</v>
      </c>
      <c r="C206" s="58" t="str">
        <f t="shared" ref="C206:C207" si="5">HYPERLINK("https://au.indeed.com/viewjob?from=iaBackPress&amp;jk=127f1a01edc04cc8&amp;vjs=3","#EANF#")</f>
        <v>#EANF#</v>
      </c>
      <c r="D206" s="45" t="s">
        <v>900</v>
      </c>
      <c r="E206" s="54">
        <v>1611211987334</v>
      </c>
      <c r="F206" s="47">
        <v>44217.745219907411</v>
      </c>
      <c r="G206" s="56" t="s">
        <v>164</v>
      </c>
    </row>
    <row r="207" spans="1:7" ht="14.25">
      <c r="A207" s="45"/>
      <c r="B207" s="45" t="s">
        <v>165</v>
      </c>
      <c r="C207" s="58" t="str">
        <f t="shared" si="5"/>
        <v>#EANF#</v>
      </c>
      <c r="D207" s="45" t="s">
        <v>900</v>
      </c>
      <c r="E207" s="54">
        <v>1611212189122</v>
      </c>
      <c r="F207" s="47">
        <v>44217.747557870367</v>
      </c>
      <c r="G207" s="56" t="s">
        <v>164</v>
      </c>
    </row>
    <row r="208" spans="1:7" ht="14.25">
      <c r="A208" s="45"/>
      <c r="B208" s="45" t="s">
        <v>162</v>
      </c>
      <c r="C208" s="58" t="str">
        <f>HYPERLINK("https://au.indeed.com/viewjob?from=iaBackPress&amp;jk=2a9998a0e61e5a15&amp;vjs=3","Product design and mechatronics engineer")</f>
        <v>Product design and mechatronics engineer</v>
      </c>
      <c r="D208" s="45" t="s">
        <v>830</v>
      </c>
      <c r="E208" s="54" t="s">
        <v>866</v>
      </c>
      <c r="F208" s="47">
        <v>44217.748761574076</v>
      </c>
      <c r="G208" s="56" t="s">
        <v>164</v>
      </c>
    </row>
    <row r="209" spans="1:7" ht="14.25">
      <c r="A209" s="45"/>
      <c r="B209" s="45" t="s">
        <v>249</v>
      </c>
      <c r="C209" s="58" t="str">
        <f t="shared" ref="C209:C210" si="6">HYPERLINK("https://au.indeed.com/viewjob?from=iaBackPress&amp;jk=dcdaa220df4a1fde&amp;vjs=3","Senior Mission Control Engineer - Security")</f>
        <v>Senior Mission Control Engineer - Security</v>
      </c>
      <c r="D209" s="45" t="s">
        <v>781</v>
      </c>
      <c r="E209" s="54" t="s">
        <v>866</v>
      </c>
      <c r="F209" s="47">
        <v>44217.750034722223</v>
      </c>
      <c r="G209" s="56" t="s">
        <v>237</v>
      </c>
    </row>
    <row r="210" spans="1:7" ht="14.25">
      <c r="A210" s="45"/>
      <c r="B210" s="45" t="s">
        <v>249</v>
      </c>
      <c r="C210" s="58" t="str">
        <f t="shared" si="6"/>
        <v>Senior Mission Control Engineer - Security</v>
      </c>
      <c r="D210" s="45" t="s">
        <v>781</v>
      </c>
      <c r="E210" s="54" t="s">
        <v>866</v>
      </c>
      <c r="F210" s="47">
        <v>44217.750358796293</v>
      </c>
      <c r="G210" s="56" t="s">
        <v>237</v>
      </c>
    </row>
    <row r="211" spans="1:7" ht="14.25">
      <c r="A211" s="45"/>
      <c r="B211" s="45" t="s">
        <v>165</v>
      </c>
      <c r="C211" s="58" t="str">
        <f>HYPERLINK("https://au.indeed.com/viewjob?from=iaBackPress&amp;jk=0135effafd949ae0&amp;vjs=3","Trade Qualified Sales Engineer / Mechanical Engineer / Fitter")</f>
        <v>Trade Qualified Sales Engineer / Mechanical Engineer / Fitter</v>
      </c>
      <c r="D211" s="45" t="s">
        <v>762</v>
      </c>
      <c r="E211" s="54" t="s">
        <v>866</v>
      </c>
      <c r="F211" s="47">
        <v>44221.638738425929</v>
      </c>
      <c r="G211" s="56" t="s">
        <v>164</v>
      </c>
    </row>
    <row r="212" spans="1:7" ht="14.25">
      <c r="A212" s="45"/>
      <c r="B212" s="45" t="s">
        <v>165</v>
      </c>
      <c r="C212" s="58" t="str">
        <f>HYPERLINK("https://au.indeed.com/viewjob?from=iaBackPress&amp;jk=e9f3562f583cfd2b&amp;vjs=3","Mechanical Engineer, Port Kembla NSW")</f>
        <v>Mechanical Engineer, Port Kembla NSW</v>
      </c>
      <c r="D212" s="45" t="s">
        <v>827</v>
      </c>
      <c r="E212" s="54" t="s">
        <v>866</v>
      </c>
      <c r="F212" s="47">
        <v>44221.639120370368</v>
      </c>
      <c r="G212" s="56" t="s">
        <v>164</v>
      </c>
    </row>
    <row r="213" spans="1:7" ht="14.25">
      <c r="A213" s="45"/>
      <c r="B213" s="45" t="s">
        <v>165</v>
      </c>
      <c r="C213" s="58" t="str">
        <f t="shared" ref="C213:C214" si="7">HYPERLINK("https://au.indeed.com/viewjob?from=iaBackPress&amp;jk=127f1a01edc04cc8&amp;vjs=3","#EANF#")</f>
        <v>#EANF#</v>
      </c>
      <c r="D213" s="45" t="s">
        <v>900</v>
      </c>
      <c r="E213" s="54">
        <v>1611548494600</v>
      </c>
      <c r="F213" s="47">
        <v>44221.639976851853</v>
      </c>
      <c r="G213" s="56" t="s">
        <v>164</v>
      </c>
    </row>
    <row r="214" spans="1:7" ht="14.25">
      <c r="A214" s="45"/>
      <c r="B214" s="45" t="s">
        <v>165</v>
      </c>
      <c r="C214" s="58" t="str">
        <f t="shared" si="7"/>
        <v>#EANF#</v>
      </c>
      <c r="D214" s="45" t="s">
        <v>900</v>
      </c>
      <c r="E214" s="54">
        <v>1611548583632</v>
      </c>
      <c r="F214" s="47">
        <v>44221.641006944446</v>
      </c>
      <c r="G214" s="56" t="s">
        <v>164</v>
      </c>
    </row>
    <row r="215" spans="1:7" ht="14.25">
      <c r="A215" s="45"/>
      <c r="B215" s="45" t="s">
        <v>162</v>
      </c>
      <c r="C215" s="58" t="str">
        <f>HYPERLINK("https://au.indeed.com/viewjob?from=iaBackPress&amp;jk=2a9998a0e61e5a15&amp;vjs=3","Product design and mechatronics engineer")</f>
        <v>Product design and mechatronics engineer</v>
      </c>
      <c r="D215" s="45" t="s">
        <v>830</v>
      </c>
      <c r="E215" s="54" t="s">
        <v>866</v>
      </c>
      <c r="F215" s="47">
        <v>44221.642013888886</v>
      </c>
      <c r="G215" s="56" t="s">
        <v>164</v>
      </c>
    </row>
    <row r="216" spans="1:7" ht="14.25">
      <c r="A216" s="45"/>
      <c r="B216" s="45" t="s">
        <v>162</v>
      </c>
      <c r="C216" s="58" t="str">
        <f>HYPERLINK("https://au.indeed.com/viewjob?from=iaBackPress&amp;jk=2cb5efbd0841da53&amp;vjs=3","Senior Digital Design &amp; Verification Engineer")</f>
        <v>Senior Digital Design &amp; Verification Engineer</v>
      </c>
      <c r="D216" s="45" t="s">
        <v>901</v>
      </c>
      <c r="E216" s="54">
        <v>1611548884112</v>
      </c>
      <c r="F216" s="47">
        <v>44221.644490740742</v>
      </c>
      <c r="G216" s="56" t="s">
        <v>164</v>
      </c>
    </row>
    <row r="217" spans="1:7" ht="14.25">
      <c r="A217" s="45"/>
      <c r="B217" s="45" t="s">
        <v>162</v>
      </c>
      <c r="C217" s="58" t="str">
        <f>HYPERLINK("https://au.indeed.com/viewjob?from=iaBackPress&amp;jk=14fc9c85b6364c72&amp;vjs=3","Principal Digital Design &amp; Verification Engineer")</f>
        <v>Principal Digital Design &amp; Verification Engineer</v>
      </c>
      <c r="D217" s="45" t="s">
        <v>901</v>
      </c>
      <c r="E217" s="54">
        <v>1611549007224</v>
      </c>
      <c r="F217" s="47">
        <v>44221.645914351851</v>
      </c>
      <c r="G217" s="56" t="s">
        <v>164</v>
      </c>
    </row>
    <row r="218" spans="1:7" ht="14.25">
      <c r="A218" s="45"/>
      <c r="B218" s="45" t="s">
        <v>186</v>
      </c>
      <c r="C218" s="58" t="str">
        <f>HYPERLINK("https://au.indeed.com/viewjob?from=iaBackPress&amp;jk=cfcc39a3380a0595&amp;vjs=3","Junior/Mid Software Engineer (Game Development, Unreal)")</f>
        <v>Junior/Mid Software Engineer (Game Development, Unreal)</v>
      </c>
      <c r="D218" s="45" t="s">
        <v>793</v>
      </c>
      <c r="E218" s="54" t="s">
        <v>866</v>
      </c>
      <c r="F218" s="47">
        <v>44221.646458333336</v>
      </c>
      <c r="G218" s="56" t="s">
        <v>164</v>
      </c>
    </row>
    <row r="219" spans="1:7" ht="14.25">
      <c r="A219" s="45"/>
      <c r="B219" s="45" t="s">
        <v>186</v>
      </c>
      <c r="C219" s="58" t="str">
        <f>HYPERLINK("https://au.indeed.com/viewjob?from=iaBackPress&amp;jk=10fc1007cd0a24d5&amp;vjs=3","Software Development Engineer in Test II (Checkout Team)")</f>
        <v>Software Development Engineer in Test II (Checkout Team)</v>
      </c>
      <c r="D219" s="45" t="s">
        <v>770</v>
      </c>
      <c r="E219" s="54" t="s">
        <v>866</v>
      </c>
      <c r="F219" s="47">
        <v>44221.646863425929</v>
      </c>
      <c r="G219" s="56" t="s">
        <v>164</v>
      </c>
    </row>
    <row r="220" spans="1:7" ht="14.25">
      <c r="A220" s="45"/>
      <c r="B220" s="45" t="s">
        <v>186</v>
      </c>
      <c r="C220" s="58" t="str">
        <f>HYPERLINK("https://au.indeed.com/viewjob?from=iaBackPress&amp;jk=acd431976056beef&amp;vjs=3","Junior/Mid Software Engineer (Online Game Development, Unreal)")</f>
        <v>Junior/Mid Software Engineer (Online Game Development, Unreal)</v>
      </c>
      <c r="D220" s="45" t="s">
        <v>796</v>
      </c>
      <c r="E220" s="54" t="s">
        <v>866</v>
      </c>
      <c r="F220" s="47">
        <v>44221.647743055553</v>
      </c>
      <c r="G220" s="56" t="s">
        <v>164</v>
      </c>
    </row>
    <row r="221" spans="1:7" ht="14.25">
      <c r="A221" s="45"/>
      <c r="B221" s="45" t="s">
        <v>186</v>
      </c>
      <c r="C221" s="58" t="str">
        <f>HYPERLINK("https://au.indeed.com/viewjob?from=iaBackPress&amp;jk=c74255ab6c743f66&amp;vjs=3","Junior Software Engineer (Game Development, C++) Internship Program")</f>
        <v>Junior Software Engineer (Game Development, C++) Internship Program</v>
      </c>
      <c r="D221" s="45" t="s">
        <v>793</v>
      </c>
      <c r="E221" s="54" t="s">
        <v>866</v>
      </c>
      <c r="F221" s="47">
        <v>44221.648333333331</v>
      </c>
      <c r="G221" s="56" t="s">
        <v>164</v>
      </c>
    </row>
    <row r="222" spans="1:7" ht="14.25">
      <c r="A222" s="45"/>
      <c r="B222" s="45" t="s">
        <v>186</v>
      </c>
      <c r="C222" s="58" t="str">
        <f>HYPERLINK("https://au.indeed.com/viewjob?from=iaBackPress&amp;jk=a3e1b0825317c814&amp;vjs=3","Junior Software Engineer (Game Development, C++) Internship Program")</f>
        <v>Junior Software Engineer (Game Development, C++) Internship Program</v>
      </c>
      <c r="D222" s="45" t="s">
        <v>796</v>
      </c>
      <c r="E222" s="54" t="s">
        <v>866</v>
      </c>
      <c r="F222" s="47">
        <v>44221.649155092593</v>
      </c>
      <c r="G222" s="56" t="s">
        <v>164</v>
      </c>
    </row>
    <row r="223" spans="1:7" ht="14.25">
      <c r="A223" s="45"/>
      <c r="B223" s="45" t="s">
        <v>167</v>
      </c>
      <c r="C223" s="58" t="str">
        <f>HYPERLINK("https://au.indeed.com/viewjob?from=iaBackPress&amp;jk=27eb682091b87495&amp;vjs=3","Intermediate to Senior Civil/Drainage Engineer - Infrastructure, Perth Based")</f>
        <v>Intermediate to Senior Civil/Drainage Engineer - Infrastructure, Perth Based</v>
      </c>
      <c r="D223" s="45" t="s">
        <v>281</v>
      </c>
      <c r="E223" s="54">
        <v>1611549560896</v>
      </c>
      <c r="F223" s="47">
        <v>44221.652326388888</v>
      </c>
      <c r="G223" s="56" t="s">
        <v>164</v>
      </c>
    </row>
    <row r="224" spans="1:7" ht="14.25">
      <c r="A224" s="45"/>
      <c r="B224" s="45" t="s">
        <v>167</v>
      </c>
      <c r="C224" s="58" t="str">
        <f>HYPERLINK("https://au.indeed.com/viewjob?from=iaBackPress&amp;jk=e8d148374be4d92b&amp;vjs=3","Senior ML Infrastructure Engineer")</f>
        <v>Senior ML Infrastructure Engineer</v>
      </c>
      <c r="D224" s="45" t="s">
        <v>801</v>
      </c>
      <c r="E224" s="54" t="s">
        <v>866</v>
      </c>
      <c r="F224" s="47">
        <v>44221.654687499999</v>
      </c>
      <c r="G224" s="56" t="s">
        <v>164</v>
      </c>
    </row>
    <row r="225" spans="1:7" ht="14.25">
      <c r="A225" s="45"/>
      <c r="B225" s="45" t="s">
        <v>176</v>
      </c>
      <c r="C225" s="58" t="str">
        <f>HYPERLINK("https://au.indeed.com/viewjob?from=iaBackPress&amp;jk=f85e10e79c4cb325&amp;vjs=3","SITE FOREMAN/PROJECT ENGINEER")</f>
        <v>SITE FOREMAN/PROJECT ENGINEER</v>
      </c>
      <c r="D225" s="45" t="s">
        <v>897</v>
      </c>
      <c r="E225" s="54">
        <v>1611550047752</v>
      </c>
      <c r="F225" s="47">
        <v>44221.657951388886</v>
      </c>
      <c r="G225" s="56" t="s">
        <v>164</v>
      </c>
    </row>
    <row r="226" spans="1:7" ht="14.25">
      <c r="A226" s="45"/>
      <c r="B226" s="45" t="s">
        <v>176</v>
      </c>
      <c r="C226" s="58" t="str">
        <f>HYPERLINK("https://au.indeed.com/viewjob?from=iaBackPress&amp;jk=56d66f468497c514&amp;vjs=3","Project Engineer")</f>
        <v>Project Engineer</v>
      </c>
      <c r="D226" s="45" t="s">
        <v>805</v>
      </c>
      <c r="E226" s="54" t="s">
        <v>866</v>
      </c>
      <c r="F226" s="47">
        <v>44221.659062500003</v>
      </c>
      <c r="G226" s="56" t="s">
        <v>164</v>
      </c>
    </row>
    <row r="227" spans="1:7" ht="14.25">
      <c r="A227" s="45"/>
      <c r="B227" s="45" t="s">
        <v>176</v>
      </c>
      <c r="C227" s="58" t="str">
        <f>HYPERLINK("https://au.indeed.com/viewjob?from=iaBackPress&amp;jk=29f65e39b9473cab&amp;vjs=3","Project Engineer")</f>
        <v>Project Engineer</v>
      </c>
      <c r="D227" s="45" t="s">
        <v>808</v>
      </c>
      <c r="E227" s="54" t="s">
        <v>866</v>
      </c>
      <c r="F227" s="47">
        <v>44221.66065972222</v>
      </c>
      <c r="G227" s="56" t="s">
        <v>164</v>
      </c>
    </row>
    <row r="228" spans="1:7" ht="14.25">
      <c r="A228" s="45"/>
      <c r="B228" s="45" t="s">
        <v>176</v>
      </c>
      <c r="C228" s="58" t="str">
        <f>HYPERLINK("https://au.indeed.com/viewjob?from=iaBackPress&amp;jk=71b7f392510c08eb&amp;vjs=3","Project Sales Engineer")</f>
        <v>Project Sales Engineer</v>
      </c>
      <c r="D228" s="45" t="s">
        <v>812</v>
      </c>
      <c r="E228" s="54" t="s">
        <v>866</v>
      </c>
      <c r="F228" s="47">
        <v>44221.661145833335</v>
      </c>
      <c r="G228" s="56" t="s">
        <v>164</v>
      </c>
    </row>
    <row r="229" spans="1:7" ht="14.25">
      <c r="A229" s="45"/>
      <c r="B229" s="45" t="s">
        <v>176</v>
      </c>
      <c r="C229" s="58" t="str">
        <f>HYPERLINK("https://au.indeed.com/viewjob?from=iaBackPress&amp;jk=506578fac862ef58&amp;vjs=3","Senior Project Engineer - (Northern NSW)")</f>
        <v>Senior Project Engineer - (Northern NSW)</v>
      </c>
      <c r="D229" s="45" t="s">
        <v>195</v>
      </c>
      <c r="E229" s="54">
        <v>1611550468292</v>
      </c>
      <c r="F229" s="47">
        <v>44221.662824074076</v>
      </c>
      <c r="G229" s="56" t="s">
        <v>164</v>
      </c>
    </row>
    <row r="230" spans="1:7" ht="14.25">
      <c r="A230" s="45"/>
      <c r="B230" s="45" t="s">
        <v>176</v>
      </c>
      <c r="C230" s="58" t="str">
        <f>HYPERLINK("https://au.indeed.com/viewjob?from=iaBackPress&amp;jk=4a0ce79e8b290f41&amp;vjs=3","Civil Project Engineer")</f>
        <v>Civil Project Engineer</v>
      </c>
      <c r="D230" s="45" t="s">
        <v>323</v>
      </c>
      <c r="E230" s="54">
        <v>1611550547980</v>
      </c>
      <c r="F230" s="47">
        <v>44221.66375</v>
      </c>
      <c r="G230" s="56" t="s">
        <v>164</v>
      </c>
    </row>
    <row r="231" spans="1:7" ht="14.25">
      <c r="A231" s="45"/>
      <c r="B231" s="45" t="s">
        <v>176</v>
      </c>
      <c r="C231" s="58" t="str">
        <f>HYPERLINK("https://au.indeed.com/viewjob?from=iaBackPress&amp;jk=53b728de5aabc5dd&amp;vjs=3","Project Engineer - civil")</f>
        <v>Project Engineer - civil</v>
      </c>
      <c r="D231" s="45" t="s">
        <v>178</v>
      </c>
      <c r="E231" s="54">
        <v>1611550867162</v>
      </c>
      <c r="F231" s="47">
        <v>44221.667442129627</v>
      </c>
      <c r="G231" s="56" t="s">
        <v>164</v>
      </c>
    </row>
    <row r="232" spans="1:7" ht="14.25">
      <c r="A232" s="45"/>
      <c r="B232" s="45" t="s">
        <v>176</v>
      </c>
      <c r="C232" s="58" t="str">
        <f>HYPERLINK("https://au.indeed.com/viewjob?from=iaBackPress&amp;jk=87960887c6a5bb0d&amp;vjs=3","Site / Project Engineer (concrete) - 3-5 yrs experience - Sydney")</f>
        <v>Site / Project Engineer (concrete) - 3-5 yrs experience - Sydney</v>
      </c>
      <c r="D232" s="45" t="s">
        <v>288</v>
      </c>
      <c r="E232" s="54">
        <v>1611550945728</v>
      </c>
      <c r="F232" s="47">
        <v>44221.668344907404</v>
      </c>
      <c r="G232" s="56" t="s">
        <v>164</v>
      </c>
    </row>
    <row r="233" spans="1:7" ht="14.25">
      <c r="A233" s="45"/>
      <c r="B233" s="45" t="s">
        <v>176</v>
      </c>
      <c r="C233" s="58" t="str">
        <f>HYPERLINK("https://au.indeed.com/viewjob?from=iaBackPress&amp;jk=ee6779addc0752d1&amp;vjs=3","Project Engineer - Roads / Structures")</f>
        <v>Project Engineer - Roads / Structures</v>
      </c>
      <c r="D233" s="45" t="s">
        <v>293</v>
      </c>
      <c r="E233" s="54">
        <v>1611551077862</v>
      </c>
      <c r="F233" s="47">
        <v>44221.669872685183</v>
      </c>
      <c r="G233" s="56" t="s">
        <v>164</v>
      </c>
    </row>
    <row r="234" spans="1:7" ht="14.25">
      <c r="A234" s="45"/>
      <c r="B234" s="45" t="s">
        <v>908</v>
      </c>
      <c r="C234" s="58" t="str">
        <f>HYPERLINK("https://au.indeed.com/viewjob?from=iaBackPress&amp;jk=f85e10e79c4cb325&amp;vjs=3","SITE FOREMAN/PROJECT ENGINEER")</f>
        <v>SITE FOREMAN/PROJECT ENGINEER</v>
      </c>
      <c r="D234" s="45" t="s">
        <v>897</v>
      </c>
      <c r="E234" s="54">
        <v>1611551694488</v>
      </c>
      <c r="F234" s="47">
        <v>44221.67701388889</v>
      </c>
      <c r="G234" s="56" t="s">
        <v>164</v>
      </c>
    </row>
    <row r="235" spans="1:7" ht="14.25">
      <c r="A235" s="45"/>
      <c r="B235" s="45" t="s">
        <v>908</v>
      </c>
      <c r="C235" s="58" t="str">
        <f>HYPERLINK("https://au.indeed.com/viewjob?from=iaBackPress&amp;jk=87960887c6a5bb0d&amp;vjs=3","Site / Project Engineer (concrete) - 3-5 yrs experience - Sydney")</f>
        <v>Site / Project Engineer (concrete) - 3-5 yrs experience - Sydney</v>
      </c>
      <c r="D235" s="45" t="s">
        <v>288</v>
      </c>
      <c r="E235" s="54">
        <v>1611551735406</v>
      </c>
      <c r="F235" s="47">
        <v>44221.677488425928</v>
      </c>
      <c r="G235" s="56" t="s">
        <v>164</v>
      </c>
    </row>
    <row r="236" spans="1:7" ht="14.25">
      <c r="A236" s="45"/>
      <c r="B236" s="45" t="s">
        <v>202</v>
      </c>
      <c r="C236" s="58" t="str">
        <f>HYPERLINK("https://au.indeed.com/viewjob?from=iaBackPress&amp;jk=2fa28558872f1306&amp;vjs=3","Lead Site Reliability Engineer")</f>
        <v>Lead Site Reliability Engineer</v>
      </c>
      <c r="D236" s="45" t="s">
        <v>898</v>
      </c>
      <c r="E236" s="54">
        <v>1611551834768</v>
      </c>
      <c r="F236" s="47">
        <v>44221.67863425926</v>
      </c>
      <c r="G236" s="56" t="s">
        <v>164</v>
      </c>
    </row>
    <row r="237" spans="1:7" ht="14.25">
      <c r="A237" s="45"/>
      <c r="B237" s="45" t="s">
        <v>202</v>
      </c>
      <c r="C237" s="58" t="str">
        <f>HYPERLINK("https://au.indeed.com/viewjob?from=iaBackPress&amp;jk=e01e3538682ff0c7&amp;vjs=3","Senior Site Reliability Engineer")</f>
        <v>Senior Site Reliability Engineer</v>
      </c>
      <c r="D237" s="45" t="s">
        <v>801</v>
      </c>
      <c r="E237" s="54" t="s">
        <v>866</v>
      </c>
      <c r="F237" s="47">
        <v>44221.679236111115</v>
      </c>
      <c r="G237" s="56" t="s">
        <v>164</v>
      </c>
    </row>
    <row r="238" spans="1:7" ht="14.25">
      <c r="A238" s="45"/>
      <c r="B238" s="45" t="s">
        <v>202</v>
      </c>
      <c r="C238" s="58" t="str">
        <f>HYPERLINK("https://au.indeed.com/viewjob?from=iaBackPress&amp;jk=b714c3cf10d9b664&amp;vjs=3","Senior Site Reliability Engineer")</f>
        <v>Senior Site Reliability Engineer</v>
      </c>
      <c r="D238" s="45" t="s">
        <v>846</v>
      </c>
      <c r="E238" s="54" t="s">
        <v>866</v>
      </c>
      <c r="F238" s="47">
        <v>44221.679606481484</v>
      </c>
      <c r="G238" s="56" t="s">
        <v>164</v>
      </c>
    </row>
    <row r="239" spans="1:7" ht="14.25">
      <c r="A239" s="45"/>
      <c r="B239" s="45" t="s">
        <v>202</v>
      </c>
      <c r="C239" s="58" t="str">
        <f>HYPERLINK("https://au.indeed.com/viewjob?from=iaBackPress&amp;jk=c7ba20acdf334e21&amp;vjs=3","Site Reliability Engineer")</f>
        <v>Site Reliability Engineer</v>
      </c>
      <c r="D239" s="45" t="s">
        <v>847</v>
      </c>
      <c r="E239" s="54" t="s">
        <v>866</v>
      </c>
      <c r="F239" s="47">
        <v>44221.683715277781</v>
      </c>
      <c r="G239" s="56" t="s">
        <v>164</v>
      </c>
    </row>
    <row r="240" spans="1:7" ht="14.25">
      <c r="A240" s="45"/>
      <c r="B240" s="45" t="s">
        <v>209</v>
      </c>
      <c r="C240" s="58" t="str">
        <f>HYPERLINK("https://au.indeed.com/viewjob?from=iaBackPress&amp;jk=52148f0624c0d5d6&amp;vjs=3","Sr. Implementation Services Engineer, II")</f>
        <v>Sr. Implementation Services Engineer, II</v>
      </c>
      <c r="D240" s="45" t="s">
        <v>848</v>
      </c>
      <c r="E240" s="54" t="s">
        <v>866</v>
      </c>
      <c r="F240" s="47">
        <v>44221.689050925925</v>
      </c>
      <c r="G240" s="56" t="s">
        <v>164</v>
      </c>
    </row>
    <row r="241" spans="1:7" ht="14.25">
      <c r="A241" s="45"/>
      <c r="B241" s="45" t="s">
        <v>209</v>
      </c>
      <c r="C241" s="58" t="str">
        <f>HYPERLINK("https://au.indeed.com/viewjob?from=iaBackPress&amp;jk=cfc2cfecd70a5142&amp;vjs=3","Fire Services Engineer")</f>
        <v>Fire Services Engineer</v>
      </c>
      <c r="D241" s="45" t="s">
        <v>212</v>
      </c>
      <c r="E241" s="54">
        <v>1611552774604</v>
      </c>
      <c r="F241" s="47">
        <v>44221.689513888887</v>
      </c>
      <c r="G241" s="56" t="s">
        <v>164</v>
      </c>
    </row>
    <row r="242" spans="1:7" ht="14.25">
      <c r="A242" s="45"/>
      <c r="B242" s="45" t="s">
        <v>209</v>
      </c>
      <c r="C242" s="58" t="str">
        <f>HYPERLINK("https://au.indeed.com/viewjob?from=iaBackPress&amp;jk=9ff238df3b485889&amp;vjs=3","Service Quality Engineer")</f>
        <v>Service Quality Engineer</v>
      </c>
      <c r="D242" s="45" t="s">
        <v>849</v>
      </c>
      <c r="E242" s="54" t="s">
        <v>866</v>
      </c>
      <c r="F242" s="47">
        <v>44221.690104166664</v>
      </c>
      <c r="G242" s="56" t="s">
        <v>164</v>
      </c>
    </row>
    <row r="243" spans="1:7" ht="14.25">
      <c r="A243" s="45"/>
      <c r="B243" s="45" t="s">
        <v>209</v>
      </c>
      <c r="C243" s="58" t="str">
        <f>HYPERLINK("https://au.indeed.com/viewjob?from=iaBackPress&amp;jk=196fbcc309bbe829&amp;vjs=3","Field Service Engineer - Managed Services (Sydney)")</f>
        <v>Field Service Engineer - Managed Services (Sydney)</v>
      </c>
      <c r="D243" s="45" t="s">
        <v>851</v>
      </c>
      <c r="E243" s="54" t="s">
        <v>866</v>
      </c>
      <c r="F243" s="47">
        <v>44221.692847222221</v>
      </c>
      <c r="G243" s="56" t="s">
        <v>164</v>
      </c>
    </row>
    <row r="244" spans="1:7" ht="14.25">
      <c r="A244" s="45"/>
      <c r="B244" s="45" t="s">
        <v>209</v>
      </c>
      <c r="C244" s="58" t="str">
        <f>HYPERLINK("https://au.indeed.com/viewjob?from=iaBackPress&amp;jk=bfc72b3a5de6c288&amp;vjs=3","Onsite Level 2 Service Desk Engineer")</f>
        <v>Onsite Level 2 Service Desk Engineer</v>
      </c>
      <c r="D244" s="45" t="s">
        <v>909</v>
      </c>
      <c r="E244" s="54">
        <v>1611553447388</v>
      </c>
      <c r="F244" s="47">
        <v>44221.69730324074</v>
      </c>
      <c r="G244" s="56" t="s">
        <v>164</v>
      </c>
    </row>
    <row r="245" spans="1:7" ht="14.25">
      <c r="A245" s="45"/>
      <c r="B245" s="45" t="s">
        <v>209</v>
      </c>
      <c r="C245" s="58" t="str">
        <f>HYPERLINK("https://au.indeed.com/viewjob?from=iaBackPress&amp;jk=aba7c6215939278b&amp;vjs=3","159 - CNC SERVICE ENGINEER - CNC MACHINIST")</f>
        <v>159 - CNC SERVICE ENGINEER - CNC MACHINIST</v>
      </c>
      <c r="D245" s="45" t="s">
        <v>817</v>
      </c>
      <c r="E245" s="54" t="s">
        <v>866</v>
      </c>
      <c r="F245" s="47">
        <v>44221.698831018519</v>
      </c>
      <c r="G245" s="56" t="s">
        <v>164</v>
      </c>
    </row>
    <row r="246" spans="1:7" ht="14.25">
      <c r="A246" s="45"/>
      <c r="B246" s="45" t="s">
        <v>213</v>
      </c>
      <c r="C246" s="58" t="str">
        <f>HYPERLINK("https://au.indeed.com/viewjob?from=iaBackPress&amp;jk=2fa28558872f1306&amp;vjs=3","Lead Site Reliability Engineer")</f>
        <v>Lead Site Reliability Engineer</v>
      </c>
      <c r="D246" s="45" t="s">
        <v>898</v>
      </c>
      <c r="E246" s="54">
        <v>1611553638020</v>
      </c>
      <c r="F246" s="47">
        <v>44221.699513888889</v>
      </c>
      <c r="G246" s="56" t="s">
        <v>164</v>
      </c>
    </row>
    <row r="247" spans="1:7" ht="14.25">
      <c r="A247" s="45"/>
      <c r="B247" s="45" t="s">
        <v>213</v>
      </c>
      <c r="C247" s="58" t="str">
        <f>HYPERLINK("https://au.indeed.com/viewjob?from=iaBackPress&amp;jk=f85e10e79c4cb325&amp;vjs=3","SITE FOREMAN/PROJECT ENGINEER")</f>
        <v>SITE FOREMAN/PROJECT ENGINEER</v>
      </c>
      <c r="D247" s="45" t="s">
        <v>897</v>
      </c>
      <c r="E247" s="54">
        <v>1611553667520</v>
      </c>
      <c r="F247" s="47">
        <v>44221.699849537035</v>
      </c>
      <c r="G247" s="56" t="s">
        <v>164</v>
      </c>
    </row>
    <row r="248" spans="1:7" ht="14.25">
      <c r="A248" s="45"/>
      <c r="B248" s="45" t="s">
        <v>213</v>
      </c>
      <c r="C248" s="58" t="str">
        <f>HYPERLINK("https://au.indeed.com/viewjob?from=iaBackPress&amp;jk=e01e3538682ff0c7&amp;vjs=3","Senior Site Reliability Engineer")</f>
        <v>Senior Site Reliability Engineer</v>
      </c>
      <c r="D248" s="45" t="s">
        <v>801</v>
      </c>
      <c r="E248" s="54" t="s">
        <v>866</v>
      </c>
      <c r="F248" s="47">
        <v>44221.700682870367</v>
      </c>
      <c r="G248" s="56" t="s">
        <v>164</v>
      </c>
    </row>
    <row r="249" spans="1:7" ht="14.25">
      <c r="A249" s="45"/>
      <c r="B249" s="45" t="s">
        <v>213</v>
      </c>
      <c r="C249" s="58" t="str">
        <f>HYPERLINK("https://au.indeed.com/viewjob?from=iaBackPress&amp;jk=b714c3cf10d9b664&amp;vjs=3","Senior Site Reliability Engineer")</f>
        <v>Senior Site Reliability Engineer</v>
      </c>
      <c r="D249" s="45" t="s">
        <v>846</v>
      </c>
      <c r="E249" s="54" t="s">
        <v>866</v>
      </c>
      <c r="F249" s="47">
        <v>44221.701053240744</v>
      </c>
      <c r="G249" s="56" t="s">
        <v>164</v>
      </c>
    </row>
    <row r="250" spans="1:7" ht="14.25">
      <c r="A250" s="45"/>
      <c r="B250" s="45" t="s">
        <v>213</v>
      </c>
      <c r="C250" s="58" t="str">
        <f>HYPERLINK("https://au.indeed.com/viewjob?from=iaBackPress&amp;jk=c7ba20acdf334e21&amp;vjs=3","Site Reliability Engineer")</f>
        <v>Site Reliability Engineer</v>
      </c>
      <c r="D250" s="45" t="s">
        <v>847</v>
      </c>
      <c r="E250" s="54" t="s">
        <v>866</v>
      </c>
      <c r="F250" s="47">
        <v>44221.70416666667</v>
      </c>
      <c r="G250" s="56" t="s">
        <v>164</v>
      </c>
    </row>
    <row r="251" spans="1:7" ht="14.25">
      <c r="A251" s="45"/>
      <c r="B251" s="45" t="s">
        <v>213</v>
      </c>
      <c r="C251" s="58" t="str">
        <f>HYPERLINK("https://au.indeed.com/viewjob?from=iaBackPress&amp;jk=4279c99fe4d77a16&amp;vjs=3","Site Supervisor/ Engineer - Earthworks")</f>
        <v>Site Supervisor/ Engineer - Earthworks</v>
      </c>
      <c r="D251" s="45" t="s">
        <v>855</v>
      </c>
      <c r="E251" s="54" t="s">
        <v>866</v>
      </c>
      <c r="F251" s="47">
        <v>44221.704791666663</v>
      </c>
      <c r="G251" s="56" t="s">
        <v>164</v>
      </c>
    </row>
    <row r="252" spans="1:7" ht="14.25">
      <c r="A252" s="45"/>
      <c r="B252" s="45" t="s">
        <v>347</v>
      </c>
      <c r="C252" s="58" t="str">
        <f>HYPERLINK("https://au.indeed.com/viewjob?from=iaBackPress&amp;jk=2a9998a0e61e5a15&amp;vjs=3","Product design and mechatronics engineer")</f>
        <v>Product design and mechatronics engineer</v>
      </c>
      <c r="D252" s="45" t="s">
        <v>830</v>
      </c>
      <c r="E252" s="54" t="s">
        <v>866</v>
      </c>
      <c r="F252" s="47">
        <v>44221.70820601852</v>
      </c>
      <c r="G252" s="56" t="s">
        <v>164</v>
      </c>
    </row>
    <row r="253" spans="1:7" ht="14.25">
      <c r="A253" s="45"/>
      <c r="B253" s="45" t="s">
        <v>347</v>
      </c>
      <c r="C253" s="58" t="str">
        <f>HYPERLINK("https://au.indeed.com/viewjob?from=iaBackPress&amp;jk=58d9660c6e64e38c&amp;vjs=3","Product Support Engineer")</f>
        <v>Product Support Engineer</v>
      </c>
      <c r="D253" s="45" t="s">
        <v>857</v>
      </c>
      <c r="E253" s="54" t="s">
        <v>866</v>
      </c>
      <c r="F253" s="47">
        <v>44221.708564814813</v>
      </c>
      <c r="G253" s="56" t="s">
        <v>164</v>
      </c>
    </row>
    <row r="254" spans="1:7" ht="14.25">
      <c r="A254" s="45"/>
      <c r="B254" s="45" t="s">
        <v>347</v>
      </c>
      <c r="C254" s="58" t="str">
        <f>HYPERLINK("https://au.indeed.com/viewjob?from=iaBackPress&amp;jk=bf301d9e535dcda6&amp;vjs=3","Data Engineer - Video Experiences - Product | Product")</f>
        <v>Data Engineer - Video Experiences - Product | Product</v>
      </c>
      <c r="D254" s="45" t="s">
        <v>860</v>
      </c>
      <c r="E254" s="54" t="s">
        <v>866</v>
      </c>
      <c r="F254" s="47">
        <v>44221.709791666668</v>
      </c>
      <c r="G254" s="56" t="s">
        <v>164</v>
      </c>
    </row>
    <row r="255" spans="1:7" ht="14.25">
      <c r="A255" s="45"/>
      <c r="B255" s="45" t="s">
        <v>249</v>
      </c>
      <c r="C255" s="58" t="str">
        <f t="shared" ref="C255:C256" si="8">HYPERLINK("https://au.indeed.com/viewjob?from=iaBackPress&amp;jk=dcdaa220df4a1fde&amp;vjs=3","Senior Mission Control Engineer - Security")</f>
        <v>Senior Mission Control Engineer - Security</v>
      </c>
      <c r="D255" s="45" t="s">
        <v>781</v>
      </c>
      <c r="E255" s="54" t="s">
        <v>866</v>
      </c>
      <c r="F255" s="47">
        <v>44221.712696759256</v>
      </c>
      <c r="G255" s="56" t="s">
        <v>237</v>
      </c>
    </row>
    <row r="256" spans="1:7" ht="14.25">
      <c r="A256" s="45"/>
      <c r="B256" s="45" t="s">
        <v>789</v>
      </c>
      <c r="C256" s="58" t="str">
        <f t="shared" si="8"/>
        <v>Senior Mission Control Engineer - Security</v>
      </c>
      <c r="D256" s="45" t="s">
        <v>781</v>
      </c>
      <c r="E256" s="54" t="s">
        <v>866</v>
      </c>
      <c r="F256" s="47">
        <v>44221.713854166665</v>
      </c>
      <c r="G256" s="56" t="s">
        <v>237</v>
      </c>
    </row>
    <row r="257" spans="1:7" ht="14.25">
      <c r="A257" s="59"/>
      <c r="B257" s="59"/>
      <c r="C257" s="59"/>
      <c r="D257" s="59"/>
      <c r="E257" s="60"/>
      <c r="F257" s="60"/>
      <c r="G257" s="61"/>
    </row>
    <row r="258" spans="1:7" ht="14.25">
      <c r="A258" s="59"/>
      <c r="B258" s="59"/>
      <c r="C258" s="59"/>
      <c r="D258" s="59"/>
      <c r="E258" s="60"/>
      <c r="F258" s="60"/>
      <c r="G258" s="61"/>
    </row>
    <row r="259" spans="1:7" ht="14.25">
      <c r="A259" s="59"/>
      <c r="B259" s="59"/>
      <c r="C259" s="59"/>
      <c r="D259" s="59"/>
      <c r="E259" s="60"/>
      <c r="F259" s="60"/>
      <c r="G259" s="61"/>
    </row>
    <row r="260" spans="1:7" ht="14.25">
      <c r="A260" s="59"/>
      <c r="B260" s="59"/>
      <c r="C260" s="59"/>
      <c r="D260" s="59"/>
      <c r="E260" s="60"/>
      <c r="F260" s="60"/>
      <c r="G260" s="61"/>
    </row>
    <row r="261" spans="1:7" ht="14.25">
      <c r="A261" s="59"/>
      <c r="B261" s="59"/>
      <c r="C261" s="59"/>
      <c r="D261" s="59"/>
      <c r="E261" s="60"/>
      <c r="F261" s="60"/>
      <c r="G261" s="61"/>
    </row>
    <row r="262" spans="1:7" ht="14.25">
      <c r="A262" s="59"/>
      <c r="B262" s="59"/>
      <c r="C262" s="59"/>
      <c r="D262" s="59"/>
      <c r="E262" s="60"/>
      <c r="F262" s="60"/>
      <c r="G262" s="61"/>
    </row>
    <row r="263" spans="1:7" ht="14.25">
      <c r="A263" s="59"/>
      <c r="B263" s="59"/>
      <c r="C263" s="59"/>
      <c r="D263" s="59"/>
      <c r="E263" s="60"/>
      <c r="F263" s="60"/>
      <c r="G263" s="61"/>
    </row>
    <row r="264" spans="1:7" ht="14.25">
      <c r="A264" s="59"/>
      <c r="B264" s="59"/>
      <c r="C264" s="59"/>
      <c r="D264" s="59"/>
      <c r="E264" s="60"/>
      <c r="F264" s="60"/>
      <c r="G264" s="61"/>
    </row>
    <row r="265" spans="1:7" ht="14.25">
      <c r="A265" s="59"/>
      <c r="B265" s="59"/>
      <c r="C265" s="59"/>
      <c r="D265" s="59"/>
      <c r="E265" s="60"/>
      <c r="F265" s="60"/>
      <c r="G265" s="61"/>
    </row>
    <row r="266" spans="1:7" ht="14.25">
      <c r="A266" s="59"/>
      <c r="B266" s="59"/>
      <c r="C266" s="59"/>
      <c r="D266" s="59"/>
      <c r="E266" s="60"/>
      <c r="F266" s="60"/>
      <c r="G266" s="61"/>
    </row>
    <row r="267" spans="1:7" ht="14.25">
      <c r="A267" s="59"/>
      <c r="B267" s="59"/>
      <c r="C267" s="59"/>
      <c r="D267" s="59"/>
      <c r="E267" s="60"/>
      <c r="F267" s="60"/>
      <c r="G267" s="61"/>
    </row>
    <row r="268" spans="1:7" ht="14.25">
      <c r="A268" s="59"/>
      <c r="B268" s="59"/>
      <c r="C268" s="59"/>
      <c r="D268" s="59"/>
      <c r="E268" s="60"/>
      <c r="F268" s="60"/>
      <c r="G268" s="61"/>
    </row>
    <row r="269" spans="1:7" ht="14.25">
      <c r="A269" s="59"/>
      <c r="B269" s="59"/>
      <c r="C269" s="59"/>
      <c r="D269" s="59"/>
      <c r="E269" s="60"/>
      <c r="F269" s="60"/>
      <c r="G269" s="61"/>
    </row>
    <row r="270" spans="1:7" ht="14.25">
      <c r="A270" s="59"/>
      <c r="B270" s="59"/>
      <c r="C270" s="59"/>
      <c r="D270" s="59"/>
      <c r="E270" s="60"/>
      <c r="F270" s="60"/>
      <c r="G270" s="61"/>
    </row>
    <row r="271" spans="1:7" ht="14.25">
      <c r="A271" s="59"/>
      <c r="B271" s="59"/>
      <c r="C271" s="59"/>
      <c r="D271" s="59"/>
      <c r="E271" s="60"/>
      <c r="F271" s="60"/>
      <c r="G271" s="61"/>
    </row>
    <row r="272" spans="1:7" ht="14.25">
      <c r="A272" s="59"/>
      <c r="B272" s="59"/>
      <c r="C272" s="59"/>
      <c r="D272" s="59"/>
      <c r="E272" s="60"/>
      <c r="F272" s="60"/>
      <c r="G272" s="61"/>
    </row>
    <row r="273" spans="1:7" ht="14.25">
      <c r="A273" s="59"/>
      <c r="B273" s="59"/>
      <c r="C273" s="59"/>
      <c r="D273" s="59"/>
      <c r="E273" s="60"/>
      <c r="F273" s="60"/>
      <c r="G273" s="61"/>
    </row>
    <row r="274" spans="1:7" ht="14.25">
      <c r="A274" s="59"/>
      <c r="B274" s="59"/>
      <c r="C274" s="59"/>
      <c r="D274" s="59"/>
      <c r="E274" s="60"/>
      <c r="F274" s="60"/>
      <c r="G274" s="61"/>
    </row>
    <row r="275" spans="1:7" ht="14.25">
      <c r="A275" s="59"/>
      <c r="B275" s="59"/>
      <c r="C275" s="59"/>
      <c r="D275" s="59"/>
      <c r="E275" s="60"/>
      <c r="F275" s="60"/>
      <c r="G275" s="61"/>
    </row>
    <row r="276" spans="1:7" ht="14.25">
      <c r="A276" s="59"/>
      <c r="B276" s="59"/>
      <c r="C276" s="59"/>
      <c r="D276" s="59"/>
      <c r="E276" s="60"/>
      <c r="F276" s="60"/>
      <c r="G276" s="61"/>
    </row>
    <row r="277" spans="1:7" ht="14.25">
      <c r="A277" s="59"/>
      <c r="B277" s="59"/>
      <c r="C277" s="59"/>
      <c r="D277" s="59"/>
      <c r="E277" s="60"/>
      <c r="F277" s="60"/>
      <c r="G277" s="61"/>
    </row>
    <row r="278" spans="1:7" ht="14.25">
      <c r="A278" s="59"/>
      <c r="B278" s="59"/>
      <c r="C278" s="59"/>
      <c r="D278" s="59"/>
      <c r="E278" s="60"/>
      <c r="F278" s="60"/>
      <c r="G278" s="61"/>
    </row>
    <row r="279" spans="1:7" ht="14.25">
      <c r="A279" s="59"/>
      <c r="B279" s="59"/>
      <c r="C279" s="59"/>
      <c r="D279" s="59"/>
      <c r="E279" s="60"/>
      <c r="F279" s="60"/>
      <c r="G279" s="61"/>
    </row>
    <row r="280" spans="1:7" ht="14.25">
      <c r="A280" s="59"/>
      <c r="B280" s="59"/>
      <c r="C280" s="59"/>
      <c r="D280" s="59"/>
      <c r="E280" s="60"/>
      <c r="F280" s="60"/>
      <c r="G280" s="61"/>
    </row>
    <row r="281" spans="1:7" ht="14.25">
      <c r="A281" s="59"/>
      <c r="B281" s="59"/>
      <c r="C281" s="59"/>
      <c r="D281" s="59"/>
      <c r="E281" s="60"/>
      <c r="F281" s="60"/>
      <c r="G281" s="61"/>
    </row>
    <row r="282" spans="1:7" ht="14.25">
      <c r="A282" s="59"/>
      <c r="B282" s="59"/>
      <c r="C282" s="59"/>
      <c r="D282" s="59"/>
      <c r="E282" s="60"/>
      <c r="F282" s="60"/>
      <c r="G282" s="61"/>
    </row>
    <row r="283" spans="1:7" ht="14.25">
      <c r="A283" s="59"/>
      <c r="B283" s="59"/>
      <c r="C283" s="59"/>
      <c r="D283" s="59"/>
      <c r="E283" s="60"/>
      <c r="F283" s="60"/>
      <c r="G283" s="61"/>
    </row>
    <row r="284" spans="1:7" ht="14.25">
      <c r="A284" s="59"/>
      <c r="B284" s="59"/>
      <c r="C284" s="59"/>
      <c r="D284" s="59"/>
      <c r="E284" s="60"/>
      <c r="F284" s="60"/>
      <c r="G284" s="61"/>
    </row>
    <row r="285" spans="1:7" ht="14.25">
      <c r="A285" s="59"/>
      <c r="B285" s="59"/>
      <c r="C285" s="59"/>
      <c r="D285" s="59"/>
      <c r="E285" s="60"/>
      <c r="F285" s="60"/>
      <c r="G285" s="61"/>
    </row>
    <row r="286" spans="1:7" ht="14.25">
      <c r="A286" s="59"/>
      <c r="B286" s="59"/>
      <c r="C286" s="59"/>
      <c r="D286" s="59"/>
      <c r="E286" s="60"/>
      <c r="F286" s="60"/>
      <c r="G286" s="61"/>
    </row>
    <row r="287" spans="1:7" ht="14.25">
      <c r="A287" s="59"/>
      <c r="B287" s="59"/>
      <c r="C287" s="59"/>
      <c r="D287" s="59"/>
      <c r="E287" s="60"/>
      <c r="F287" s="60"/>
      <c r="G287" s="61"/>
    </row>
    <row r="288" spans="1:7" ht="14.25">
      <c r="A288" s="59"/>
      <c r="B288" s="59"/>
      <c r="C288" s="59"/>
      <c r="D288" s="59"/>
      <c r="E288" s="60"/>
      <c r="F288" s="60"/>
      <c r="G288" s="61"/>
    </row>
    <row r="289" spans="1:7" ht="14.25">
      <c r="A289" s="59"/>
      <c r="B289" s="59"/>
      <c r="C289" s="59"/>
      <c r="D289" s="59"/>
      <c r="E289" s="60"/>
      <c r="F289" s="60"/>
      <c r="G289" s="61"/>
    </row>
    <row r="290" spans="1:7" ht="14.25">
      <c r="A290" s="59"/>
      <c r="B290" s="59"/>
      <c r="C290" s="59"/>
      <c r="D290" s="59"/>
      <c r="E290" s="60"/>
      <c r="F290" s="60"/>
      <c r="G290" s="61"/>
    </row>
    <row r="291" spans="1:7" ht="14.25">
      <c r="A291" s="59"/>
      <c r="B291" s="59"/>
      <c r="C291" s="59"/>
      <c r="D291" s="59"/>
      <c r="E291" s="60"/>
      <c r="F291" s="60"/>
      <c r="G291" s="61"/>
    </row>
    <row r="292" spans="1:7" ht="14.25">
      <c r="A292" s="59"/>
      <c r="B292" s="59"/>
      <c r="C292" s="59"/>
      <c r="D292" s="59"/>
      <c r="E292" s="60"/>
      <c r="F292" s="60"/>
      <c r="G292" s="61"/>
    </row>
    <row r="293" spans="1:7" ht="14.25">
      <c r="A293" s="59"/>
      <c r="B293" s="59"/>
      <c r="C293" s="59"/>
      <c r="D293" s="59"/>
      <c r="E293" s="60"/>
      <c r="F293" s="60"/>
      <c r="G293" s="61"/>
    </row>
    <row r="294" spans="1:7" ht="14.25">
      <c r="A294" s="59"/>
      <c r="B294" s="59"/>
      <c r="C294" s="59"/>
      <c r="D294" s="59"/>
      <c r="E294" s="60"/>
      <c r="F294" s="60"/>
      <c r="G294" s="61"/>
    </row>
    <row r="295" spans="1:7" ht="14.25">
      <c r="A295" s="59"/>
      <c r="B295" s="59"/>
      <c r="C295" s="59"/>
      <c r="D295" s="59"/>
      <c r="E295" s="60"/>
      <c r="F295" s="60"/>
      <c r="G295" s="61"/>
    </row>
    <row r="296" spans="1:7" ht="14.25">
      <c r="A296" s="59"/>
      <c r="B296" s="59"/>
      <c r="C296" s="59"/>
      <c r="D296" s="59"/>
      <c r="E296" s="60"/>
      <c r="F296" s="60"/>
      <c r="G296" s="61"/>
    </row>
    <row r="297" spans="1:7" ht="14.25">
      <c r="A297" s="59"/>
      <c r="B297" s="59"/>
      <c r="C297" s="59"/>
      <c r="D297" s="59"/>
      <c r="E297" s="60"/>
      <c r="F297" s="60"/>
      <c r="G297" s="61"/>
    </row>
    <row r="298" spans="1:7" ht="14.25">
      <c r="A298" s="59"/>
      <c r="B298" s="59"/>
      <c r="C298" s="59"/>
      <c r="D298" s="59"/>
      <c r="E298" s="60"/>
      <c r="F298" s="60"/>
      <c r="G298" s="61"/>
    </row>
    <row r="299" spans="1:7" ht="14.25">
      <c r="A299" s="59"/>
      <c r="B299" s="59"/>
      <c r="C299" s="59"/>
      <c r="D299" s="59"/>
      <c r="E299" s="60"/>
      <c r="F299" s="60"/>
      <c r="G299" s="61"/>
    </row>
    <row r="300" spans="1:7" ht="14.25">
      <c r="A300" s="59"/>
      <c r="B300" s="59"/>
      <c r="C300" s="59"/>
      <c r="D300" s="59"/>
      <c r="E300" s="60"/>
      <c r="F300" s="60"/>
      <c r="G300" s="61"/>
    </row>
    <row r="301" spans="1:7" ht="14.25">
      <c r="A301" s="59"/>
      <c r="B301" s="59"/>
      <c r="C301" s="59"/>
      <c r="D301" s="59"/>
      <c r="E301" s="60"/>
      <c r="F301" s="60"/>
      <c r="G301" s="61"/>
    </row>
    <row r="302" spans="1:7" ht="14.25">
      <c r="A302" s="59"/>
      <c r="B302" s="59"/>
      <c r="C302" s="59"/>
      <c r="D302" s="59"/>
      <c r="E302" s="60"/>
      <c r="F302" s="60"/>
      <c r="G302" s="61"/>
    </row>
    <row r="303" spans="1:7" ht="14.25">
      <c r="A303" s="59"/>
      <c r="B303" s="59"/>
      <c r="C303" s="59"/>
      <c r="D303" s="59"/>
      <c r="E303" s="60"/>
      <c r="F303" s="60"/>
      <c r="G303" s="61"/>
    </row>
    <row r="304" spans="1:7" ht="14.25">
      <c r="A304" s="59"/>
      <c r="B304" s="59"/>
      <c r="C304" s="59"/>
      <c r="D304" s="59"/>
      <c r="E304" s="60"/>
      <c r="F304" s="60"/>
      <c r="G304" s="61"/>
    </row>
    <row r="305" spans="1:7" ht="14.25">
      <c r="A305" s="59"/>
      <c r="B305" s="59"/>
      <c r="C305" s="59"/>
      <c r="D305" s="59"/>
      <c r="E305" s="60"/>
      <c r="F305" s="60"/>
      <c r="G305" s="61"/>
    </row>
    <row r="306" spans="1:7" ht="14.25">
      <c r="A306" s="59"/>
      <c r="B306" s="59"/>
      <c r="C306" s="59"/>
      <c r="D306" s="59"/>
      <c r="E306" s="60"/>
      <c r="F306" s="60"/>
      <c r="G306" s="61"/>
    </row>
    <row r="307" spans="1:7" ht="14.25">
      <c r="A307" s="59"/>
      <c r="B307" s="59"/>
      <c r="C307" s="59"/>
      <c r="D307" s="59"/>
      <c r="E307" s="60"/>
      <c r="F307" s="60"/>
      <c r="G307" s="61"/>
    </row>
    <row r="308" spans="1:7" ht="14.25">
      <c r="A308" s="59"/>
      <c r="B308" s="59"/>
      <c r="C308" s="59"/>
      <c r="D308" s="59"/>
      <c r="E308" s="60"/>
      <c r="F308" s="60"/>
      <c r="G308" s="61"/>
    </row>
    <row r="309" spans="1:7" ht="14.25">
      <c r="A309" s="59"/>
      <c r="B309" s="59"/>
      <c r="C309" s="59"/>
      <c r="D309" s="59"/>
      <c r="E309" s="60"/>
      <c r="F309" s="60"/>
      <c r="G309" s="61"/>
    </row>
    <row r="310" spans="1:7" ht="14.25">
      <c r="A310" s="59"/>
      <c r="B310" s="59"/>
      <c r="C310" s="59"/>
      <c r="D310" s="59"/>
      <c r="E310" s="60"/>
      <c r="F310" s="60"/>
      <c r="G310" s="61"/>
    </row>
    <row r="311" spans="1:7" ht="14.25">
      <c r="A311" s="59"/>
      <c r="B311" s="59"/>
      <c r="C311" s="59"/>
      <c r="D311" s="59"/>
      <c r="E311" s="60"/>
      <c r="F311" s="60"/>
      <c r="G311" s="61"/>
    </row>
    <row r="312" spans="1:7" ht="14.25">
      <c r="A312" s="59"/>
      <c r="B312" s="59"/>
      <c r="C312" s="59"/>
      <c r="D312" s="59"/>
      <c r="E312" s="60"/>
      <c r="F312" s="60"/>
      <c r="G312" s="61"/>
    </row>
    <row r="313" spans="1:7" ht="14.25">
      <c r="A313" s="59"/>
      <c r="B313" s="59"/>
      <c r="C313" s="59"/>
      <c r="D313" s="59"/>
      <c r="E313" s="60"/>
      <c r="F313" s="60"/>
      <c r="G313" s="61"/>
    </row>
    <row r="314" spans="1:7" ht="14.25">
      <c r="A314" s="59"/>
      <c r="B314" s="59"/>
      <c r="C314" s="59"/>
      <c r="D314" s="59"/>
      <c r="E314" s="60"/>
      <c r="F314" s="60"/>
      <c r="G314" s="61"/>
    </row>
    <row r="315" spans="1:7" ht="14.25">
      <c r="A315" s="59"/>
      <c r="B315" s="59"/>
      <c r="C315" s="59"/>
      <c r="D315" s="59"/>
      <c r="E315" s="60"/>
      <c r="F315" s="60"/>
      <c r="G315" s="61"/>
    </row>
    <row r="316" spans="1:7" ht="14.25">
      <c r="A316" s="59"/>
      <c r="B316" s="59"/>
      <c r="C316" s="59"/>
      <c r="D316" s="59"/>
      <c r="E316" s="60"/>
      <c r="F316" s="60"/>
      <c r="G316" s="61"/>
    </row>
    <row r="317" spans="1:7" ht="14.25">
      <c r="A317" s="59"/>
      <c r="B317" s="59"/>
      <c r="C317" s="59"/>
      <c r="D317" s="59"/>
      <c r="E317" s="60"/>
      <c r="F317" s="60"/>
      <c r="G317" s="61"/>
    </row>
    <row r="318" spans="1:7" ht="14.25">
      <c r="A318" s="59"/>
      <c r="B318" s="59"/>
      <c r="C318" s="59"/>
      <c r="D318" s="59"/>
      <c r="E318" s="60"/>
      <c r="F318" s="60"/>
      <c r="G318" s="61"/>
    </row>
    <row r="319" spans="1:7" ht="14.25">
      <c r="A319" s="59"/>
      <c r="B319" s="59"/>
      <c r="C319" s="59"/>
      <c r="D319" s="59"/>
      <c r="E319" s="60"/>
      <c r="F319" s="60"/>
      <c r="G319" s="61"/>
    </row>
    <row r="320" spans="1:7" ht="14.25">
      <c r="A320" s="59"/>
      <c r="B320" s="59"/>
      <c r="C320" s="59"/>
      <c r="D320" s="59"/>
      <c r="E320" s="60"/>
      <c r="F320" s="60"/>
      <c r="G320" s="61"/>
    </row>
    <row r="321" spans="1:7" ht="14.25">
      <c r="A321" s="59"/>
      <c r="B321" s="59"/>
      <c r="C321" s="59"/>
      <c r="D321" s="59"/>
      <c r="E321" s="60"/>
      <c r="F321" s="60"/>
      <c r="G321" s="61"/>
    </row>
    <row r="322" spans="1:7" ht="14.25">
      <c r="A322" s="59"/>
      <c r="B322" s="59"/>
      <c r="C322" s="59"/>
      <c r="D322" s="59"/>
      <c r="E322" s="60"/>
      <c r="F322" s="60"/>
      <c r="G322" s="61"/>
    </row>
    <row r="323" spans="1:7" ht="14.25">
      <c r="A323" s="59"/>
      <c r="B323" s="59"/>
      <c r="C323" s="59"/>
      <c r="D323" s="59"/>
      <c r="E323" s="60"/>
      <c r="F323" s="60"/>
      <c r="G323" s="61"/>
    </row>
    <row r="324" spans="1:7" ht="14.25">
      <c r="A324" s="59"/>
      <c r="B324" s="59"/>
      <c r="C324" s="59"/>
      <c r="D324" s="59"/>
      <c r="E324" s="60"/>
      <c r="F324" s="60"/>
      <c r="G324" s="61"/>
    </row>
    <row r="325" spans="1:7" ht="14.25">
      <c r="A325" s="59"/>
      <c r="B325" s="59"/>
      <c r="C325" s="59"/>
      <c r="D325" s="59"/>
      <c r="E325" s="60"/>
      <c r="F325" s="60"/>
      <c r="G325" s="61"/>
    </row>
    <row r="326" spans="1:7" ht="14.25">
      <c r="A326" s="59"/>
      <c r="B326" s="59"/>
      <c r="C326" s="59"/>
      <c r="D326" s="59"/>
      <c r="E326" s="60"/>
      <c r="F326" s="60"/>
      <c r="G326" s="61"/>
    </row>
    <row r="327" spans="1:7" ht="14.25">
      <c r="A327" s="59"/>
      <c r="B327" s="59"/>
      <c r="C327" s="59"/>
      <c r="D327" s="59"/>
      <c r="E327" s="60"/>
      <c r="F327" s="60"/>
      <c r="G327" s="61"/>
    </row>
    <row r="328" spans="1:7" ht="14.25">
      <c r="A328" s="59"/>
      <c r="B328" s="59"/>
      <c r="C328" s="59"/>
      <c r="D328" s="59"/>
      <c r="E328" s="60"/>
      <c r="F328" s="60"/>
      <c r="G328" s="61"/>
    </row>
    <row r="329" spans="1:7" ht="14.25">
      <c r="A329" s="59"/>
      <c r="B329" s="59"/>
      <c r="C329" s="59"/>
      <c r="D329" s="59"/>
      <c r="E329" s="60"/>
      <c r="F329" s="60"/>
      <c r="G329" s="61"/>
    </row>
    <row r="330" spans="1:7" ht="14.25">
      <c r="A330" s="59"/>
      <c r="B330" s="59"/>
      <c r="C330" s="59"/>
      <c r="D330" s="59"/>
      <c r="E330" s="60"/>
      <c r="F330" s="60"/>
      <c r="G330" s="61"/>
    </row>
    <row r="331" spans="1:7" ht="14.25">
      <c r="A331" s="59"/>
      <c r="B331" s="59"/>
      <c r="C331" s="59"/>
      <c r="D331" s="59"/>
      <c r="E331" s="60"/>
      <c r="F331" s="60"/>
      <c r="G331" s="61"/>
    </row>
    <row r="332" spans="1:7" ht="14.25">
      <c r="A332" s="59"/>
      <c r="B332" s="59"/>
      <c r="C332" s="59"/>
      <c r="D332" s="59"/>
      <c r="E332" s="60"/>
      <c r="F332" s="60"/>
      <c r="G332" s="61"/>
    </row>
    <row r="333" spans="1:7" ht="14.25">
      <c r="A333" s="59"/>
      <c r="B333" s="59"/>
      <c r="C333" s="59"/>
      <c r="D333" s="59"/>
      <c r="E333" s="60"/>
      <c r="F333" s="60"/>
      <c r="G333" s="61"/>
    </row>
    <row r="334" spans="1:7" ht="14.25">
      <c r="A334" s="59"/>
      <c r="B334" s="59"/>
      <c r="C334" s="59"/>
      <c r="D334" s="59"/>
      <c r="E334" s="60"/>
      <c r="F334" s="60"/>
      <c r="G334" s="61"/>
    </row>
    <row r="335" spans="1:7" ht="14.25">
      <c r="A335" s="59"/>
      <c r="B335" s="59"/>
      <c r="C335" s="59"/>
      <c r="D335" s="59"/>
      <c r="E335" s="60"/>
      <c r="F335" s="60"/>
      <c r="G335" s="61"/>
    </row>
    <row r="336" spans="1:7" ht="14.25">
      <c r="A336" s="59"/>
      <c r="B336" s="59"/>
      <c r="C336" s="59"/>
      <c r="D336" s="59"/>
      <c r="E336" s="60"/>
      <c r="F336" s="60"/>
      <c r="G336" s="61"/>
    </row>
    <row r="337" spans="1:7" ht="14.25">
      <c r="A337" s="59"/>
      <c r="B337" s="59"/>
      <c r="C337" s="59"/>
      <c r="D337" s="59"/>
      <c r="E337" s="60"/>
      <c r="F337" s="60"/>
      <c r="G337" s="61"/>
    </row>
    <row r="338" spans="1:7" ht="14.25">
      <c r="A338" s="59"/>
      <c r="B338" s="59"/>
      <c r="C338" s="59"/>
      <c r="D338" s="59"/>
      <c r="E338" s="60"/>
      <c r="F338" s="60"/>
      <c r="G338" s="61"/>
    </row>
    <row r="339" spans="1:7" ht="14.25">
      <c r="A339" s="59"/>
      <c r="B339" s="59"/>
      <c r="C339" s="59"/>
      <c r="D339" s="59"/>
      <c r="E339" s="60"/>
      <c r="F339" s="60"/>
      <c r="G339" s="61"/>
    </row>
    <row r="340" spans="1:7" ht="14.25">
      <c r="A340" s="59"/>
      <c r="B340" s="59"/>
      <c r="C340" s="59"/>
      <c r="D340" s="59"/>
      <c r="E340" s="60"/>
      <c r="F340" s="60"/>
      <c r="G340" s="61"/>
    </row>
    <row r="341" spans="1:7" ht="14.25">
      <c r="A341" s="59"/>
      <c r="B341" s="59"/>
      <c r="C341" s="59"/>
      <c r="D341" s="59"/>
      <c r="E341" s="60"/>
      <c r="F341" s="60"/>
      <c r="G341" s="61"/>
    </row>
    <row r="342" spans="1:7" ht="14.25">
      <c r="A342" s="59"/>
      <c r="B342" s="59"/>
      <c r="C342" s="59"/>
      <c r="D342" s="59"/>
      <c r="E342" s="60"/>
      <c r="F342" s="60"/>
      <c r="G342" s="61"/>
    </row>
    <row r="343" spans="1:7" ht="14.25">
      <c r="A343" s="59"/>
      <c r="B343" s="59"/>
      <c r="C343" s="59"/>
      <c r="D343" s="59"/>
      <c r="E343" s="60"/>
      <c r="F343" s="60"/>
      <c r="G343" s="61"/>
    </row>
    <row r="344" spans="1:7" ht="14.25">
      <c r="A344" s="59"/>
      <c r="B344" s="59"/>
      <c r="C344" s="59"/>
      <c r="D344" s="59"/>
      <c r="E344" s="60"/>
      <c r="F344" s="60"/>
      <c r="G344" s="61"/>
    </row>
    <row r="345" spans="1:7" ht="14.25">
      <c r="A345" s="59"/>
      <c r="B345" s="59"/>
      <c r="C345" s="59"/>
      <c r="D345" s="59"/>
      <c r="E345" s="60"/>
      <c r="F345" s="60"/>
      <c r="G345" s="61"/>
    </row>
    <row r="346" spans="1:7" ht="14.25">
      <c r="A346" s="59"/>
      <c r="B346" s="59"/>
      <c r="C346" s="59"/>
      <c r="D346" s="59"/>
      <c r="E346" s="60"/>
      <c r="F346" s="60"/>
      <c r="G346" s="61"/>
    </row>
    <row r="347" spans="1:7" ht="14.25">
      <c r="A347" s="59"/>
      <c r="B347" s="59"/>
      <c r="C347" s="59"/>
      <c r="D347" s="59"/>
      <c r="E347" s="60"/>
      <c r="F347" s="60"/>
      <c r="G347" s="61"/>
    </row>
    <row r="348" spans="1:7" ht="14.25">
      <c r="A348" s="59"/>
      <c r="B348" s="59"/>
      <c r="C348" s="59"/>
      <c r="D348" s="59"/>
      <c r="E348" s="60"/>
      <c r="F348" s="60"/>
      <c r="G348" s="61"/>
    </row>
    <row r="349" spans="1:7" ht="14.25">
      <c r="A349" s="59"/>
      <c r="B349" s="59"/>
      <c r="C349" s="59"/>
      <c r="D349" s="59"/>
      <c r="E349" s="60"/>
      <c r="F349" s="60"/>
      <c r="G349" s="61"/>
    </row>
    <row r="350" spans="1:7" ht="14.25">
      <c r="A350" s="59"/>
      <c r="B350" s="59"/>
      <c r="C350" s="59"/>
      <c r="D350" s="59"/>
      <c r="E350" s="60"/>
      <c r="F350" s="60"/>
      <c r="G350" s="61"/>
    </row>
    <row r="351" spans="1:7" ht="14.25">
      <c r="A351" s="59"/>
      <c r="B351" s="59"/>
      <c r="C351" s="59"/>
      <c r="D351" s="59"/>
      <c r="E351" s="60"/>
      <c r="F351" s="60"/>
      <c r="G351" s="61"/>
    </row>
    <row r="352" spans="1:7" ht="14.25">
      <c r="A352" s="59"/>
      <c r="B352" s="59"/>
      <c r="C352" s="59"/>
      <c r="D352" s="59"/>
      <c r="E352" s="60"/>
      <c r="F352" s="60"/>
      <c r="G352" s="61"/>
    </row>
    <row r="353" spans="1:7" ht="14.25">
      <c r="A353" s="59"/>
      <c r="B353" s="59"/>
      <c r="C353" s="59"/>
      <c r="D353" s="59"/>
      <c r="E353" s="60"/>
      <c r="F353" s="60"/>
      <c r="G353" s="61"/>
    </row>
    <row r="354" spans="1:7" ht="14.25">
      <c r="A354" s="59"/>
      <c r="B354" s="59"/>
      <c r="C354" s="59"/>
      <c r="D354" s="59"/>
      <c r="E354" s="60"/>
      <c r="F354" s="60"/>
      <c r="G354" s="61"/>
    </row>
    <row r="355" spans="1:7" ht="14.25">
      <c r="A355" s="59"/>
      <c r="B355" s="59"/>
      <c r="C355" s="59"/>
      <c r="D355" s="59"/>
      <c r="E355" s="60"/>
      <c r="F355" s="60"/>
      <c r="G355" s="61"/>
    </row>
    <row r="356" spans="1:7" ht="14.25">
      <c r="A356" s="59"/>
      <c r="B356" s="59"/>
      <c r="C356" s="59"/>
      <c r="D356" s="59"/>
      <c r="E356" s="60"/>
      <c r="F356" s="60"/>
      <c r="G356" s="61"/>
    </row>
    <row r="357" spans="1:7" ht="14.25">
      <c r="A357" s="59"/>
      <c r="B357" s="59"/>
      <c r="C357" s="59"/>
      <c r="D357" s="59"/>
      <c r="E357" s="60"/>
      <c r="F357" s="60"/>
      <c r="G357" s="61"/>
    </row>
    <row r="358" spans="1:7" ht="14.25">
      <c r="A358" s="59"/>
      <c r="B358" s="59"/>
      <c r="C358" s="59"/>
      <c r="D358" s="59"/>
      <c r="E358" s="60"/>
      <c r="F358" s="60"/>
      <c r="G358" s="61"/>
    </row>
    <row r="359" spans="1:7" ht="14.25">
      <c r="A359" s="59"/>
      <c r="B359" s="59"/>
      <c r="C359" s="59"/>
      <c r="D359" s="59"/>
      <c r="E359" s="60"/>
      <c r="F359" s="60"/>
      <c r="G359" s="61"/>
    </row>
    <row r="360" spans="1:7" ht="14.25">
      <c r="A360" s="59"/>
      <c r="B360" s="59"/>
      <c r="C360" s="59"/>
      <c r="D360" s="59"/>
      <c r="E360" s="60"/>
      <c r="F360" s="60"/>
      <c r="G360" s="61"/>
    </row>
    <row r="361" spans="1:7" ht="14.25">
      <c r="A361" s="59"/>
      <c r="B361" s="59"/>
      <c r="C361" s="59"/>
      <c r="D361" s="59"/>
      <c r="E361" s="60"/>
      <c r="F361" s="60"/>
      <c r="G361" s="61"/>
    </row>
    <row r="362" spans="1:7" ht="14.25">
      <c r="A362" s="59"/>
      <c r="B362" s="59"/>
      <c r="C362" s="59"/>
      <c r="D362" s="59"/>
      <c r="E362" s="60"/>
      <c r="F362" s="60"/>
      <c r="G362" s="61"/>
    </row>
    <row r="363" spans="1:7" ht="14.25">
      <c r="A363" s="59"/>
      <c r="B363" s="59"/>
      <c r="C363" s="59"/>
      <c r="D363" s="59"/>
      <c r="E363" s="60"/>
      <c r="F363" s="60"/>
      <c r="G363" s="61"/>
    </row>
    <row r="364" spans="1:7" ht="14.25">
      <c r="A364" s="59"/>
      <c r="B364" s="59"/>
      <c r="C364" s="59"/>
      <c r="D364" s="59"/>
      <c r="E364" s="60"/>
      <c r="F364" s="60"/>
      <c r="G364" s="61"/>
    </row>
    <row r="365" spans="1:7" ht="14.25">
      <c r="A365" s="59"/>
      <c r="B365" s="59"/>
      <c r="C365" s="59"/>
      <c r="D365" s="59"/>
      <c r="E365" s="60"/>
      <c r="F365" s="60"/>
      <c r="G365" s="61"/>
    </row>
    <row r="366" spans="1:7" ht="14.25">
      <c r="A366" s="59"/>
      <c r="B366" s="59"/>
      <c r="C366" s="59"/>
      <c r="D366" s="59"/>
      <c r="E366" s="60"/>
      <c r="F366" s="60"/>
      <c r="G366" s="61"/>
    </row>
    <row r="367" spans="1:7" ht="14.25">
      <c r="A367" s="59"/>
      <c r="B367" s="59"/>
      <c r="C367" s="59"/>
      <c r="D367" s="59"/>
      <c r="E367" s="60"/>
      <c r="F367" s="60"/>
      <c r="G367" s="61"/>
    </row>
    <row r="368" spans="1:7" ht="14.25">
      <c r="A368" s="59"/>
      <c r="B368" s="59"/>
      <c r="C368" s="59"/>
      <c r="D368" s="59"/>
      <c r="E368" s="60"/>
      <c r="F368" s="60"/>
      <c r="G368" s="61"/>
    </row>
    <row r="369" spans="1:7" ht="14.25">
      <c r="A369" s="59"/>
      <c r="B369" s="59"/>
      <c r="C369" s="59"/>
      <c r="D369" s="59"/>
      <c r="E369" s="60"/>
      <c r="F369" s="60"/>
      <c r="G369" s="61"/>
    </row>
    <row r="370" spans="1:7" ht="14.25">
      <c r="A370" s="59"/>
      <c r="B370" s="59"/>
      <c r="C370" s="59"/>
      <c r="D370" s="59"/>
      <c r="E370" s="60"/>
      <c r="F370" s="60"/>
      <c r="G370" s="61"/>
    </row>
    <row r="371" spans="1:7" ht="14.25">
      <c r="A371" s="59"/>
      <c r="B371" s="59"/>
      <c r="C371" s="59"/>
      <c r="D371" s="59"/>
      <c r="E371" s="60"/>
      <c r="F371" s="60"/>
      <c r="G371" s="61"/>
    </row>
    <row r="372" spans="1:7" ht="14.25">
      <c r="A372" s="59"/>
      <c r="B372" s="59"/>
      <c r="C372" s="59"/>
      <c r="D372" s="59"/>
      <c r="E372" s="60"/>
      <c r="F372" s="60"/>
      <c r="G372" s="61"/>
    </row>
    <row r="373" spans="1:7" ht="14.25">
      <c r="A373" s="59"/>
      <c r="B373" s="59"/>
      <c r="C373" s="59"/>
      <c r="D373" s="59"/>
      <c r="E373" s="60"/>
      <c r="F373" s="60"/>
      <c r="G373" s="61"/>
    </row>
    <row r="374" spans="1:7" ht="14.25">
      <c r="A374" s="59"/>
      <c r="B374" s="59"/>
      <c r="C374" s="59"/>
      <c r="D374" s="59"/>
      <c r="E374" s="60"/>
      <c r="F374" s="60"/>
      <c r="G374" s="61"/>
    </row>
    <row r="375" spans="1:7" ht="14.25">
      <c r="A375" s="59"/>
      <c r="B375" s="59"/>
      <c r="C375" s="59"/>
      <c r="D375" s="59"/>
      <c r="E375" s="60"/>
      <c r="F375" s="60"/>
      <c r="G375" s="61"/>
    </row>
    <row r="376" spans="1:7" ht="14.25">
      <c r="A376" s="59"/>
      <c r="B376" s="59"/>
      <c r="C376" s="59"/>
      <c r="D376" s="59"/>
      <c r="E376" s="60"/>
      <c r="F376" s="60"/>
      <c r="G376" s="61"/>
    </row>
    <row r="377" spans="1:7" ht="14.25">
      <c r="A377" s="59"/>
      <c r="B377" s="59"/>
      <c r="C377" s="59"/>
      <c r="D377" s="59"/>
      <c r="E377" s="60"/>
      <c r="F377" s="60"/>
      <c r="G377" s="61"/>
    </row>
    <row r="378" spans="1:7" ht="14.25">
      <c r="A378" s="59"/>
      <c r="B378" s="59"/>
      <c r="C378" s="59"/>
      <c r="D378" s="59"/>
      <c r="E378" s="60"/>
      <c r="F378" s="60"/>
      <c r="G378" s="61"/>
    </row>
    <row r="379" spans="1:7" ht="14.25">
      <c r="A379" s="59"/>
      <c r="B379" s="59"/>
      <c r="C379" s="59"/>
      <c r="D379" s="59"/>
      <c r="E379" s="60"/>
      <c r="F379" s="60"/>
      <c r="G379" s="61"/>
    </row>
    <row r="380" spans="1:7" ht="14.25">
      <c r="A380" s="59"/>
      <c r="B380" s="59"/>
      <c r="C380" s="59"/>
      <c r="D380" s="59"/>
      <c r="E380" s="60"/>
      <c r="F380" s="60"/>
      <c r="G380" s="61"/>
    </row>
    <row r="381" spans="1:7" ht="14.25">
      <c r="A381" s="59"/>
      <c r="B381" s="59"/>
      <c r="C381" s="59"/>
      <c r="D381" s="59"/>
      <c r="E381" s="60"/>
      <c r="F381" s="60"/>
      <c r="G381" s="61"/>
    </row>
    <row r="382" spans="1:7" ht="14.25">
      <c r="A382" s="59"/>
      <c r="B382" s="59"/>
      <c r="C382" s="59"/>
      <c r="D382" s="59"/>
      <c r="E382" s="60"/>
      <c r="F382" s="60"/>
      <c r="G382" s="61"/>
    </row>
    <row r="383" spans="1:7" ht="14.25">
      <c r="A383" s="59"/>
      <c r="B383" s="59"/>
      <c r="C383" s="59"/>
      <c r="D383" s="59"/>
      <c r="E383" s="60"/>
      <c r="F383" s="60"/>
      <c r="G383" s="61"/>
    </row>
    <row r="384" spans="1:7" ht="14.25">
      <c r="A384" s="59"/>
      <c r="B384" s="59"/>
      <c r="C384" s="59"/>
      <c r="D384" s="59"/>
      <c r="E384" s="60"/>
      <c r="F384" s="60"/>
      <c r="G384" s="61"/>
    </row>
    <row r="385" spans="1:7" ht="14.25">
      <c r="A385" s="59"/>
      <c r="B385" s="59"/>
      <c r="C385" s="59"/>
      <c r="D385" s="59"/>
      <c r="E385" s="60"/>
      <c r="F385" s="60"/>
      <c r="G385" s="61"/>
    </row>
    <row r="386" spans="1:7" ht="14.25">
      <c r="A386" s="59"/>
      <c r="B386" s="59"/>
      <c r="C386" s="59"/>
      <c r="D386" s="59"/>
      <c r="E386" s="60"/>
      <c r="F386" s="60"/>
      <c r="G386" s="61"/>
    </row>
    <row r="387" spans="1:7" ht="14.25">
      <c r="A387" s="59"/>
      <c r="B387" s="59"/>
      <c r="C387" s="59"/>
      <c r="D387" s="59"/>
      <c r="E387" s="60"/>
      <c r="F387" s="60"/>
      <c r="G387" s="61"/>
    </row>
    <row r="388" spans="1:7" ht="14.25">
      <c r="A388" s="59"/>
      <c r="B388" s="59"/>
      <c r="C388" s="59"/>
      <c r="D388" s="59"/>
      <c r="E388" s="60"/>
      <c r="F388" s="60"/>
      <c r="G388" s="61"/>
    </row>
    <row r="389" spans="1:7" ht="14.25">
      <c r="A389" s="59"/>
      <c r="B389" s="59"/>
      <c r="C389" s="59"/>
      <c r="D389" s="59"/>
      <c r="E389" s="60"/>
      <c r="F389" s="60"/>
      <c r="G389" s="61"/>
    </row>
    <row r="390" spans="1:7" ht="14.25">
      <c r="A390" s="59"/>
      <c r="B390" s="59"/>
      <c r="C390" s="59"/>
      <c r="D390" s="59"/>
      <c r="E390" s="60"/>
      <c r="F390" s="60"/>
      <c r="G390" s="61"/>
    </row>
    <row r="391" spans="1:7" ht="14.25">
      <c r="A391" s="59"/>
      <c r="B391" s="59"/>
      <c r="C391" s="59"/>
      <c r="D391" s="59"/>
      <c r="E391" s="60"/>
      <c r="F391" s="60"/>
      <c r="G391" s="61"/>
    </row>
    <row r="392" spans="1:7" ht="14.25">
      <c r="A392" s="59"/>
      <c r="B392" s="59"/>
      <c r="C392" s="59"/>
      <c r="D392" s="59"/>
      <c r="E392" s="60"/>
      <c r="F392" s="60"/>
      <c r="G392" s="61"/>
    </row>
    <row r="393" spans="1:7" ht="14.25">
      <c r="A393" s="59"/>
      <c r="B393" s="59"/>
      <c r="C393" s="59"/>
      <c r="D393" s="59"/>
      <c r="E393" s="60"/>
      <c r="F393" s="60"/>
      <c r="G393" s="61"/>
    </row>
    <row r="394" spans="1:7" ht="14.25">
      <c r="A394" s="59"/>
      <c r="B394" s="59"/>
      <c r="C394" s="59"/>
      <c r="D394" s="59"/>
      <c r="E394" s="60"/>
      <c r="F394" s="60"/>
      <c r="G394" s="61"/>
    </row>
    <row r="395" spans="1:7" ht="14.25">
      <c r="A395" s="59"/>
      <c r="B395" s="59"/>
      <c r="C395" s="59"/>
      <c r="D395" s="59"/>
      <c r="E395" s="60"/>
      <c r="F395" s="60"/>
      <c r="G395" s="61"/>
    </row>
    <row r="396" spans="1:7" ht="14.25">
      <c r="A396" s="59"/>
      <c r="B396" s="59"/>
      <c r="C396" s="59"/>
      <c r="D396" s="59"/>
      <c r="E396" s="60"/>
      <c r="F396" s="60"/>
      <c r="G396" s="61"/>
    </row>
    <row r="397" spans="1:7" ht="14.25">
      <c r="A397" s="59"/>
      <c r="B397" s="59"/>
      <c r="C397" s="59"/>
      <c r="D397" s="59"/>
      <c r="E397" s="60"/>
      <c r="F397" s="60"/>
      <c r="G397" s="61"/>
    </row>
    <row r="398" spans="1:7" ht="14.25">
      <c r="A398" s="59"/>
      <c r="B398" s="59"/>
      <c r="C398" s="59"/>
      <c r="D398" s="59"/>
      <c r="E398" s="60"/>
      <c r="F398" s="60"/>
      <c r="G398" s="61"/>
    </row>
    <row r="399" spans="1:7" ht="14.25">
      <c r="A399" s="59"/>
      <c r="B399" s="59"/>
      <c r="C399" s="59"/>
      <c r="D399" s="59"/>
      <c r="E399" s="60"/>
      <c r="F399" s="60"/>
      <c r="G399" s="61"/>
    </row>
    <row r="400" spans="1:7" ht="14.25">
      <c r="A400" s="59"/>
      <c r="B400" s="59"/>
      <c r="C400" s="59"/>
      <c r="D400" s="59"/>
      <c r="E400" s="60"/>
      <c r="F400" s="60"/>
      <c r="G400" s="61"/>
    </row>
    <row r="401" spans="1:7" ht="14.25">
      <c r="A401" s="59"/>
      <c r="B401" s="59"/>
      <c r="C401" s="59"/>
      <c r="D401" s="59"/>
      <c r="E401" s="60"/>
      <c r="F401" s="60"/>
      <c r="G401" s="61"/>
    </row>
    <row r="402" spans="1:7" ht="14.25">
      <c r="A402" s="59"/>
      <c r="B402" s="59"/>
      <c r="C402" s="59"/>
      <c r="D402" s="59"/>
      <c r="E402" s="60"/>
      <c r="F402" s="60"/>
      <c r="G402" s="61"/>
    </row>
    <row r="403" spans="1:7" ht="14.25">
      <c r="A403" s="59"/>
      <c r="B403" s="59"/>
      <c r="C403" s="59"/>
      <c r="D403" s="59"/>
      <c r="E403" s="60"/>
      <c r="F403" s="60"/>
      <c r="G403" s="61"/>
    </row>
    <row r="404" spans="1:7" ht="14.25">
      <c r="A404" s="59"/>
      <c r="B404" s="59"/>
      <c r="C404" s="59"/>
      <c r="D404" s="59"/>
      <c r="E404" s="60"/>
      <c r="F404" s="60"/>
      <c r="G404" s="61"/>
    </row>
    <row r="405" spans="1:7" ht="14.25">
      <c r="A405" s="59"/>
      <c r="B405" s="59"/>
      <c r="C405" s="59"/>
      <c r="D405" s="59"/>
      <c r="E405" s="60"/>
      <c r="F405" s="60"/>
      <c r="G405" s="61"/>
    </row>
    <row r="406" spans="1:7" ht="14.25">
      <c r="A406" s="59"/>
      <c r="B406" s="59"/>
      <c r="C406" s="59"/>
      <c r="D406" s="59"/>
      <c r="E406" s="60"/>
      <c r="F406" s="60"/>
      <c r="G406" s="61"/>
    </row>
    <row r="407" spans="1:7" ht="14.25">
      <c r="A407" s="59"/>
      <c r="B407" s="59"/>
      <c r="C407" s="59"/>
      <c r="D407" s="59"/>
      <c r="E407" s="60"/>
      <c r="F407" s="60"/>
      <c r="G407" s="61"/>
    </row>
    <row r="408" spans="1:7" ht="14.25">
      <c r="A408" s="59"/>
      <c r="B408" s="59"/>
      <c r="C408" s="59"/>
      <c r="D408" s="59"/>
      <c r="E408" s="60"/>
      <c r="F408" s="60"/>
      <c r="G408" s="61"/>
    </row>
    <row r="409" spans="1:7" ht="14.25">
      <c r="A409" s="59"/>
      <c r="B409" s="59"/>
      <c r="C409" s="59"/>
      <c r="D409" s="59"/>
      <c r="E409" s="60"/>
      <c r="F409" s="60"/>
      <c r="G409" s="61"/>
    </row>
    <row r="410" spans="1:7" ht="14.25">
      <c r="A410" s="59"/>
      <c r="B410" s="59"/>
      <c r="C410" s="59"/>
      <c r="D410" s="59"/>
      <c r="E410" s="60"/>
      <c r="F410" s="60"/>
      <c r="G410" s="61"/>
    </row>
    <row r="411" spans="1:7" ht="14.25">
      <c r="A411" s="59"/>
      <c r="B411" s="59"/>
      <c r="C411" s="59"/>
      <c r="D411" s="59"/>
      <c r="E411" s="60"/>
      <c r="F411" s="60"/>
      <c r="G411" s="61"/>
    </row>
    <row r="412" spans="1:7" ht="14.25">
      <c r="A412" s="59"/>
      <c r="B412" s="59"/>
      <c r="C412" s="59"/>
      <c r="D412" s="59"/>
      <c r="E412" s="60"/>
      <c r="F412" s="60"/>
      <c r="G412" s="61"/>
    </row>
    <row r="413" spans="1:7" ht="14.25">
      <c r="A413" s="59"/>
      <c r="B413" s="59"/>
      <c r="C413" s="59"/>
      <c r="D413" s="59"/>
      <c r="E413" s="60"/>
      <c r="F413" s="60"/>
      <c r="G413" s="61"/>
    </row>
    <row r="414" spans="1:7" ht="14.25">
      <c r="A414" s="59"/>
      <c r="B414" s="59"/>
      <c r="C414" s="59"/>
      <c r="D414" s="59"/>
      <c r="E414" s="60"/>
      <c r="F414" s="60"/>
      <c r="G414" s="61"/>
    </row>
    <row r="415" spans="1:7" ht="14.25">
      <c r="A415" s="59"/>
      <c r="B415" s="59"/>
      <c r="C415" s="59"/>
      <c r="D415" s="59"/>
      <c r="E415" s="60"/>
      <c r="F415" s="60"/>
      <c r="G415" s="61"/>
    </row>
    <row r="416" spans="1:7" ht="14.25">
      <c r="A416" s="59"/>
      <c r="B416" s="59"/>
      <c r="C416" s="59"/>
      <c r="D416" s="59"/>
      <c r="E416" s="60"/>
      <c r="F416" s="60"/>
      <c r="G416" s="61"/>
    </row>
    <row r="417" spans="1:7" ht="14.25">
      <c r="A417" s="59"/>
      <c r="B417" s="59"/>
      <c r="C417" s="59"/>
      <c r="D417" s="59"/>
      <c r="E417" s="60"/>
      <c r="F417" s="60"/>
      <c r="G417" s="61"/>
    </row>
    <row r="418" spans="1:7" ht="14.25">
      <c r="A418" s="59"/>
      <c r="B418" s="59"/>
      <c r="C418" s="59"/>
      <c r="D418" s="59"/>
      <c r="E418" s="60"/>
      <c r="F418" s="60"/>
      <c r="G418" s="61"/>
    </row>
    <row r="419" spans="1:7" ht="14.25">
      <c r="A419" s="59"/>
      <c r="B419" s="59"/>
      <c r="C419" s="59"/>
      <c r="D419" s="59"/>
      <c r="E419" s="60"/>
      <c r="F419" s="60"/>
      <c r="G419" s="61"/>
    </row>
    <row r="420" spans="1:7" ht="14.25">
      <c r="A420" s="59"/>
      <c r="B420" s="59"/>
      <c r="C420" s="59"/>
      <c r="D420" s="59"/>
      <c r="E420" s="60"/>
      <c r="F420" s="60"/>
      <c r="G420" s="61"/>
    </row>
    <row r="421" spans="1:7" ht="14.25">
      <c r="A421" s="59"/>
      <c r="B421" s="59"/>
      <c r="C421" s="59"/>
      <c r="D421" s="59"/>
      <c r="E421" s="60"/>
      <c r="F421" s="60"/>
      <c r="G421" s="61"/>
    </row>
    <row r="422" spans="1:7" ht="14.25">
      <c r="A422" s="59"/>
      <c r="B422" s="59"/>
      <c r="C422" s="59"/>
      <c r="D422" s="59"/>
      <c r="E422" s="60"/>
      <c r="F422" s="60"/>
      <c r="G422" s="61"/>
    </row>
    <row r="423" spans="1:7" ht="14.25">
      <c r="A423" s="59"/>
      <c r="B423" s="59"/>
      <c r="C423" s="59"/>
      <c r="D423" s="59"/>
      <c r="E423" s="60"/>
      <c r="F423" s="60"/>
      <c r="G423" s="61"/>
    </row>
    <row r="424" spans="1:7" ht="14.25">
      <c r="A424" s="59"/>
      <c r="B424" s="59"/>
      <c r="C424" s="59"/>
      <c r="D424" s="59"/>
      <c r="E424" s="60"/>
      <c r="F424" s="60"/>
      <c r="G424" s="61"/>
    </row>
    <row r="425" spans="1:7" ht="14.25">
      <c r="A425" s="59"/>
      <c r="B425" s="59"/>
      <c r="C425" s="59"/>
      <c r="D425" s="59"/>
      <c r="E425" s="60"/>
      <c r="F425" s="60"/>
      <c r="G425" s="61"/>
    </row>
    <row r="426" spans="1:7" ht="14.25">
      <c r="A426" s="59"/>
      <c r="B426" s="59"/>
      <c r="C426" s="59"/>
      <c r="D426" s="59"/>
      <c r="E426" s="60"/>
      <c r="F426" s="60"/>
      <c r="G426" s="61"/>
    </row>
    <row r="427" spans="1:7" ht="14.25">
      <c r="A427" s="59"/>
      <c r="B427" s="59"/>
      <c r="C427" s="59"/>
      <c r="D427" s="59"/>
      <c r="E427" s="60"/>
      <c r="F427" s="60"/>
      <c r="G427" s="61"/>
    </row>
    <row r="428" spans="1:7" ht="14.25">
      <c r="A428" s="59"/>
      <c r="B428" s="59"/>
      <c r="C428" s="59"/>
      <c r="D428" s="59"/>
      <c r="E428" s="60"/>
      <c r="F428" s="60"/>
      <c r="G428" s="61"/>
    </row>
    <row r="429" spans="1:7" ht="14.25">
      <c r="A429" s="59"/>
      <c r="B429" s="59"/>
      <c r="C429" s="59"/>
      <c r="D429" s="59"/>
      <c r="E429" s="60"/>
      <c r="F429" s="60"/>
      <c r="G429" s="61"/>
    </row>
    <row r="430" spans="1:7" ht="14.25">
      <c r="A430" s="59"/>
      <c r="B430" s="59"/>
      <c r="C430" s="59"/>
      <c r="D430" s="59"/>
      <c r="E430" s="60"/>
      <c r="F430" s="60"/>
      <c r="G430" s="61"/>
    </row>
    <row r="431" spans="1:7" ht="14.25">
      <c r="A431" s="59"/>
      <c r="B431" s="59"/>
      <c r="C431" s="59"/>
      <c r="D431" s="59"/>
      <c r="E431" s="60"/>
      <c r="F431" s="60"/>
      <c r="G431" s="61"/>
    </row>
    <row r="432" spans="1:7" ht="14.25">
      <c r="A432" s="59"/>
      <c r="B432" s="59"/>
      <c r="C432" s="59"/>
      <c r="D432" s="59"/>
      <c r="E432" s="60"/>
      <c r="F432" s="60"/>
      <c r="G432" s="61"/>
    </row>
    <row r="433" spans="1:7" ht="14.25">
      <c r="A433" s="59"/>
      <c r="B433" s="59"/>
      <c r="C433" s="59"/>
      <c r="D433" s="59"/>
      <c r="E433" s="60"/>
      <c r="F433" s="60"/>
      <c r="G433" s="61"/>
    </row>
    <row r="434" spans="1:7" ht="14.25">
      <c r="A434" s="59"/>
      <c r="B434" s="59"/>
      <c r="C434" s="59"/>
      <c r="D434" s="59"/>
      <c r="E434" s="60"/>
      <c r="F434" s="60"/>
      <c r="G434" s="61"/>
    </row>
    <row r="435" spans="1:7" ht="14.25">
      <c r="A435" s="59"/>
      <c r="B435" s="59"/>
      <c r="C435" s="59"/>
      <c r="D435" s="59"/>
      <c r="E435" s="60"/>
      <c r="F435" s="60"/>
      <c r="G435" s="61"/>
    </row>
    <row r="436" spans="1:7" ht="14.25">
      <c r="A436" s="59"/>
      <c r="B436" s="59"/>
      <c r="C436" s="59"/>
      <c r="D436" s="59"/>
      <c r="E436" s="60"/>
      <c r="F436" s="60"/>
      <c r="G436" s="61"/>
    </row>
    <row r="437" spans="1:7" ht="14.25">
      <c r="A437" s="59"/>
      <c r="B437" s="59"/>
      <c r="C437" s="59"/>
      <c r="D437" s="59"/>
      <c r="E437" s="60"/>
      <c r="F437" s="60"/>
      <c r="G437" s="61"/>
    </row>
    <row r="438" spans="1:7" ht="14.25">
      <c r="A438" s="59"/>
      <c r="B438" s="59"/>
      <c r="C438" s="59"/>
      <c r="D438" s="59"/>
      <c r="E438" s="60"/>
      <c r="F438" s="60"/>
      <c r="G438" s="61"/>
    </row>
    <row r="439" spans="1:7" ht="14.25">
      <c r="A439" s="59"/>
      <c r="B439" s="59"/>
      <c r="C439" s="59"/>
      <c r="D439" s="59"/>
      <c r="E439" s="60"/>
      <c r="F439" s="60"/>
      <c r="G439" s="61"/>
    </row>
    <row r="440" spans="1:7" ht="14.25">
      <c r="A440" s="59"/>
      <c r="B440" s="59"/>
      <c r="C440" s="59"/>
      <c r="D440" s="59"/>
      <c r="E440" s="60"/>
      <c r="F440" s="60"/>
      <c r="G440" s="61"/>
    </row>
    <row r="441" spans="1:7" ht="14.25">
      <c r="A441" s="59"/>
      <c r="B441" s="59"/>
      <c r="C441" s="59"/>
      <c r="D441" s="59"/>
      <c r="E441" s="60"/>
      <c r="F441" s="60"/>
      <c r="G441" s="61"/>
    </row>
    <row r="442" spans="1:7" ht="14.25">
      <c r="A442" s="59"/>
      <c r="B442" s="59"/>
      <c r="C442" s="59"/>
      <c r="D442" s="59"/>
      <c r="E442" s="60"/>
      <c r="F442" s="60"/>
      <c r="G442" s="61"/>
    </row>
    <row r="443" spans="1:7" ht="14.25">
      <c r="A443" s="59"/>
      <c r="B443" s="59"/>
      <c r="C443" s="59"/>
      <c r="D443" s="59"/>
      <c r="E443" s="60"/>
      <c r="F443" s="60"/>
      <c r="G443" s="61"/>
    </row>
    <row r="444" spans="1:7" ht="14.25">
      <c r="A444" s="59"/>
      <c r="B444" s="59"/>
      <c r="C444" s="59"/>
      <c r="D444" s="59"/>
      <c r="E444" s="60"/>
      <c r="F444" s="60"/>
      <c r="G444" s="61"/>
    </row>
    <row r="445" spans="1:7" ht="14.25">
      <c r="A445" s="59"/>
      <c r="B445" s="59"/>
      <c r="C445" s="59"/>
      <c r="D445" s="59"/>
      <c r="E445" s="60"/>
      <c r="F445" s="60"/>
      <c r="G445" s="61"/>
    </row>
    <row r="446" spans="1:7" ht="14.25">
      <c r="A446" s="59"/>
      <c r="B446" s="59"/>
      <c r="C446" s="59"/>
      <c r="D446" s="59"/>
      <c r="E446" s="60"/>
      <c r="F446" s="60"/>
      <c r="G446" s="61"/>
    </row>
    <row r="447" spans="1:7" ht="14.25">
      <c r="A447" s="59"/>
      <c r="B447" s="59"/>
      <c r="C447" s="59"/>
      <c r="D447" s="59"/>
      <c r="E447" s="60"/>
      <c r="F447" s="60"/>
      <c r="G447" s="61"/>
    </row>
    <row r="448" spans="1:7" ht="14.25">
      <c r="A448" s="59"/>
      <c r="B448" s="59"/>
      <c r="C448" s="59"/>
      <c r="D448" s="59"/>
      <c r="E448" s="60"/>
      <c r="F448" s="60"/>
      <c r="G448" s="61"/>
    </row>
    <row r="449" spans="1:7" ht="14.25">
      <c r="A449" s="59"/>
      <c r="B449" s="59"/>
      <c r="C449" s="59"/>
      <c r="D449" s="59"/>
      <c r="E449" s="60"/>
      <c r="F449" s="60"/>
      <c r="G449" s="61"/>
    </row>
    <row r="450" spans="1:7" ht="14.25">
      <c r="A450" s="59"/>
      <c r="B450" s="59"/>
      <c r="C450" s="59"/>
      <c r="D450" s="59"/>
      <c r="E450" s="60"/>
      <c r="F450" s="60"/>
      <c r="G450" s="61"/>
    </row>
    <row r="451" spans="1:7" ht="14.25">
      <c r="A451" s="59"/>
      <c r="B451" s="59"/>
      <c r="C451" s="59"/>
      <c r="D451" s="59"/>
      <c r="E451" s="60"/>
      <c r="F451" s="60"/>
      <c r="G451" s="61"/>
    </row>
    <row r="452" spans="1:7" ht="14.25">
      <c r="A452" s="59"/>
      <c r="B452" s="59"/>
      <c r="C452" s="59"/>
      <c r="D452" s="59"/>
      <c r="E452" s="60"/>
      <c r="F452" s="60"/>
      <c r="G452" s="61"/>
    </row>
    <row r="453" spans="1:7" ht="14.25">
      <c r="A453" s="59"/>
      <c r="B453" s="59"/>
      <c r="C453" s="59"/>
      <c r="D453" s="59"/>
      <c r="E453" s="60"/>
      <c r="F453" s="60"/>
      <c r="G453" s="61"/>
    </row>
    <row r="454" spans="1:7" ht="14.25">
      <c r="A454" s="59"/>
      <c r="B454" s="59"/>
      <c r="C454" s="59"/>
      <c r="D454" s="59"/>
      <c r="E454" s="60"/>
      <c r="F454" s="60"/>
      <c r="G454" s="61"/>
    </row>
    <row r="455" spans="1:7" ht="14.25">
      <c r="A455" s="59"/>
      <c r="B455" s="59"/>
      <c r="C455" s="59"/>
      <c r="D455" s="59"/>
      <c r="E455" s="60"/>
      <c r="F455" s="60"/>
      <c r="G455" s="61"/>
    </row>
    <row r="456" spans="1:7" ht="14.25">
      <c r="A456" s="59"/>
      <c r="B456" s="59"/>
      <c r="C456" s="59"/>
      <c r="D456" s="59"/>
      <c r="E456" s="60"/>
      <c r="F456" s="60"/>
      <c r="G456" s="61"/>
    </row>
    <row r="457" spans="1:7" ht="14.25">
      <c r="A457" s="59"/>
      <c r="B457" s="59"/>
      <c r="C457" s="59"/>
      <c r="D457" s="59"/>
      <c r="E457" s="60"/>
      <c r="F457" s="60"/>
      <c r="G457" s="61"/>
    </row>
    <row r="458" spans="1:7" ht="14.25">
      <c r="A458" s="59"/>
      <c r="B458" s="59"/>
      <c r="C458" s="59"/>
      <c r="D458" s="59"/>
      <c r="E458" s="60"/>
      <c r="F458" s="60"/>
      <c r="G458" s="61"/>
    </row>
    <row r="459" spans="1:7" ht="14.25">
      <c r="A459" s="59"/>
      <c r="B459" s="59"/>
      <c r="C459" s="59"/>
      <c r="D459" s="59"/>
      <c r="E459" s="60"/>
      <c r="F459" s="60"/>
      <c r="G459" s="61"/>
    </row>
    <row r="460" spans="1:7" ht="14.25">
      <c r="A460" s="59"/>
      <c r="B460" s="59"/>
      <c r="C460" s="59"/>
      <c r="D460" s="59"/>
      <c r="E460" s="60"/>
      <c r="F460" s="60"/>
      <c r="G460" s="61"/>
    </row>
    <row r="461" spans="1:7" ht="14.25">
      <c r="A461" s="59"/>
      <c r="B461" s="59"/>
      <c r="C461" s="59"/>
      <c r="D461" s="59"/>
      <c r="E461" s="60"/>
      <c r="F461" s="60"/>
      <c r="G461" s="61"/>
    </row>
    <row r="462" spans="1:7" ht="14.25">
      <c r="A462" s="59"/>
      <c r="B462" s="59"/>
      <c r="C462" s="59"/>
      <c r="D462" s="59"/>
      <c r="E462" s="60"/>
      <c r="F462" s="60"/>
      <c r="G462" s="61"/>
    </row>
    <row r="463" spans="1:7" ht="14.25">
      <c r="A463" s="59"/>
      <c r="B463" s="59"/>
      <c r="C463" s="59"/>
      <c r="D463" s="59"/>
      <c r="E463" s="60"/>
      <c r="F463" s="60"/>
      <c r="G463" s="61"/>
    </row>
    <row r="464" spans="1:7" ht="14.25">
      <c r="A464" s="59"/>
      <c r="B464" s="59"/>
      <c r="C464" s="59"/>
      <c r="D464" s="59"/>
      <c r="E464" s="60"/>
      <c r="F464" s="60"/>
      <c r="G464" s="61"/>
    </row>
    <row r="465" spans="1:7" ht="14.25">
      <c r="A465" s="59"/>
      <c r="B465" s="59"/>
      <c r="C465" s="59"/>
      <c r="D465" s="59"/>
      <c r="E465" s="60"/>
      <c r="F465" s="60"/>
      <c r="G465" s="61"/>
    </row>
    <row r="466" spans="1:7" ht="14.25">
      <c r="A466" s="59"/>
      <c r="B466" s="59"/>
      <c r="C466" s="59"/>
      <c r="D466" s="59"/>
      <c r="E466" s="60"/>
      <c r="F466" s="60"/>
      <c r="G466" s="61"/>
    </row>
    <row r="467" spans="1:7" ht="14.25">
      <c r="A467" s="59"/>
      <c r="B467" s="59"/>
      <c r="C467" s="59"/>
      <c r="D467" s="59"/>
      <c r="E467" s="60"/>
      <c r="F467" s="60"/>
      <c r="G467" s="61"/>
    </row>
    <row r="468" spans="1:7" ht="14.25">
      <c r="A468" s="59"/>
      <c r="B468" s="59"/>
      <c r="C468" s="59"/>
      <c r="D468" s="59"/>
      <c r="E468" s="60"/>
      <c r="F468" s="60"/>
      <c r="G468" s="61"/>
    </row>
    <row r="469" spans="1:7" ht="14.25">
      <c r="A469" s="59"/>
      <c r="B469" s="59"/>
      <c r="C469" s="59"/>
      <c r="D469" s="59"/>
      <c r="E469" s="60"/>
      <c r="F469" s="60"/>
      <c r="G469" s="61"/>
    </row>
    <row r="470" spans="1:7" ht="14.25">
      <c r="A470" s="59"/>
      <c r="B470" s="59"/>
      <c r="C470" s="59"/>
      <c r="D470" s="59"/>
      <c r="E470" s="60"/>
      <c r="F470" s="60"/>
      <c r="G470" s="61"/>
    </row>
    <row r="471" spans="1:7" ht="14.25">
      <c r="A471" s="59"/>
      <c r="B471" s="59"/>
      <c r="C471" s="59"/>
      <c r="D471" s="59"/>
      <c r="E471" s="60"/>
      <c r="F471" s="60"/>
      <c r="G471" s="61"/>
    </row>
    <row r="472" spans="1:7" ht="14.25">
      <c r="A472" s="59"/>
      <c r="B472" s="59"/>
      <c r="C472" s="59"/>
      <c r="D472" s="59"/>
      <c r="E472" s="60"/>
      <c r="F472" s="60"/>
      <c r="G472" s="61"/>
    </row>
    <row r="473" spans="1:7" ht="14.25">
      <c r="A473" s="59"/>
      <c r="B473" s="59"/>
      <c r="C473" s="59"/>
      <c r="D473" s="59"/>
      <c r="E473" s="60"/>
      <c r="F473" s="60"/>
      <c r="G473" s="61"/>
    </row>
    <row r="474" spans="1:7" ht="14.25">
      <c r="A474" s="59"/>
      <c r="B474" s="59"/>
      <c r="C474" s="59"/>
      <c r="D474" s="59"/>
      <c r="E474" s="60"/>
      <c r="F474" s="60"/>
      <c r="G474" s="61"/>
    </row>
    <row r="475" spans="1:7" ht="14.25">
      <c r="A475" s="59"/>
      <c r="B475" s="59"/>
      <c r="C475" s="59"/>
      <c r="D475" s="59"/>
      <c r="E475" s="60"/>
      <c r="F475" s="60"/>
      <c r="G475" s="61"/>
    </row>
    <row r="476" spans="1:7" ht="14.25">
      <c r="A476" s="59"/>
      <c r="B476" s="59"/>
      <c r="C476" s="59"/>
      <c r="D476" s="59"/>
      <c r="E476" s="60"/>
      <c r="F476" s="60"/>
      <c r="G476" s="61"/>
    </row>
    <row r="477" spans="1:7" ht="14.25">
      <c r="A477" s="59"/>
      <c r="B477" s="59"/>
      <c r="C477" s="59"/>
      <c r="D477" s="59"/>
      <c r="E477" s="60"/>
      <c r="F477" s="60"/>
      <c r="G477" s="61"/>
    </row>
    <row r="478" spans="1:7" ht="14.25">
      <c r="A478" s="59"/>
      <c r="B478" s="59"/>
      <c r="C478" s="59"/>
      <c r="D478" s="59"/>
      <c r="E478" s="60"/>
      <c r="F478" s="60"/>
      <c r="G478" s="61"/>
    </row>
    <row r="479" spans="1:7" ht="14.25">
      <c r="A479" s="59"/>
      <c r="B479" s="59"/>
      <c r="C479" s="59"/>
      <c r="D479" s="59"/>
      <c r="E479" s="60"/>
      <c r="F479" s="60"/>
      <c r="G479" s="61"/>
    </row>
    <row r="480" spans="1:7" ht="14.25">
      <c r="A480" s="59"/>
      <c r="B480" s="59"/>
      <c r="C480" s="59"/>
      <c r="D480" s="59"/>
      <c r="E480" s="60"/>
      <c r="F480" s="60"/>
      <c r="G480" s="61"/>
    </row>
    <row r="481" spans="1:7" ht="14.25">
      <c r="A481" s="59"/>
      <c r="B481" s="59"/>
      <c r="C481" s="59"/>
      <c r="D481" s="59"/>
      <c r="E481" s="60"/>
      <c r="F481" s="60"/>
      <c r="G481" s="61"/>
    </row>
    <row r="482" spans="1:7" ht="14.25">
      <c r="A482" s="59"/>
      <c r="B482" s="59"/>
      <c r="C482" s="59"/>
      <c r="D482" s="59"/>
      <c r="E482" s="60"/>
      <c r="F482" s="60"/>
      <c r="G482" s="61"/>
    </row>
    <row r="483" spans="1:7" ht="14.25">
      <c r="A483" s="59"/>
      <c r="B483" s="59"/>
      <c r="C483" s="59"/>
      <c r="D483" s="59"/>
      <c r="E483" s="60"/>
      <c r="F483" s="60"/>
      <c r="G483" s="61"/>
    </row>
    <row r="484" spans="1:7" ht="14.25">
      <c r="A484" s="59"/>
      <c r="B484" s="59"/>
      <c r="C484" s="59"/>
      <c r="D484" s="59"/>
      <c r="E484" s="60"/>
      <c r="F484" s="60"/>
      <c r="G484" s="61"/>
    </row>
    <row r="485" spans="1:7" ht="14.25">
      <c r="A485" s="59"/>
      <c r="B485" s="59"/>
      <c r="C485" s="59"/>
      <c r="D485" s="59"/>
      <c r="E485" s="60"/>
      <c r="F485" s="60"/>
      <c r="G485" s="61"/>
    </row>
    <row r="486" spans="1:7" ht="14.25">
      <c r="A486" s="59"/>
      <c r="B486" s="59"/>
      <c r="C486" s="59"/>
      <c r="D486" s="59"/>
      <c r="E486" s="60"/>
      <c r="F486" s="60"/>
      <c r="G486" s="61"/>
    </row>
    <row r="487" spans="1:7" ht="14.25">
      <c r="A487" s="59"/>
      <c r="B487" s="59"/>
      <c r="C487" s="59"/>
      <c r="D487" s="59"/>
      <c r="E487" s="60"/>
      <c r="F487" s="60"/>
      <c r="G487" s="61"/>
    </row>
    <row r="488" spans="1:7" ht="14.25">
      <c r="A488" s="59"/>
      <c r="B488" s="59"/>
      <c r="C488" s="59"/>
      <c r="D488" s="59"/>
      <c r="E488" s="60"/>
      <c r="F488" s="60"/>
      <c r="G488" s="61"/>
    </row>
    <row r="489" spans="1:7" ht="14.25">
      <c r="A489" s="59"/>
      <c r="B489" s="59"/>
      <c r="C489" s="59"/>
      <c r="D489" s="59"/>
      <c r="E489" s="60"/>
      <c r="F489" s="60"/>
      <c r="G489" s="61"/>
    </row>
    <row r="490" spans="1:7" ht="14.25">
      <c r="A490" s="59"/>
      <c r="B490" s="59"/>
      <c r="C490" s="59"/>
      <c r="D490" s="59"/>
      <c r="E490" s="60"/>
      <c r="F490" s="60"/>
      <c r="G490" s="61"/>
    </row>
    <row r="491" spans="1:7" ht="14.25">
      <c r="A491" s="59"/>
      <c r="B491" s="59"/>
      <c r="C491" s="59"/>
      <c r="D491" s="59"/>
      <c r="E491" s="60"/>
      <c r="F491" s="60"/>
      <c r="G491" s="61"/>
    </row>
    <row r="492" spans="1:7" ht="14.25">
      <c r="A492" s="59"/>
      <c r="B492" s="59"/>
      <c r="C492" s="59"/>
      <c r="D492" s="59"/>
      <c r="E492" s="60"/>
      <c r="F492" s="60"/>
      <c r="G492" s="61"/>
    </row>
    <row r="493" spans="1:7" ht="14.25">
      <c r="A493" s="59"/>
      <c r="B493" s="59"/>
      <c r="C493" s="59"/>
      <c r="D493" s="59"/>
      <c r="E493" s="60"/>
      <c r="F493" s="60"/>
      <c r="G493" s="61"/>
    </row>
    <row r="494" spans="1:7" ht="14.25">
      <c r="A494" s="59"/>
      <c r="B494" s="59"/>
      <c r="C494" s="59"/>
      <c r="D494" s="59"/>
      <c r="E494" s="60"/>
      <c r="F494" s="60"/>
      <c r="G494" s="61"/>
    </row>
    <row r="495" spans="1:7" ht="14.25">
      <c r="A495" s="59"/>
      <c r="B495" s="59"/>
      <c r="C495" s="59"/>
      <c r="D495" s="59"/>
      <c r="E495" s="60"/>
      <c r="F495" s="60"/>
      <c r="G495" s="61"/>
    </row>
    <row r="496" spans="1:7" ht="14.25">
      <c r="A496" s="59"/>
      <c r="B496" s="59"/>
      <c r="C496" s="59"/>
      <c r="D496" s="59"/>
      <c r="E496" s="60"/>
      <c r="F496" s="60"/>
      <c r="G496" s="61"/>
    </row>
    <row r="497" spans="1:7" ht="14.25">
      <c r="A497" s="59"/>
      <c r="B497" s="59"/>
      <c r="C497" s="59"/>
      <c r="D497" s="59"/>
      <c r="E497" s="60"/>
      <c r="F497" s="60"/>
      <c r="G497" s="61"/>
    </row>
    <row r="498" spans="1:7" ht="14.25">
      <c r="A498" s="59"/>
      <c r="B498" s="59"/>
      <c r="C498" s="59"/>
      <c r="D498" s="59"/>
      <c r="E498" s="60"/>
      <c r="F498" s="60"/>
      <c r="G498" s="61"/>
    </row>
    <row r="499" spans="1:7" ht="14.25">
      <c r="A499" s="59"/>
      <c r="B499" s="59"/>
      <c r="C499" s="59"/>
      <c r="D499" s="59"/>
      <c r="E499" s="60"/>
      <c r="F499" s="60"/>
      <c r="G499" s="61"/>
    </row>
    <row r="500" spans="1:7" ht="14.25">
      <c r="A500" s="59"/>
      <c r="B500" s="59"/>
      <c r="C500" s="59"/>
      <c r="D500" s="59"/>
      <c r="E500" s="60"/>
      <c r="F500" s="60"/>
      <c r="G500" s="61"/>
    </row>
    <row r="501" spans="1:7" ht="14.25">
      <c r="A501" s="59"/>
      <c r="B501" s="59"/>
      <c r="C501" s="59"/>
      <c r="D501" s="59"/>
      <c r="E501" s="60"/>
      <c r="F501" s="60"/>
      <c r="G501" s="61"/>
    </row>
    <row r="502" spans="1:7" ht="14.25">
      <c r="A502" s="59"/>
      <c r="B502" s="59"/>
      <c r="C502" s="59"/>
      <c r="D502" s="59"/>
      <c r="E502" s="60"/>
      <c r="F502" s="60"/>
      <c r="G502" s="61"/>
    </row>
    <row r="503" spans="1:7" ht="14.25">
      <c r="A503" s="59"/>
      <c r="B503" s="59"/>
      <c r="C503" s="59"/>
      <c r="D503" s="59"/>
      <c r="E503" s="60"/>
      <c r="F503" s="60"/>
      <c r="G503" s="61"/>
    </row>
    <row r="504" spans="1:7" ht="14.25">
      <c r="A504" s="59"/>
      <c r="B504" s="59"/>
      <c r="C504" s="59"/>
      <c r="D504" s="59"/>
      <c r="E504" s="60"/>
      <c r="F504" s="60"/>
      <c r="G504" s="61"/>
    </row>
    <row r="505" spans="1:7" ht="14.25">
      <c r="A505" s="59"/>
      <c r="B505" s="59"/>
      <c r="C505" s="59"/>
      <c r="D505" s="59"/>
      <c r="E505" s="60"/>
      <c r="F505" s="60"/>
      <c r="G505" s="61"/>
    </row>
    <row r="506" spans="1:7" ht="14.25">
      <c r="A506" s="59"/>
      <c r="B506" s="59"/>
      <c r="C506" s="59"/>
      <c r="D506" s="59"/>
      <c r="E506" s="60"/>
      <c r="F506" s="60"/>
      <c r="G506" s="61"/>
    </row>
    <row r="507" spans="1:7" ht="14.25">
      <c r="A507" s="59"/>
      <c r="B507" s="59"/>
      <c r="C507" s="59"/>
      <c r="D507" s="59"/>
      <c r="E507" s="60"/>
      <c r="F507" s="60"/>
      <c r="G507" s="61"/>
    </row>
    <row r="508" spans="1:7" ht="14.25">
      <c r="A508" s="59"/>
      <c r="B508" s="59"/>
      <c r="C508" s="59"/>
      <c r="D508" s="59"/>
      <c r="E508" s="60"/>
      <c r="F508" s="60"/>
      <c r="G508" s="61"/>
    </row>
    <row r="509" spans="1:7" ht="14.25">
      <c r="A509" s="59"/>
      <c r="B509" s="59"/>
      <c r="C509" s="59"/>
      <c r="D509" s="59"/>
      <c r="E509" s="60"/>
      <c r="F509" s="60"/>
      <c r="G509" s="61"/>
    </row>
    <row r="510" spans="1:7" ht="14.25">
      <c r="A510" s="59"/>
      <c r="B510" s="59"/>
      <c r="C510" s="59"/>
      <c r="D510" s="59"/>
      <c r="E510" s="60"/>
      <c r="F510" s="60"/>
      <c r="G510" s="61"/>
    </row>
    <row r="511" spans="1:7" ht="14.25">
      <c r="A511" s="59"/>
      <c r="B511" s="59"/>
      <c r="C511" s="59"/>
      <c r="D511" s="59"/>
      <c r="E511" s="60"/>
      <c r="F511" s="60"/>
      <c r="G511" s="61"/>
    </row>
    <row r="512" spans="1:7" ht="14.25">
      <c r="A512" s="59"/>
      <c r="B512" s="59"/>
      <c r="C512" s="59"/>
      <c r="D512" s="59"/>
      <c r="E512" s="60"/>
      <c r="F512" s="60"/>
      <c r="G512" s="61"/>
    </row>
    <row r="513" spans="1:7" ht="14.25">
      <c r="A513" s="59"/>
      <c r="B513" s="59"/>
      <c r="C513" s="59"/>
      <c r="D513" s="59"/>
      <c r="E513" s="60"/>
      <c r="F513" s="60"/>
      <c r="G513" s="61"/>
    </row>
    <row r="514" spans="1:7" ht="14.25">
      <c r="A514" s="59"/>
      <c r="B514" s="59"/>
      <c r="C514" s="59"/>
      <c r="D514" s="59"/>
      <c r="E514" s="60"/>
      <c r="F514" s="60"/>
      <c r="G514" s="61"/>
    </row>
    <row r="515" spans="1:7" ht="14.25">
      <c r="A515" s="59"/>
      <c r="B515" s="59"/>
      <c r="C515" s="59"/>
      <c r="D515" s="59"/>
      <c r="E515" s="60"/>
      <c r="F515" s="60"/>
      <c r="G515" s="61"/>
    </row>
    <row r="516" spans="1:7" ht="14.25">
      <c r="A516" s="59"/>
      <c r="B516" s="59"/>
      <c r="C516" s="59"/>
      <c r="D516" s="59"/>
      <c r="E516" s="60"/>
      <c r="F516" s="60"/>
      <c r="G516" s="61"/>
    </row>
    <row r="517" spans="1:7" ht="14.25">
      <c r="A517" s="59"/>
      <c r="B517" s="59"/>
      <c r="C517" s="59"/>
      <c r="D517" s="59"/>
      <c r="E517" s="60"/>
      <c r="F517" s="60"/>
      <c r="G517" s="61"/>
    </row>
    <row r="518" spans="1:7" ht="14.25">
      <c r="A518" s="59"/>
      <c r="B518" s="59"/>
      <c r="C518" s="59"/>
      <c r="D518" s="59"/>
      <c r="E518" s="60"/>
      <c r="F518" s="60"/>
      <c r="G518" s="61"/>
    </row>
    <row r="519" spans="1:7" ht="14.25">
      <c r="A519" s="59"/>
      <c r="B519" s="59"/>
      <c r="C519" s="59"/>
      <c r="D519" s="59"/>
      <c r="E519" s="60"/>
      <c r="F519" s="60"/>
      <c r="G519" s="61"/>
    </row>
    <row r="520" spans="1:7" ht="14.25">
      <c r="A520" s="59"/>
      <c r="B520" s="59"/>
      <c r="C520" s="59"/>
      <c r="D520" s="59"/>
      <c r="E520" s="60"/>
      <c r="F520" s="60"/>
      <c r="G520" s="61"/>
    </row>
    <row r="521" spans="1:7" ht="14.25">
      <c r="A521" s="59"/>
      <c r="B521" s="59"/>
      <c r="C521" s="59"/>
      <c r="D521" s="59"/>
      <c r="E521" s="60"/>
      <c r="F521" s="60"/>
      <c r="G521" s="61"/>
    </row>
    <row r="522" spans="1:7" ht="14.25">
      <c r="A522" s="59"/>
      <c r="B522" s="59"/>
      <c r="C522" s="59"/>
      <c r="D522" s="59"/>
      <c r="E522" s="60"/>
      <c r="F522" s="60"/>
      <c r="G522" s="61"/>
    </row>
    <row r="523" spans="1:7" ht="14.25">
      <c r="A523" s="59"/>
      <c r="B523" s="59"/>
      <c r="C523" s="59"/>
      <c r="D523" s="59"/>
      <c r="E523" s="60"/>
      <c r="F523" s="60"/>
      <c r="G523" s="61"/>
    </row>
    <row r="524" spans="1:7" ht="14.25">
      <c r="A524" s="59"/>
      <c r="B524" s="59"/>
      <c r="C524" s="59"/>
      <c r="D524" s="59"/>
      <c r="E524" s="60"/>
      <c r="F524" s="60"/>
      <c r="G524" s="61"/>
    </row>
    <row r="525" spans="1:7" ht="14.25">
      <c r="A525" s="59"/>
      <c r="B525" s="59"/>
      <c r="C525" s="59"/>
      <c r="D525" s="59"/>
      <c r="E525" s="60"/>
      <c r="F525" s="60"/>
      <c r="G525" s="61"/>
    </row>
    <row r="526" spans="1:7" ht="14.25">
      <c r="A526" s="59"/>
      <c r="B526" s="59"/>
      <c r="C526" s="59"/>
      <c r="D526" s="59"/>
      <c r="E526" s="60"/>
      <c r="F526" s="60"/>
      <c r="G526" s="61"/>
    </row>
    <row r="527" spans="1:7" ht="14.25">
      <c r="A527" s="59"/>
      <c r="B527" s="59"/>
      <c r="C527" s="59"/>
      <c r="D527" s="59"/>
      <c r="E527" s="60"/>
      <c r="F527" s="60"/>
      <c r="G527" s="61"/>
    </row>
    <row r="528" spans="1:7" ht="14.25">
      <c r="A528" s="59"/>
      <c r="B528" s="59"/>
      <c r="C528" s="59"/>
      <c r="D528" s="59"/>
      <c r="E528" s="60"/>
      <c r="F528" s="60"/>
      <c r="G528" s="61"/>
    </row>
    <row r="529" spans="1:7" ht="14.25">
      <c r="A529" s="59"/>
      <c r="B529" s="59"/>
      <c r="C529" s="59"/>
      <c r="D529" s="59"/>
      <c r="E529" s="60"/>
      <c r="F529" s="60"/>
      <c r="G529" s="61"/>
    </row>
    <row r="530" spans="1:7" ht="14.25">
      <c r="A530" s="59"/>
      <c r="B530" s="59"/>
      <c r="C530" s="59"/>
      <c r="D530" s="59"/>
      <c r="E530" s="60"/>
      <c r="F530" s="60"/>
      <c r="G530" s="61"/>
    </row>
    <row r="531" spans="1:7" ht="14.25">
      <c r="A531" s="59"/>
      <c r="B531" s="59"/>
      <c r="C531" s="59"/>
      <c r="D531" s="59"/>
      <c r="E531" s="60"/>
      <c r="F531" s="60"/>
      <c r="G531" s="61"/>
    </row>
    <row r="532" spans="1:7" ht="14.25">
      <c r="A532" s="59"/>
      <c r="B532" s="59"/>
      <c r="C532" s="59"/>
      <c r="D532" s="59"/>
      <c r="E532" s="60"/>
      <c r="F532" s="60"/>
      <c r="G532" s="61"/>
    </row>
    <row r="533" spans="1:7" ht="14.25">
      <c r="A533" s="59"/>
      <c r="B533" s="59"/>
      <c r="C533" s="59"/>
      <c r="D533" s="59"/>
      <c r="E533" s="60"/>
      <c r="F533" s="60"/>
      <c r="G533" s="61"/>
    </row>
    <row r="534" spans="1:7" ht="14.25">
      <c r="A534" s="59"/>
      <c r="B534" s="59"/>
      <c r="C534" s="59"/>
      <c r="D534" s="59"/>
      <c r="E534" s="60"/>
      <c r="F534" s="60"/>
      <c r="G534" s="61"/>
    </row>
    <row r="535" spans="1:7" ht="14.25">
      <c r="A535" s="59"/>
      <c r="B535" s="59"/>
      <c r="C535" s="59"/>
      <c r="D535" s="59"/>
      <c r="E535" s="60"/>
      <c r="F535" s="60"/>
      <c r="G535" s="61"/>
    </row>
    <row r="536" spans="1:7" ht="14.25">
      <c r="A536" s="59"/>
      <c r="B536" s="59"/>
      <c r="C536" s="59"/>
      <c r="D536" s="59"/>
      <c r="E536" s="60"/>
      <c r="F536" s="60"/>
      <c r="G536" s="61"/>
    </row>
    <row r="537" spans="1:7" ht="14.25">
      <c r="A537" s="59"/>
      <c r="B537" s="59"/>
      <c r="C537" s="59"/>
      <c r="D537" s="59"/>
      <c r="E537" s="60"/>
      <c r="F537" s="60"/>
      <c r="G537" s="61"/>
    </row>
    <row r="538" spans="1:7" ht="14.25">
      <c r="A538" s="59"/>
      <c r="B538" s="59"/>
      <c r="C538" s="59"/>
      <c r="D538" s="59"/>
      <c r="E538" s="60"/>
      <c r="F538" s="60"/>
      <c r="G538" s="61"/>
    </row>
    <row r="539" spans="1:7" ht="14.25">
      <c r="A539" s="59"/>
      <c r="B539" s="59"/>
      <c r="C539" s="59"/>
      <c r="D539" s="59"/>
      <c r="E539" s="60"/>
      <c r="F539" s="60"/>
      <c r="G539" s="61"/>
    </row>
    <row r="540" spans="1:7" ht="14.25">
      <c r="A540" s="59"/>
      <c r="B540" s="59"/>
      <c r="C540" s="59"/>
      <c r="D540" s="59"/>
      <c r="E540" s="60"/>
      <c r="F540" s="60"/>
      <c r="G540" s="61"/>
    </row>
    <row r="541" spans="1:7" ht="14.25">
      <c r="A541" s="59"/>
      <c r="B541" s="59"/>
      <c r="C541" s="59"/>
      <c r="D541" s="59"/>
      <c r="E541" s="60"/>
      <c r="F541" s="60"/>
      <c r="G541" s="61"/>
    </row>
    <row r="542" spans="1:7" ht="14.25">
      <c r="A542" s="59"/>
      <c r="B542" s="59"/>
      <c r="C542" s="59"/>
      <c r="D542" s="59"/>
      <c r="E542" s="60"/>
      <c r="F542" s="60"/>
      <c r="G542" s="61"/>
    </row>
    <row r="543" spans="1:7" ht="14.25">
      <c r="A543" s="59"/>
      <c r="B543" s="59"/>
      <c r="C543" s="59"/>
      <c r="D543" s="59"/>
      <c r="E543" s="60"/>
      <c r="F543" s="60"/>
      <c r="G543" s="61"/>
    </row>
    <row r="544" spans="1:7" ht="14.25">
      <c r="A544" s="59"/>
      <c r="B544" s="59"/>
      <c r="C544" s="59"/>
      <c r="D544" s="59"/>
      <c r="E544" s="60"/>
      <c r="F544" s="60"/>
      <c r="G544" s="61"/>
    </row>
    <row r="545" spans="1:7" ht="14.25">
      <c r="A545" s="59"/>
      <c r="B545" s="59"/>
      <c r="C545" s="59"/>
      <c r="D545" s="59"/>
      <c r="E545" s="60"/>
      <c r="F545" s="60"/>
      <c r="G545" s="61"/>
    </row>
    <row r="546" spans="1:7" ht="14.25">
      <c r="A546" s="59"/>
      <c r="B546" s="59"/>
      <c r="C546" s="59"/>
      <c r="D546" s="59"/>
      <c r="E546" s="60"/>
      <c r="F546" s="60"/>
      <c r="G546" s="61"/>
    </row>
    <row r="547" spans="1:7" ht="14.25">
      <c r="A547" s="59"/>
      <c r="B547" s="59"/>
      <c r="C547" s="59"/>
      <c r="D547" s="59"/>
      <c r="E547" s="60"/>
      <c r="F547" s="60"/>
      <c r="G547" s="61"/>
    </row>
    <row r="548" spans="1:7" ht="14.25">
      <c r="A548" s="59"/>
      <c r="B548" s="59"/>
      <c r="C548" s="59"/>
      <c r="D548" s="59"/>
      <c r="E548" s="60"/>
      <c r="F548" s="60"/>
      <c r="G548" s="61"/>
    </row>
    <row r="549" spans="1:7" ht="14.25">
      <c r="A549" s="59"/>
      <c r="B549" s="59"/>
      <c r="C549" s="59"/>
      <c r="D549" s="59"/>
      <c r="E549" s="60"/>
      <c r="F549" s="60"/>
      <c r="G549" s="61"/>
    </row>
    <row r="550" spans="1:7" ht="14.25">
      <c r="A550" s="59"/>
      <c r="B550" s="59"/>
      <c r="C550" s="59"/>
      <c r="D550" s="59"/>
      <c r="E550" s="60"/>
      <c r="F550" s="60"/>
      <c r="G550" s="61"/>
    </row>
    <row r="551" spans="1:7" ht="14.25">
      <c r="A551" s="59"/>
      <c r="B551" s="59"/>
      <c r="C551" s="59"/>
      <c r="D551" s="59"/>
      <c r="E551" s="60"/>
      <c r="F551" s="60"/>
      <c r="G551" s="61"/>
    </row>
    <row r="552" spans="1:7" ht="14.25">
      <c r="A552" s="59"/>
      <c r="B552" s="59"/>
      <c r="C552" s="59"/>
      <c r="D552" s="59"/>
      <c r="E552" s="60"/>
      <c r="F552" s="60"/>
      <c r="G552" s="61"/>
    </row>
    <row r="553" spans="1:7" ht="14.25">
      <c r="A553" s="59"/>
      <c r="B553" s="59"/>
      <c r="C553" s="59"/>
      <c r="D553" s="59"/>
      <c r="E553" s="60"/>
      <c r="F553" s="60"/>
      <c r="G553" s="61"/>
    </row>
    <row r="554" spans="1:7" ht="14.25">
      <c r="A554" s="59"/>
      <c r="B554" s="59"/>
      <c r="C554" s="59"/>
      <c r="D554" s="59"/>
      <c r="E554" s="60"/>
      <c r="F554" s="60"/>
      <c r="G554" s="61"/>
    </row>
    <row r="555" spans="1:7" ht="14.25">
      <c r="A555" s="59"/>
      <c r="B555" s="59"/>
      <c r="C555" s="59"/>
      <c r="D555" s="59"/>
      <c r="E555" s="60"/>
      <c r="F555" s="60"/>
      <c r="G555" s="61"/>
    </row>
    <row r="556" spans="1:7" ht="14.25">
      <c r="A556" s="59"/>
      <c r="B556" s="59"/>
      <c r="C556" s="59"/>
      <c r="D556" s="59"/>
      <c r="E556" s="60"/>
      <c r="F556" s="60"/>
      <c r="G556" s="61"/>
    </row>
    <row r="557" spans="1:7" ht="14.25">
      <c r="A557" s="59"/>
      <c r="B557" s="59"/>
      <c r="C557" s="59"/>
      <c r="D557" s="59"/>
      <c r="E557" s="60"/>
      <c r="F557" s="60"/>
      <c r="G557" s="61"/>
    </row>
    <row r="558" spans="1:7" ht="14.25">
      <c r="A558" s="59"/>
      <c r="B558" s="59"/>
      <c r="C558" s="59"/>
      <c r="D558" s="59"/>
      <c r="E558" s="60"/>
      <c r="F558" s="60"/>
      <c r="G558" s="61"/>
    </row>
    <row r="559" spans="1:7" ht="14.25">
      <c r="A559" s="59"/>
      <c r="B559" s="59"/>
      <c r="C559" s="59"/>
      <c r="D559" s="59"/>
      <c r="E559" s="60"/>
      <c r="F559" s="60"/>
      <c r="G559" s="61"/>
    </row>
    <row r="560" spans="1:7" ht="14.25">
      <c r="A560" s="59"/>
      <c r="B560" s="59"/>
      <c r="C560" s="59"/>
      <c r="D560" s="59"/>
      <c r="E560" s="60"/>
      <c r="F560" s="60"/>
      <c r="G560" s="61"/>
    </row>
    <row r="561" spans="1:7" ht="14.25">
      <c r="A561" s="59"/>
      <c r="B561" s="59"/>
      <c r="C561" s="59"/>
      <c r="D561" s="59"/>
      <c r="E561" s="60"/>
      <c r="F561" s="60"/>
      <c r="G561" s="61"/>
    </row>
    <row r="562" spans="1:7" ht="14.25">
      <c r="A562" s="59"/>
      <c r="B562" s="59"/>
      <c r="C562" s="59"/>
      <c r="D562" s="59"/>
      <c r="E562" s="60"/>
      <c r="F562" s="60"/>
      <c r="G562" s="61"/>
    </row>
    <row r="563" spans="1:7" ht="14.25">
      <c r="A563" s="59"/>
      <c r="B563" s="59"/>
      <c r="C563" s="59"/>
      <c r="D563" s="59"/>
      <c r="E563" s="60"/>
      <c r="F563" s="60"/>
      <c r="G563" s="61"/>
    </row>
    <row r="564" spans="1:7" ht="14.25">
      <c r="A564" s="59"/>
      <c r="B564" s="59"/>
      <c r="C564" s="59"/>
      <c r="D564" s="59"/>
      <c r="E564" s="60"/>
      <c r="F564" s="60"/>
      <c r="G564" s="61"/>
    </row>
    <row r="565" spans="1:7" ht="14.25">
      <c r="A565" s="59"/>
      <c r="B565" s="59"/>
      <c r="C565" s="59"/>
      <c r="D565" s="59"/>
      <c r="E565" s="60"/>
      <c r="F565" s="60"/>
      <c r="G565" s="61"/>
    </row>
    <row r="566" spans="1:7" ht="14.25">
      <c r="A566" s="59"/>
      <c r="B566" s="59"/>
      <c r="C566" s="59"/>
      <c r="D566" s="59"/>
      <c r="E566" s="60"/>
      <c r="F566" s="60"/>
      <c r="G566" s="61"/>
    </row>
    <row r="567" spans="1:7" ht="14.25">
      <c r="A567" s="59"/>
      <c r="B567" s="59"/>
      <c r="C567" s="59"/>
      <c r="D567" s="59"/>
      <c r="E567" s="60"/>
      <c r="F567" s="60"/>
      <c r="G567" s="61"/>
    </row>
    <row r="568" spans="1:7" ht="14.25">
      <c r="A568" s="59"/>
      <c r="B568" s="59"/>
      <c r="C568" s="59"/>
      <c r="D568" s="59"/>
      <c r="E568" s="60"/>
      <c r="F568" s="60"/>
      <c r="G568" s="61"/>
    </row>
    <row r="569" spans="1:7" ht="14.25">
      <c r="A569" s="59"/>
      <c r="B569" s="59"/>
      <c r="C569" s="59"/>
      <c r="D569" s="59"/>
      <c r="E569" s="60"/>
      <c r="F569" s="60"/>
      <c r="G569" s="61"/>
    </row>
    <row r="570" spans="1:7" ht="14.25">
      <c r="A570" s="59"/>
      <c r="B570" s="59"/>
      <c r="C570" s="59"/>
      <c r="D570" s="59"/>
      <c r="E570" s="60"/>
      <c r="F570" s="60"/>
      <c r="G570" s="61"/>
    </row>
    <row r="571" spans="1:7" ht="14.25">
      <c r="A571" s="59"/>
      <c r="B571" s="59"/>
      <c r="C571" s="59"/>
      <c r="D571" s="59"/>
      <c r="E571" s="60"/>
      <c r="F571" s="60"/>
      <c r="G571" s="61"/>
    </row>
    <row r="572" spans="1:7" ht="14.25">
      <c r="A572" s="59"/>
      <c r="B572" s="59"/>
      <c r="C572" s="59"/>
      <c r="D572" s="59"/>
      <c r="E572" s="60"/>
      <c r="F572" s="60"/>
      <c r="G572" s="61"/>
    </row>
    <row r="573" spans="1:7" ht="14.25">
      <c r="A573" s="59"/>
      <c r="B573" s="59"/>
      <c r="C573" s="59"/>
      <c r="D573" s="59"/>
      <c r="E573" s="60"/>
      <c r="F573" s="60"/>
      <c r="G573" s="61"/>
    </row>
    <row r="574" spans="1:7" ht="14.25">
      <c r="A574" s="59"/>
      <c r="B574" s="59"/>
      <c r="C574" s="59"/>
      <c r="D574" s="59"/>
      <c r="E574" s="60"/>
      <c r="F574" s="60"/>
      <c r="G574" s="61"/>
    </row>
    <row r="575" spans="1:7" ht="14.25">
      <c r="A575" s="59"/>
      <c r="B575" s="59"/>
      <c r="C575" s="59"/>
      <c r="D575" s="59"/>
      <c r="E575" s="60"/>
      <c r="F575" s="60"/>
      <c r="G575" s="61"/>
    </row>
    <row r="576" spans="1:7" ht="14.25">
      <c r="A576" s="59"/>
      <c r="B576" s="59"/>
      <c r="C576" s="59"/>
      <c r="D576" s="59"/>
      <c r="E576" s="60"/>
      <c r="F576" s="60"/>
      <c r="G576" s="61"/>
    </row>
    <row r="577" spans="1:7" ht="14.25">
      <c r="A577" s="59"/>
      <c r="B577" s="59"/>
      <c r="C577" s="59"/>
      <c r="D577" s="59"/>
      <c r="E577" s="60"/>
      <c r="F577" s="60"/>
      <c r="G577" s="61"/>
    </row>
    <row r="578" spans="1:7" ht="14.25">
      <c r="A578" s="59"/>
      <c r="B578" s="59"/>
      <c r="C578" s="59"/>
      <c r="D578" s="59"/>
      <c r="E578" s="60"/>
      <c r="F578" s="60"/>
      <c r="G578" s="61"/>
    </row>
    <row r="579" spans="1:7" ht="14.25">
      <c r="A579" s="59"/>
      <c r="B579" s="59"/>
      <c r="C579" s="59"/>
      <c r="D579" s="59"/>
      <c r="E579" s="60"/>
      <c r="F579" s="60"/>
      <c r="G579" s="61"/>
    </row>
    <row r="580" spans="1:7" ht="14.25">
      <c r="A580" s="59"/>
      <c r="B580" s="59"/>
      <c r="C580" s="59"/>
      <c r="D580" s="59"/>
      <c r="E580" s="60"/>
      <c r="F580" s="60"/>
      <c r="G580" s="61"/>
    </row>
    <row r="581" spans="1:7" ht="14.25">
      <c r="A581" s="59"/>
      <c r="B581" s="59"/>
      <c r="C581" s="59"/>
      <c r="D581" s="59"/>
      <c r="E581" s="60"/>
      <c r="F581" s="60"/>
      <c r="G581" s="61"/>
    </row>
    <row r="582" spans="1:7" ht="14.25">
      <c r="A582" s="59"/>
      <c r="B582" s="59"/>
      <c r="C582" s="59"/>
      <c r="D582" s="59"/>
      <c r="E582" s="60"/>
      <c r="F582" s="60"/>
      <c r="G582" s="61"/>
    </row>
    <row r="583" spans="1:7" ht="14.25">
      <c r="A583" s="59"/>
      <c r="B583" s="59"/>
      <c r="C583" s="59"/>
      <c r="D583" s="59"/>
      <c r="E583" s="60"/>
      <c r="F583" s="60"/>
      <c r="G583" s="61"/>
    </row>
    <row r="584" spans="1:7" ht="14.25">
      <c r="A584" s="59"/>
      <c r="B584" s="59"/>
      <c r="C584" s="59"/>
      <c r="D584" s="59"/>
      <c r="E584" s="60"/>
      <c r="F584" s="60"/>
      <c r="G584" s="61"/>
    </row>
    <row r="585" spans="1:7" ht="14.25">
      <c r="A585" s="59"/>
      <c r="B585" s="59"/>
      <c r="C585" s="59"/>
      <c r="D585" s="59"/>
      <c r="E585" s="60"/>
      <c r="F585" s="60"/>
      <c r="G585" s="61"/>
    </row>
    <row r="586" spans="1:7" ht="14.25">
      <c r="A586" s="59"/>
      <c r="B586" s="59"/>
      <c r="C586" s="59"/>
      <c r="D586" s="59"/>
      <c r="E586" s="60"/>
      <c r="F586" s="60"/>
      <c r="G586" s="61"/>
    </row>
    <row r="587" spans="1:7" ht="14.25">
      <c r="A587" s="59"/>
      <c r="B587" s="59"/>
      <c r="C587" s="59"/>
      <c r="D587" s="59"/>
      <c r="E587" s="60"/>
      <c r="F587" s="60"/>
      <c r="G587" s="61"/>
    </row>
    <row r="588" spans="1:7" ht="14.25">
      <c r="A588" s="59"/>
      <c r="B588" s="59"/>
      <c r="C588" s="59"/>
      <c r="D588" s="59"/>
      <c r="E588" s="60"/>
      <c r="F588" s="60"/>
      <c r="G588" s="61"/>
    </row>
    <row r="589" spans="1:7" ht="14.25">
      <c r="A589" s="59"/>
      <c r="B589" s="59"/>
      <c r="C589" s="59"/>
      <c r="D589" s="59"/>
      <c r="E589" s="60"/>
      <c r="F589" s="60"/>
      <c r="G589" s="61"/>
    </row>
    <row r="590" spans="1:7" ht="14.25">
      <c r="A590" s="59"/>
      <c r="B590" s="59"/>
      <c r="C590" s="59"/>
      <c r="D590" s="59"/>
      <c r="E590" s="60"/>
      <c r="F590" s="60"/>
      <c r="G590" s="61"/>
    </row>
    <row r="591" spans="1:7" ht="14.25">
      <c r="A591" s="59"/>
      <c r="B591" s="59"/>
      <c r="C591" s="59"/>
      <c r="D591" s="59"/>
      <c r="E591" s="60"/>
      <c r="F591" s="60"/>
      <c r="G591" s="61"/>
    </row>
    <row r="592" spans="1:7" ht="14.25">
      <c r="A592" s="59"/>
      <c r="B592" s="59"/>
      <c r="C592" s="59"/>
      <c r="D592" s="59"/>
      <c r="E592" s="60"/>
      <c r="F592" s="60"/>
      <c r="G592" s="61"/>
    </row>
    <row r="593" spans="1:7" ht="14.25">
      <c r="A593" s="59"/>
      <c r="B593" s="59"/>
      <c r="C593" s="59"/>
      <c r="D593" s="59"/>
      <c r="E593" s="60"/>
      <c r="F593" s="60"/>
      <c r="G593" s="61"/>
    </row>
    <row r="594" spans="1:7" ht="14.25">
      <c r="A594" s="59"/>
      <c r="B594" s="59"/>
      <c r="C594" s="59"/>
      <c r="D594" s="59"/>
      <c r="E594" s="60"/>
      <c r="F594" s="60"/>
      <c r="G594" s="61"/>
    </row>
    <row r="595" spans="1:7" ht="14.25">
      <c r="A595" s="59"/>
      <c r="B595" s="59"/>
      <c r="C595" s="59"/>
      <c r="D595" s="59"/>
      <c r="E595" s="60"/>
      <c r="F595" s="60"/>
      <c r="G595" s="61"/>
    </row>
    <row r="596" spans="1:7" ht="14.25">
      <c r="A596" s="59"/>
      <c r="B596" s="59"/>
      <c r="C596" s="59"/>
      <c r="D596" s="59"/>
      <c r="E596" s="60"/>
      <c r="F596" s="60"/>
      <c r="G596" s="61"/>
    </row>
    <row r="597" spans="1:7" ht="14.25">
      <c r="A597" s="59"/>
      <c r="B597" s="59"/>
      <c r="C597" s="59"/>
      <c r="D597" s="59"/>
      <c r="E597" s="60"/>
      <c r="F597" s="60"/>
      <c r="G597" s="61"/>
    </row>
    <row r="598" spans="1:7" ht="14.25">
      <c r="A598" s="59"/>
      <c r="B598" s="59"/>
      <c r="C598" s="59"/>
      <c r="D598" s="59"/>
      <c r="E598" s="60"/>
      <c r="F598" s="60"/>
      <c r="G598" s="61"/>
    </row>
    <row r="599" spans="1:7" ht="14.25">
      <c r="A599" s="59"/>
      <c r="B599" s="59"/>
      <c r="C599" s="59"/>
      <c r="D599" s="59"/>
      <c r="E599" s="60"/>
      <c r="F599" s="60"/>
      <c r="G599" s="61"/>
    </row>
    <row r="600" spans="1:7" ht="14.25">
      <c r="A600" s="59"/>
      <c r="B600" s="59"/>
      <c r="C600" s="59"/>
      <c r="D600" s="59"/>
      <c r="E600" s="60"/>
      <c r="F600" s="60"/>
      <c r="G600" s="61"/>
    </row>
    <row r="601" spans="1:7" ht="14.25">
      <c r="A601" s="59"/>
      <c r="B601" s="59"/>
      <c r="C601" s="59"/>
      <c r="D601" s="59"/>
      <c r="E601" s="60"/>
      <c r="F601" s="60"/>
      <c r="G601" s="61"/>
    </row>
    <row r="602" spans="1:7" ht="14.25">
      <c r="A602" s="59"/>
      <c r="B602" s="59"/>
      <c r="C602" s="59"/>
      <c r="D602" s="59"/>
      <c r="E602" s="60"/>
      <c r="F602" s="60"/>
      <c r="G602" s="61"/>
    </row>
    <row r="603" spans="1:7" ht="14.25">
      <c r="A603" s="59"/>
      <c r="B603" s="59"/>
      <c r="C603" s="59"/>
      <c r="D603" s="59"/>
      <c r="E603" s="60"/>
      <c r="F603" s="60"/>
      <c r="G603" s="61"/>
    </row>
    <row r="604" spans="1:7" ht="14.25">
      <c r="A604" s="59"/>
      <c r="B604" s="59"/>
      <c r="C604" s="59"/>
      <c r="D604" s="59"/>
      <c r="E604" s="60"/>
      <c r="F604" s="60"/>
      <c r="G604" s="61"/>
    </row>
    <row r="605" spans="1:7" ht="14.25">
      <c r="A605" s="59"/>
      <c r="B605" s="59"/>
      <c r="C605" s="59"/>
      <c r="D605" s="59"/>
      <c r="E605" s="60"/>
      <c r="F605" s="60"/>
      <c r="G605" s="61"/>
    </row>
    <row r="606" spans="1:7" ht="14.25">
      <c r="A606" s="59"/>
      <c r="B606" s="59"/>
      <c r="C606" s="59"/>
      <c r="D606" s="59"/>
      <c r="E606" s="60"/>
      <c r="F606" s="60"/>
      <c r="G606" s="61"/>
    </row>
    <row r="607" spans="1:7" ht="14.25">
      <c r="A607" s="59"/>
      <c r="B607" s="59"/>
      <c r="C607" s="59"/>
      <c r="D607" s="59"/>
      <c r="E607" s="60"/>
      <c r="F607" s="60"/>
      <c r="G607" s="61"/>
    </row>
    <row r="608" spans="1:7" ht="14.25">
      <c r="A608" s="59"/>
      <c r="B608" s="59"/>
      <c r="C608" s="59"/>
      <c r="D608" s="59"/>
      <c r="E608" s="60"/>
      <c r="F608" s="60"/>
      <c r="G608" s="61"/>
    </row>
    <row r="609" spans="1:7" ht="14.25">
      <c r="A609" s="59"/>
      <c r="B609" s="59"/>
      <c r="C609" s="59"/>
      <c r="D609" s="59"/>
      <c r="E609" s="60"/>
      <c r="F609" s="60"/>
      <c r="G609" s="61"/>
    </row>
    <row r="610" spans="1:7" ht="14.25">
      <c r="A610" s="59"/>
      <c r="B610" s="59"/>
      <c r="C610" s="59"/>
      <c r="D610" s="59"/>
      <c r="E610" s="60"/>
      <c r="F610" s="60"/>
      <c r="G610" s="61"/>
    </row>
    <row r="611" spans="1:7" ht="14.25">
      <c r="A611" s="59"/>
      <c r="B611" s="59"/>
      <c r="C611" s="59"/>
      <c r="D611" s="59"/>
      <c r="E611" s="60"/>
      <c r="F611" s="60"/>
      <c r="G611" s="61"/>
    </row>
    <row r="612" spans="1:7" ht="14.25">
      <c r="A612" s="59"/>
      <c r="B612" s="59"/>
      <c r="C612" s="59"/>
      <c r="D612" s="59"/>
      <c r="E612" s="60"/>
      <c r="F612" s="60"/>
      <c r="G612" s="61"/>
    </row>
    <row r="613" spans="1:7" ht="14.25">
      <c r="A613" s="59"/>
      <c r="B613" s="59"/>
      <c r="C613" s="59"/>
      <c r="D613" s="59"/>
      <c r="E613" s="60"/>
      <c r="F613" s="60"/>
      <c r="G613" s="61"/>
    </row>
    <row r="614" spans="1:7" ht="14.25">
      <c r="A614" s="59"/>
      <c r="B614" s="59"/>
      <c r="C614" s="59"/>
      <c r="D614" s="59"/>
      <c r="E614" s="60"/>
      <c r="F614" s="60"/>
      <c r="G614" s="61"/>
    </row>
    <row r="615" spans="1:7" ht="14.25">
      <c r="A615" s="59"/>
      <c r="B615" s="59"/>
      <c r="C615" s="59"/>
      <c r="D615" s="59"/>
      <c r="E615" s="60"/>
      <c r="F615" s="60"/>
      <c r="G615" s="61"/>
    </row>
    <row r="616" spans="1:7" ht="14.25">
      <c r="A616" s="59"/>
      <c r="B616" s="59"/>
      <c r="C616" s="59"/>
      <c r="D616" s="59"/>
      <c r="E616" s="60"/>
      <c r="F616" s="60"/>
      <c r="G616" s="61"/>
    </row>
    <row r="617" spans="1:7" ht="14.25">
      <c r="A617" s="59"/>
      <c r="B617" s="59"/>
      <c r="C617" s="59"/>
      <c r="D617" s="59"/>
      <c r="E617" s="60"/>
      <c r="F617" s="60"/>
      <c r="G617" s="61"/>
    </row>
    <row r="618" spans="1:7" ht="14.25">
      <c r="A618" s="59"/>
      <c r="B618" s="59"/>
      <c r="C618" s="59"/>
      <c r="D618" s="59"/>
      <c r="E618" s="60"/>
      <c r="F618" s="60"/>
      <c r="G618" s="61"/>
    </row>
    <row r="619" spans="1:7" ht="14.25">
      <c r="A619" s="59"/>
      <c r="B619" s="59"/>
      <c r="C619" s="59"/>
      <c r="D619" s="59"/>
      <c r="E619" s="60"/>
      <c r="F619" s="60"/>
      <c r="G619" s="61"/>
    </row>
    <row r="620" spans="1:7" ht="14.25">
      <c r="A620" s="59"/>
      <c r="B620" s="59"/>
      <c r="C620" s="59"/>
      <c r="D620" s="59"/>
      <c r="E620" s="60"/>
      <c r="F620" s="60"/>
      <c r="G620" s="61"/>
    </row>
    <row r="621" spans="1:7" ht="14.25">
      <c r="A621" s="59"/>
      <c r="B621" s="59"/>
      <c r="C621" s="59"/>
      <c r="D621" s="59"/>
      <c r="E621" s="60"/>
      <c r="F621" s="60"/>
      <c r="G621" s="61"/>
    </row>
    <row r="622" spans="1:7" ht="14.25">
      <c r="A622" s="59"/>
      <c r="B622" s="59"/>
      <c r="C622" s="59"/>
      <c r="D622" s="59"/>
      <c r="E622" s="60"/>
      <c r="F622" s="60"/>
      <c r="G622" s="61"/>
    </row>
    <row r="623" spans="1:7" ht="14.25">
      <c r="A623" s="59"/>
      <c r="B623" s="59"/>
      <c r="C623" s="59"/>
      <c r="D623" s="59"/>
      <c r="E623" s="60"/>
      <c r="F623" s="60"/>
      <c r="G623" s="61"/>
    </row>
    <row r="624" spans="1:7" ht="14.25">
      <c r="A624" s="59"/>
      <c r="B624" s="59"/>
      <c r="C624" s="59"/>
      <c r="D624" s="59"/>
      <c r="E624" s="60"/>
      <c r="F624" s="60"/>
      <c r="G624" s="61"/>
    </row>
    <row r="625" spans="1:7" ht="14.25">
      <c r="A625" s="59"/>
      <c r="B625" s="59"/>
      <c r="C625" s="59"/>
      <c r="D625" s="59"/>
      <c r="E625" s="60"/>
      <c r="F625" s="60"/>
      <c r="G625" s="61"/>
    </row>
    <row r="626" spans="1:7" ht="14.25">
      <c r="A626" s="59"/>
      <c r="B626" s="59"/>
      <c r="C626" s="59"/>
      <c r="D626" s="59"/>
      <c r="E626" s="60"/>
      <c r="F626" s="60"/>
      <c r="G626" s="61"/>
    </row>
    <row r="627" spans="1:7" ht="14.25">
      <c r="A627" s="59"/>
      <c r="B627" s="59"/>
      <c r="C627" s="59"/>
      <c r="D627" s="59"/>
      <c r="E627" s="60"/>
      <c r="F627" s="60"/>
      <c r="G627" s="61"/>
    </row>
    <row r="628" spans="1:7" ht="14.25">
      <c r="A628" s="59"/>
      <c r="B628" s="59"/>
      <c r="C628" s="59"/>
      <c r="D628" s="59"/>
      <c r="E628" s="60"/>
      <c r="F628" s="60"/>
      <c r="G628" s="61"/>
    </row>
    <row r="629" spans="1:7" ht="14.25">
      <c r="A629" s="59"/>
      <c r="B629" s="59"/>
      <c r="C629" s="59"/>
      <c r="D629" s="59"/>
      <c r="E629" s="60"/>
      <c r="F629" s="60"/>
      <c r="G629" s="61"/>
    </row>
    <row r="630" spans="1:7" ht="14.25">
      <c r="A630" s="59"/>
      <c r="B630" s="59"/>
      <c r="C630" s="59"/>
      <c r="D630" s="59"/>
      <c r="E630" s="60"/>
      <c r="F630" s="60"/>
      <c r="G630" s="61"/>
    </row>
    <row r="631" spans="1:7" ht="14.25">
      <c r="A631" s="59"/>
      <c r="B631" s="59"/>
      <c r="C631" s="59"/>
      <c r="D631" s="59"/>
      <c r="E631" s="60"/>
      <c r="F631" s="60"/>
      <c r="G631" s="61"/>
    </row>
    <row r="632" spans="1:7" ht="14.25">
      <c r="A632" s="59"/>
      <c r="B632" s="59"/>
      <c r="C632" s="59"/>
      <c r="D632" s="59"/>
      <c r="E632" s="60"/>
      <c r="F632" s="60"/>
      <c r="G632" s="61"/>
    </row>
    <row r="633" spans="1:7" ht="14.25">
      <c r="A633" s="59"/>
      <c r="B633" s="59"/>
      <c r="C633" s="59"/>
      <c r="D633" s="59"/>
      <c r="E633" s="60"/>
      <c r="F633" s="60"/>
      <c r="G633" s="61"/>
    </row>
    <row r="634" spans="1:7" ht="14.25">
      <c r="A634" s="59"/>
      <c r="B634" s="59"/>
      <c r="C634" s="59"/>
      <c r="D634" s="59"/>
      <c r="E634" s="60"/>
      <c r="F634" s="60"/>
      <c r="G634" s="61"/>
    </row>
    <row r="635" spans="1:7" ht="14.25">
      <c r="A635" s="59"/>
      <c r="B635" s="59"/>
      <c r="C635" s="59"/>
      <c r="D635" s="59"/>
      <c r="E635" s="60"/>
      <c r="F635" s="60"/>
      <c r="G635" s="61"/>
    </row>
    <row r="636" spans="1:7" ht="14.25">
      <c r="A636" s="59"/>
      <c r="B636" s="59"/>
      <c r="C636" s="59"/>
      <c r="D636" s="59"/>
      <c r="E636" s="60"/>
      <c r="F636" s="60"/>
      <c r="G636" s="61"/>
    </row>
    <row r="637" spans="1:7" ht="14.25">
      <c r="A637" s="59"/>
      <c r="B637" s="59"/>
      <c r="C637" s="59"/>
      <c r="D637" s="59"/>
      <c r="E637" s="60"/>
      <c r="F637" s="60"/>
      <c r="G637" s="61"/>
    </row>
    <row r="638" spans="1:7" ht="14.25">
      <c r="A638" s="59"/>
      <c r="B638" s="59"/>
      <c r="C638" s="59"/>
      <c r="D638" s="59"/>
      <c r="E638" s="60"/>
      <c r="F638" s="60"/>
      <c r="G638" s="61"/>
    </row>
    <row r="639" spans="1:7" ht="14.25">
      <c r="A639" s="59"/>
      <c r="B639" s="59"/>
      <c r="C639" s="59"/>
      <c r="D639" s="59"/>
      <c r="E639" s="60"/>
      <c r="F639" s="60"/>
      <c r="G639" s="61"/>
    </row>
    <row r="640" spans="1:7" ht="14.25">
      <c r="A640" s="59"/>
      <c r="B640" s="59"/>
      <c r="C640" s="59"/>
      <c r="D640" s="59"/>
      <c r="E640" s="60"/>
      <c r="F640" s="60"/>
      <c r="G640" s="61"/>
    </row>
    <row r="641" spans="1:7" ht="14.25">
      <c r="A641" s="59"/>
      <c r="B641" s="59"/>
      <c r="C641" s="59"/>
      <c r="D641" s="59"/>
      <c r="E641" s="60"/>
      <c r="F641" s="60"/>
      <c r="G641" s="61"/>
    </row>
    <row r="642" spans="1:7" ht="14.25">
      <c r="A642" s="59"/>
      <c r="B642" s="59"/>
      <c r="C642" s="59"/>
      <c r="D642" s="59"/>
      <c r="E642" s="60"/>
      <c r="F642" s="60"/>
      <c r="G642" s="61"/>
    </row>
    <row r="643" spans="1:7" ht="14.25">
      <c r="A643" s="59"/>
      <c r="B643" s="59"/>
      <c r="C643" s="59"/>
      <c r="D643" s="59"/>
      <c r="E643" s="60"/>
      <c r="F643" s="60"/>
      <c r="G643" s="61"/>
    </row>
    <row r="644" spans="1:7" ht="14.25">
      <c r="A644" s="59"/>
      <c r="B644" s="59"/>
      <c r="C644" s="59"/>
      <c r="D644" s="59"/>
      <c r="E644" s="60"/>
      <c r="F644" s="60"/>
      <c r="G644" s="61"/>
    </row>
    <row r="645" spans="1:7" ht="14.25">
      <c r="A645" s="59"/>
      <c r="B645" s="59"/>
      <c r="C645" s="59"/>
      <c r="D645" s="59"/>
      <c r="E645" s="60"/>
      <c r="F645" s="60"/>
      <c r="G645" s="61"/>
    </row>
    <row r="646" spans="1:7" ht="14.25">
      <c r="A646" s="59"/>
      <c r="B646" s="59"/>
      <c r="C646" s="59"/>
      <c r="D646" s="59"/>
      <c r="E646" s="60"/>
      <c r="F646" s="60"/>
      <c r="G646" s="61"/>
    </row>
    <row r="647" spans="1:7" ht="14.25">
      <c r="A647" s="59"/>
      <c r="B647" s="59"/>
      <c r="C647" s="59"/>
      <c r="D647" s="59"/>
      <c r="E647" s="60"/>
      <c r="F647" s="60"/>
      <c r="G647" s="61"/>
    </row>
    <row r="648" spans="1:7" ht="14.25">
      <c r="A648" s="59"/>
      <c r="B648" s="59"/>
      <c r="C648" s="59"/>
      <c r="D648" s="59"/>
      <c r="E648" s="60"/>
      <c r="F648" s="60"/>
      <c r="G648" s="61"/>
    </row>
    <row r="649" spans="1:7" ht="14.25">
      <c r="A649" s="59"/>
      <c r="B649" s="59"/>
      <c r="C649" s="59"/>
      <c r="D649" s="59"/>
      <c r="E649" s="60"/>
      <c r="F649" s="60"/>
      <c r="G649" s="61"/>
    </row>
    <row r="650" spans="1:7" ht="14.25">
      <c r="A650" s="59"/>
      <c r="B650" s="59"/>
      <c r="C650" s="59"/>
      <c r="D650" s="59"/>
      <c r="E650" s="60"/>
      <c r="F650" s="60"/>
      <c r="G650" s="61"/>
    </row>
    <row r="651" spans="1:7" ht="14.25">
      <c r="A651" s="59"/>
      <c r="B651" s="59"/>
      <c r="C651" s="59"/>
      <c r="D651" s="59"/>
      <c r="E651" s="60"/>
      <c r="F651" s="60"/>
      <c r="G651" s="61"/>
    </row>
    <row r="652" spans="1:7" ht="14.25">
      <c r="A652" s="59"/>
      <c r="B652" s="59"/>
      <c r="C652" s="59"/>
      <c r="D652" s="59"/>
      <c r="E652" s="60"/>
      <c r="F652" s="60"/>
      <c r="G652" s="61"/>
    </row>
    <row r="653" spans="1:7" ht="14.25">
      <c r="A653" s="59"/>
      <c r="B653" s="59"/>
      <c r="C653" s="59"/>
      <c r="D653" s="59"/>
      <c r="E653" s="60"/>
      <c r="F653" s="60"/>
      <c r="G653" s="61"/>
    </row>
    <row r="654" spans="1:7" ht="14.25">
      <c r="A654" s="59"/>
      <c r="B654" s="59"/>
      <c r="C654" s="59"/>
      <c r="D654" s="59"/>
      <c r="E654" s="60"/>
      <c r="F654" s="60"/>
      <c r="G654" s="61"/>
    </row>
    <row r="655" spans="1:7" ht="14.25">
      <c r="A655" s="59"/>
      <c r="B655" s="59"/>
      <c r="C655" s="59"/>
      <c r="D655" s="59"/>
      <c r="E655" s="60"/>
      <c r="F655" s="60"/>
      <c r="G655" s="61"/>
    </row>
    <row r="656" spans="1:7" ht="14.25">
      <c r="A656" s="59"/>
      <c r="B656" s="59"/>
      <c r="C656" s="59"/>
      <c r="D656" s="59"/>
      <c r="E656" s="60"/>
      <c r="F656" s="60"/>
      <c r="G656" s="61"/>
    </row>
    <row r="657" spans="1:7" ht="14.25">
      <c r="A657" s="59"/>
      <c r="B657" s="59"/>
      <c r="C657" s="59"/>
      <c r="D657" s="59"/>
      <c r="E657" s="60"/>
      <c r="F657" s="60"/>
      <c r="G657" s="61"/>
    </row>
    <row r="658" spans="1:7" ht="14.25">
      <c r="A658" s="59"/>
      <c r="B658" s="59"/>
      <c r="C658" s="59"/>
      <c r="D658" s="59"/>
      <c r="E658" s="60"/>
      <c r="F658" s="60"/>
      <c r="G658" s="61"/>
    </row>
    <row r="659" spans="1:7" ht="14.25">
      <c r="A659" s="59"/>
      <c r="B659" s="59"/>
      <c r="C659" s="59"/>
      <c r="D659" s="59"/>
      <c r="E659" s="60"/>
      <c r="F659" s="60"/>
      <c r="G659" s="61"/>
    </row>
    <row r="660" spans="1:7" ht="14.25">
      <c r="A660" s="59"/>
      <c r="B660" s="59"/>
      <c r="C660" s="59"/>
      <c r="D660" s="59"/>
      <c r="E660" s="60"/>
      <c r="F660" s="60"/>
      <c r="G660" s="61"/>
    </row>
    <row r="661" spans="1:7" ht="14.25">
      <c r="A661" s="59"/>
      <c r="B661" s="59"/>
      <c r="C661" s="59"/>
      <c r="D661" s="59"/>
      <c r="E661" s="60"/>
      <c r="F661" s="60"/>
      <c r="G661" s="61"/>
    </row>
    <row r="662" spans="1:7" ht="14.25">
      <c r="A662" s="59"/>
      <c r="B662" s="59"/>
      <c r="C662" s="59"/>
      <c r="D662" s="59"/>
      <c r="E662" s="60"/>
      <c r="F662" s="60"/>
      <c r="G662" s="61"/>
    </row>
    <row r="663" spans="1:7" ht="14.25">
      <c r="A663" s="59"/>
      <c r="B663" s="59"/>
      <c r="C663" s="59"/>
      <c r="D663" s="59"/>
      <c r="E663" s="60"/>
      <c r="F663" s="60"/>
      <c r="G663" s="61"/>
    </row>
    <row r="664" spans="1:7" ht="14.25">
      <c r="A664" s="59"/>
      <c r="B664" s="59"/>
      <c r="C664" s="59"/>
      <c r="D664" s="59"/>
      <c r="E664" s="60"/>
      <c r="F664" s="60"/>
      <c r="G664" s="61"/>
    </row>
    <row r="665" spans="1:7" ht="14.25">
      <c r="A665" s="59"/>
      <c r="B665" s="59"/>
      <c r="C665" s="59"/>
      <c r="D665" s="59"/>
      <c r="E665" s="60"/>
      <c r="F665" s="60"/>
      <c r="G665" s="61"/>
    </row>
    <row r="666" spans="1:7" ht="14.25">
      <c r="A666" s="59"/>
      <c r="B666" s="59"/>
      <c r="C666" s="59"/>
      <c r="D666" s="59"/>
      <c r="E666" s="60"/>
      <c r="F666" s="60"/>
      <c r="G666" s="61"/>
    </row>
    <row r="667" spans="1:7" ht="14.25">
      <c r="A667" s="59"/>
      <c r="B667" s="59"/>
      <c r="C667" s="59"/>
      <c r="D667" s="59"/>
      <c r="E667" s="60"/>
      <c r="F667" s="60"/>
      <c r="G667" s="61"/>
    </row>
    <row r="668" spans="1:7" ht="14.25">
      <c r="A668" s="59"/>
      <c r="B668" s="59"/>
      <c r="C668" s="59"/>
      <c r="D668" s="59"/>
      <c r="E668" s="60"/>
      <c r="F668" s="60"/>
      <c r="G668" s="61"/>
    </row>
    <row r="669" spans="1:7" ht="14.25">
      <c r="A669" s="59"/>
      <c r="B669" s="59"/>
      <c r="C669" s="59"/>
      <c r="D669" s="59"/>
      <c r="E669" s="60"/>
      <c r="F669" s="60"/>
      <c r="G669" s="61"/>
    </row>
    <row r="670" spans="1:7" ht="14.25">
      <c r="A670" s="59"/>
      <c r="B670" s="59"/>
      <c r="C670" s="59"/>
      <c r="D670" s="59"/>
      <c r="E670" s="60"/>
      <c r="F670" s="60"/>
      <c r="G670" s="61"/>
    </row>
    <row r="671" spans="1:7" ht="14.25">
      <c r="A671" s="59"/>
      <c r="B671" s="59"/>
      <c r="C671" s="59"/>
      <c r="D671" s="59"/>
      <c r="E671" s="60"/>
      <c r="F671" s="60"/>
      <c r="G671" s="61"/>
    </row>
    <row r="672" spans="1:7" ht="14.25">
      <c r="A672" s="59"/>
      <c r="B672" s="59"/>
      <c r="C672" s="59"/>
      <c r="D672" s="59"/>
      <c r="E672" s="60"/>
      <c r="F672" s="60"/>
      <c r="G672" s="61"/>
    </row>
    <row r="673" spans="1:7" ht="14.25">
      <c r="A673" s="59"/>
      <c r="B673" s="59"/>
      <c r="C673" s="59"/>
      <c r="D673" s="59"/>
      <c r="E673" s="60"/>
      <c r="F673" s="60"/>
      <c r="G673" s="61"/>
    </row>
    <row r="674" spans="1:7" ht="14.25">
      <c r="A674" s="59"/>
      <c r="B674" s="59"/>
      <c r="C674" s="59"/>
      <c r="D674" s="59"/>
      <c r="E674" s="60"/>
      <c r="F674" s="60"/>
      <c r="G674" s="61"/>
    </row>
    <row r="675" spans="1:7" ht="14.25">
      <c r="A675" s="59"/>
      <c r="B675" s="59"/>
      <c r="C675" s="59"/>
      <c r="D675" s="59"/>
      <c r="E675" s="60"/>
      <c r="F675" s="60"/>
      <c r="G675" s="61"/>
    </row>
    <row r="676" spans="1:7" ht="14.25">
      <c r="A676" s="59"/>
      <c r="B676" s="59"/>
      <c r="C676" s="59"/>
      <c r="D676" s="59"/>
      <c r="E676" s="60"/>
      <c r="F676" s="60"/>
      <c r="G676" s="61"/>
    </row>
    <row r="677" spans="1:7" ht="14.25">
      <c r="A677" s="59"/>
      <c r="B677" s="59"/>
      <c r="C677" s="59"/>
      <c r="D677" s="59"/>
      <c r="E677" s="60"/>
      <c r="F677" s="60"/>
      <c r="G677" s="61"/>
    </row>
    <row r="678" spans="1:7" ht="14.25">
      <c r="A678" s="59"/>
      <c r="B678" s="59"/>
      <c r="C678" s="59"/>
      <c r="D678" s="59"/>
      <c r="E678" s="60"/>
      <c r="F678" s="60"/>
      <c r="G678" s="61"/>
    </row>
    <row r="679" spans="1:7" ht="14.25">
      <c r="A679" s="59"/>
      <c r="B679" s="59"/>
      <c r="C679" s="59"/>
      <c r="D679" s="59"/>
      <c r="E679" s="60"/>
      <c r="F679" s="60"/>
      <c r="G679" s="61"/>
    </row>
    <row r="680" spans="1:7" ht="14.25">
      <c r="A680" s="59"/>
      <c r="B680" s="59"/>
      <c r="C680" s="59"/>
      <c r="D680" s="59"/>
      <c r="E680" s="60"/>
      <c r="F680" s="60"/>
      <c r="G680" s="61"/>
    </row>
    <row r="681" spans="1:7" ht="14.25">
      <c r="A681" s="59"/>
      <c r="B681" s="59"/>
      <c r="C681" s="59"/>
      <c r="D681" s="59"/>
      <c r="E681" s="60"/>
      <c r="F681" s="60"/>
      <c r="G681" s="61"/>
    </row>
    <row r="682" spans="1:7" ht="14.25">
      <c r="A682" s="59"/>
      <c r="B682" s="59"/>
      <c r="C682" s="59"/>
      <c r="D682" s="59"/>
      <c r="E682" s="60"/>
      <c r="F682" s="60"/>
      <c r="G682" s="61"/>
    </row>
    <row r="683" spans="1:7" ht="14.25">
      <c r="A683" s="59"/>
      <c r="B683" s="59"/>
      <c r="C683" s="59"/>
      <c r="D683" s="59"/>
      <c r="E683" s="60"/>
      <c r="F683" s="60"/>
      <c r="G683" s="61"/>
    </row>
    <row r="684" spans="1:7" ht="14.25">
      <c r="A684" s="59"/>
      <c r="B684" s="59"/>
      <c r="C684" s="59"/>
      <c r="D684" s="59"/>
      <c r="E684" s="60"/>
      <c r="F684" s="60"/>
      <c r="G684" s="61"/>
    </row>
    <row r="685" spans="1:7" ht="14.25">
      <c r="A685" s="59"/>
      <c r="B685" s="59"/>
      <c r="C685" s="59"/>
      <c r="D685" s="59"/>
      <c r="E685" s="60"/>
      <c r="F685" s="60"/>
      <c r="G685" s="61"/>
    </row>
    <row r="686" spans="1:7" ht="14.25">
      <c r="A686" s="59"/>
      <c r="B686" s="59"/>
      <c r="C686" s="59"/>
      <c r="D686" s="59"/>
      <c r="E686" s="60"/>
      <c r="F686" s="60"/>
      <c r="G686" s="61"/>
    </row>
    <row r="687" spans="1:7" ht="14.25">
      <c r="A687" s="59"/>
      <c r="B687" s="59"/>
      <c r="C687" s="59"/>
      <c r="D687" s="59"/>
      <c r="E687" s="60"/>
      <c r="F687" s="60"/>
      <c r="G687" s="61"/>
    </row>
    <row r="688" spans="1:7" ht="14.25">
      <c r="A688" s="59"/>
      <c r="B688" s="59"/>
      <c r="C688" s="59"/>
      <c r="D688" s="59"/>
      <c r="E688" s="60"/>
      <c r="F688" s="60"/>
      <c r="G688" s="61"/>
    </row>
    <row r="689" spans="1:7" ht="14.25">
      <c r="A689" s="59"/>
      <c r="B689" s="59"/>
      <c r="C689" s="59"/>
      <c r="D689" s="59"/>
      <c r="E689" s="60"/>
      <c r="F689" s="60"/>
      <c r="G689" s="61"/>
    </row>
    <row r="690" spans="1:7" ht="14.25">
      <c r="A690" s="59"/>
      <c r="B690" s="59"/>
      <c r="C690" s="59"/>
      <c r="D690" s="59"/>
      <c r="E690" s="60"/>
      <c r="F690" s="60"/>
      <c r="G690" s="61"/>
    </row>
    <row r="691" spans="1:7" ht="14.25">
      <c r="A691" s="59"/>
      <c r="B691" s="59"/>
      <c r="C691" s="59"/>
      <c r="D691" s="59"/>
      <c r="E691" s="60"/>
      <c r="F691" s="60"/>
      <c r="G691" s="61"/>
    </row>
    <row r="692" spans="1:7" ht="14.25">
      <c r="A692" s="59"/>
      <c r="B692" s="59"/>
      <c r="C692" s="59"/>
      <c r="D692" s="59"/>
      <c r="E692" s="60"/>
      <c r="F692" s="60"/>
      <c r="G692" s="61"/>
    </row>
    <row r="693" spans="1:7" ht="14.25">
      <c r="A693" s="59"/>
      <c r="B693" s="59"/>
      <c r="C693" s="59"/>
      <c r="D693" s="59"/>
      <c r="E693" s="60"/>
      <c r="F693" s="60"/>
      <c r="G693" s="61"/>
    </row>
    <row r="694" spans="1:7" ht="14.25">
      <c r="A694" s="59"/>
      <c r="B694" s="59"/>
      <c r="C694" s="59"/>
      <c r="D694" s="59"/>
      <c r="E694" s="60"/>
      <c r="F694" s="60"/>
      <c r="G694" s="61"/>
    </row>
    <row r="695" spans="1:7" ht="14.25">
      <c r="A695" s="59"/>
      <c r="B695" s="59"/>
      <c r="C695" s="59"/>
      <c r="D695" s="59"/>
      <c r="E695" s="60"/>
      <c r="F695" s="60"/>
      <c r="G695" s="61"/>
    </row>
    <row r="696" spans="1:7" ht="14.25">
      <c r="A696" s="59"/>
      <c r="B696" s="59"/>
      <c r="C696" s="59"/>
      <c r="D696" s="59"/>
      <c r="E696" s="60"/>
      <c r="F696" s="60"/>
      <c r="G696" s="61"/>
    </row>
    <row r="697" spans="1:7" ht="14.25">
      <c r="A697" s="59"/>
      <c r="B697" s="59"/>
      <c r="C697" s="59"/>
      <c r="D697" s="59"/>
      <c r="E697" s="60"/>
      <c r="F697" s="60"/>
      <c r="G697" s="61"/>
    </row>
    <row r="698" spans="1:7" ht="14.25">
      <c r="A698" s="59"/>
      <c r="B698" s="59"/>
      <c r="C698" s="59"/>
      <c r="D698" s="59"/>
      <c r="E698" s="60"/>
      <c r="F698" s="60"/>
      <c r="G698" s="61"/>
    </row>
    <row r="699" spans="1:7" ht="14.25">
      <c r="A699" s="59"/>
      <c r="B699" s="59"/>
      <c r="C699" s="59"/>
      <c r="D699" s="59"/>
      <c r="E699" s="60"/>
      <c r="F699" s="60"/>
      <c r="G699" s="61"/>
    </row>
    <row r="700" spans="1:7" ht="14.25">
      <c r="A700" s="59"/>
      <c r="B700" s="59"/>
      <c r="C700" s="59"/>
      <c r="D700" s="59"/>
      <c r="E700" s="60"/>
      <c r="F700" s="60"/>
      <c r="G700" s="61"/>
    </row>
    <row r="701" spans="1:7" ht="14.25">
      <c r="A701" s="59"/>
      <c r="B701" s="59"/>
      <c r="C701" s="59"/>
      <c r="D701" s="59"/>
      <c r="E701" s="60"/>
      <c r="F701" s="60"/>
      <c r="G701" s="61"/>
    </row>
    <row r="702" spans="1:7" ht="14.25">
      <c r="A702" s="59"/>
      <c r="B702" s="59"/>
      <c r="C702" s="59"/>
      <c r="D702" s="59"/>
      <c r="E702" s="60"/>
      <c r="F702" s="60"/>
      <c r="G702" s="61"/>
    </row>
    <row r="703" spans="1:7" ht="14.25">
      <c r="A703" s="59"/>
      <c r="B703" s="59"/>
      <c r="C703" s="59"/>
      <c r="D703" s="59"/>
      <c r="E703" s="60"/>
      <c r="F703" s="60"/>
      <c r="G703" s="61"/>
    </row>
    <row r="704" spans="1:7" ht="14.25">
      <c r="A704" s="59"/>
      <c r="B704" s="59"/>
      <c r="C704" s="59"/>
      <c r="D704" s="59"/>
      <c r="E704" s="60"/>
      <c r="F704" s="60"/>
      <c r="G704" s="61"/>
    </row>
    <row r="705" spans="1:7" ht="14.25">
      <c r="A705" s="59"/>
      <c r="B705" s="59"/>
      <c r="C705" s="59"/>
      <c r="D705" s="59"/>
      <c r="E705" s="60"/>
      <c r="F705" s="60"/>
      <c r="G705" s="61"/>
    </row>
    <row r="706" spans="1:7" ht="14.25">
      <c r="A706" s="59"/>
      <c r="B706" s="59"/>
      <c r="C706" s="59"/>
      <c r="D706" s="59"/>
      <c r="E706" s="60"/>
      <c r="F706" s="60"/>
      <c r="G706" s="61"/>
    </row>
    <row r="707" spans="1:7" ht="14.25">
      <c r="A707" s="59"/>
      <c r="B707" s="59"/>
      <c r="C707" s="59"/>
      <c r="D707" s="59"/>
      <c r="E707" s="60"/>
      <c r="F707" s="60"/>
      <c r="G707" s="61"/>
    </row>
    <row r="708" spans="1:7" ht="14.25">
      <c r="A708" s="59"/>
      <c r="B708" s="59"/>
      <c r="C708" s="59"/>
      <c r="D708" s="59"/>
      <c r="E708" s="60"/>
      <c r="F708" s="60"/>
      <c r="G708" s="61"/>
    </row>
    <row r="709" spans="1:7" ht="14.25">
      <c r="A709" s="59"/>
      <c r="B709" s="59"/>
      <c r="C709" s="59"/>
      <c r="D709" s="59"/>
      <c r="E709" s="60"/>
      <c r="F709" s="60"/>
      <c r="G709" s="61"/>
    </row>
    <row r="710" spans="1:7" ht="14.25">
      <c r="A710" s="59"/>
      <c r="B710" s="59"/>
      <c r="C710" s="59"/>
      <c r="D710" s="59"/>
      <c r="E710" s="60"/>
      <c r="F710" s="60"/>
      <c r="G710" s="61"/>
    </row>
    <row r="711" spans="1:7" ht="14.25">
      <c r="A711" s="59"/>
      <c r="B711" s="59"/>
      <c r="C711" s="59"/>
      <c r="D711" s="59"/>
      <c r="E711" s="60"/>
      <c r="F711" s="60"/>
      <c r="G711" s="61"/>
    </row>
    <row r="712" spans="1:7" ht="14.25">
      <c r="A712" s="59"/>
      <c r="B712" s="59"/>
      <c r="C712" s="59"/>
      <c r="D712" s="59"/>
      <c r="E712" s="60"/>
      <c r="F712" s="60"/>
      <c r="G712" s="61"/>
    </row>
    <row r="713" spans="1:7" ht="14.25">
      <c r="A713" s="59"/>
      <c r="B713" s="59"/>
      <c r="C713" s="59"/>
      <c r="D713" s="59"/>
      <c r="E713" s="60"/>
      <c r="F713" s="60"/>
      <c r="G713" s="61"/>
    </row>
    <row r="714" spans="1:7" ht="14.25">
      <c r="A714" s="59"/>
      <c r="B714" s="59"/>
      <c r="C714" s="59"/>
      <c r="D714" s="59"/>
      <c r="E714" s="60"/>
      <c r="F714" s="60"/>
      <c r="G714" s="61"/>
    </row>
    <row r="715" spans="1:7" ht="14.25">
      <c r="A715" s="59"/>
      <c r="B715" s="59"/>
      <c r="C715" s="59"/>
      <c r="D715" s="59"/>
      <c r="E715" s="60"/>
      <c r="F715" s="60"/>
      <c r="G715" s="61"/>
    </row>
    <row r="716" spans="1:7" ht="14.25">
      <c r="A716" s="59"/>
      <c r="B716" s="59"/>
      <c r="C716" s="59"/>
      <c r="D716" s="59"/>
      <c r="E716" s="60"/>
      <c r="F716" s="60"/>
      <c r="G716" s="61"/>
    </row>
    <row r="717" spans="1:7" ht="14.25">
      <c r="A717" s="59"/>
      <c r="B717" s="59"/>
      <c r="C717" s="59"/>
      <c r="D717" s="59"/>
      <c r="E717" s="60"/>
      <c r="F717" s="60"/>
      <c r="G717" s="61"/>
    </row>
    <row r="718" spans="1:7" ht="14.25">
      <c r="A718" s="59"/>
      <c r="B718" s="59"/>
      <c r="C718" s="59"/>
      <c r="D718" s="59"/>
      <c r="E718" s="60"/>
      <c r="F718" s="60"/>
      <c r="G718" s="61"/>
    </row>
    <row r="719" spans="1:7" ht="14.25">
      <c r="A719" s="59"/>
      <c r="B719" s="59"/>
      <c r="C719" s="59"/>
      <c r="D719" s="59"/>
      <c r="E719" s="60"/>
      <c r="F719" s="60"/>
      <c r="G719" s="61"/>
    </row>
    <row r="720" spans="1:7" ht="14.25">
      <c r="A720" s="59"/>
      <c r="B720" s="59"/>
      <c r="C720" s="59"/>
      <c r="D720" s="59"/>
      <c r="E720" s="60"/>
      <c r="F720" s="60"/>
      <c r="G720" s="61"/>
    </row>
    <row r="721" spans="1:7" ht="14.25">
      <c r="A721" s="59"/>
      <c r="B721" s="59"/>
      <c r="C721" s="59"/>
      <c r="D721" s="59"/>
      <c r="E721" s="60"/>
      <c r="F721" s="60"/>
      <c r="G721" s="61"/>
    </row>
    <row r="722" spans="1:7" ht="14.25">
      <c r="A722" s="59"/>
      <c r="B722" s="59"/>
      <c r="C722" s="59"/>
      <c r="D722" s="59"/>
      <c r="E722" s="60"/>
      <c r="F722" s="60"/>
      <c r="G722" s="61"/>
    </row>
    <row r="723" spans="1:7" ht="14.25">
      <c r="A723" s="59"/>
      <c r="B723" s="59"/>
      <c r="C723" s="59"/>
      <c r="D723" s="59"/>
      <c r="E723" s="60"/>
      <c r="F723" s="60"/>
      <c r="G723" s="61"/>
    </row>
    <row r="724" spans="1:7" ht="14.25">
      <c r="A724" s="59"/>
      <c r="B724" s="59"/>
      <c r="C724" s="59"/>
      <c r="D724" s="59"/>
      <c r="E724" s="60"/>
      <c r="F724" s="60"/>
      <c r="G724" s="61"/>
    </row>
    <row r="725" spans="1:7" ht="14.25">
      <c r="A725" s="59"/>
      <c r="B725" s="59"/>
      <c r="C725" s="59"/>
      <c r="D725" s="59"/>
      <c r="E725" s="60"/>
      <c r="F725" s="60"/>
      <c r="G725" s="61"/>
    </row>
    <row r="726" spans="1:7" ht="14.25">
      <c r="A726" s="59"/>
      <c r="B726" s="59"/>
      <c r="C726" s="59"/>
      <c r="D726" s="59"/>
      <c r="E726" s="60"/>
      <c r="F726" s="60"/>
      <c r="G726" s="61"/>
    </row>
    <row r="727" spans="1:7" ht="14.25">
      <c r="A727" s="59"/>
      <c r="B727" s="59"/>
      <c r="C727" s="59"/>
      <c r="D727" s="59"/>
      <c r="E727" s="60"/>
      <c r="F727" s="60"/>
      <c r="G727" s="61"/>
    </row>
    <row r="728" spans="1:7" ht="14.25">
      <c r="A728" s="59"/>
      <c r="B728" s="59"/>
      <c r="C728" s="59"/>
      <c r="D728" s="59"/>
      <c r="E728" s="60"/>
      <c r="F728" s="60"/>
      <c r="G728" s="61"/>
    </row>
    <row r="729" spans="1:7" ht="14.25">
      <c r="A729" s="59"/>
      <c r="B729" s="59"/>
      <c r="C729" s="59"/>
      <c r="D729" s="59"/>
      <c r="E729" s="60"/>
      <c r="F729" s="60"/>
      <c r="G729" s="61"/>
    </row>
    <row r="730" spans="1:7" ht="14.25">
      <c r="A730" s="59"/>
      <c r="B730" s="59"/>
      <c r="C730" s="59"/>
      <c r="D730" s="59"/>
      <c r="E730" s="60"/>
      <c r="F730" s="60"/>
      <c r="G730" s="61"/>
    </row>
    <row r="731" spans="1:7" ht="14.25">
      <c r="A731" s="59"/>
      <c r="B731" s="59"/>
      <c r="C731" s="59"/>
      <c r="D731" s="59"/>
      <c r="E731" s="60"/>
      <c r="F731" s="60"/>
      <c r="G731" s="61"/>
    </row>
    <row r="732" spans="1:7" ht="14.25">
      <c r="A732" s="59"/>
      <c r="B732" s="59"/>
      <c r="C732" s="59"/>
      <c r="D732" s="59"/>
      <c r="E732" s="60"/>
      <c r="F732" s="60"/>
      <c r="G732" s="61"/>
    </row>
    <row r="733" spans="1:7" ht="14.25">
      <c r="A733" s="59"/>
      <c r="B733" s="59"/>
      <c r="C733" s="59"/>
      <c r="D733" s="59"/>
      <c r="E733" s="60"/>
      <c r="F733" s="60"/>
      <c r="G733" s="61"/>
    </row>
    <row r="734" spans="1:7" ht="14.25">
      <c r="A734" s="59"/>
      <c r="B734" s="59"/>
      <c r="C734" s="59"/>
      <c r="D734" s="59"/>
      <c r="E734" s="60"/>
      <c r="F734" s="60"/>
      <c r="G734" s="61"/>
    </row>
    <row r="735" spans="1:7" ht="14.25">
      <c r="A735" s="59"/>
      <c r="B735" s="59"/>
      <c r="C735" s="59"/>
      <c r="D735" s="59"/>
      <c r="E735" s="60"/>
      <c r="F735" s="60"/>
      <c r="G735" s="61"/>
    </row>
    <row r="736" spans="1:7" ht="14.25">
      <c r="A736" s="59"/>
      <c r="B736" s="59"/>
      <c r="C736" s="59"/>
      <c r="D736" s="59"/>
      <c r="E736" s="60"/>
      <c r="F736" s="60"/>
      <c r="G736" s="61"/>
    </row>
    <row r="737" spans="1:7" ht="14.25">
      <c r="A737" s="59"/>
      <c r="B737" s="59"/>
      <c r="C737" s="59"/>
      <c r="D737" s="59"/>
      <c r="E737" s="60"/>
      <c r="F737" s="60"/>
      <c r="G737" s="61"/>
    </row>
    <row r="738" spans="1:7" ht="14.25">
      <c r="A738" s="59"/>
      <c r="B738" s="59"/>
      <c r="C738" s="59"/>
      <c r="D738" s="59"/>
      <c r="E738" s="60"/>
      <c r="F738" s="60"/>
      <c r="G738" s="61"/>
    </row>
    <row r="739" spans="1:7" ht="14.25">
      <c r="A739" s="59"/>
      <c r="B739" s="59"/>
      <c r="C739" s="59"/>
      <c r="D739" s="59"/>
      <c r="E739" s="60"/>
      <c r="F739" s="60"/>
      <c r="G739" s="61"/>
    </row>
    <row r="740" spans="1:7" ht="14.25">
      <c r="A740" s="59"/>
      <c r="B740" s="59"/>
      <c r="C740" s="59"/>
      <c r="D740" s="59"/>
      <c r="E740" s="60"/>
      <c r="F740" s="60"/>
      <c r="G740" s="61"/>
    </row>
    <row r="741" spans="1:7" ht="14.25">
      <c r="A741" s="59"/>
      <c r="B741" s="59"/>
      <c r="C741" s="59"/>
      <c r="D741" s="59"/>
      <c r="E741" s="60"/>
      <c r="F741" s="60"/>
      <c r="G741" s="61"/>
    </row>
    <row r="742" spans="1:7" ht="14.25">
      <c r="A742" s="59"/>
      <c r="B742" s="59"/>
      <c r="C742" s="59"/>
      <c r="D742" s="59"/>
      <c r="E742" s="60"/>
      <c r="F742" s="60"/>
      <c r="G742" s="61"/>
    </row>
    <row r="743" spans="1:7" ht="14.25">
      <c r="A743" s="59"/>
      <c r="B743" s="59"/>
      <c r="C743" s="59"/>
      <c r="D743" s="59"/>
      <c r="E743" s="60"/>
      <c r="F743" s="60"/>
      <c r="G743" s="61"/>
    </row>
    <row r="744" spans="1:7" ht="14.25">
      <c r="A744" s="59"/>
      <c r="B744" s="59"/>
      <c r="C744" s="59"/>
      <c r="D744" s="59"/>
      <c r="E744" s="60"/>
      <c r="F744" s="60"/>
      <c r="G744" s="61"/>
    </row>
    <row r="745" spans="1:7" ht="14.25">
      <c r="A745" s="59"/>
      <c r="B745" s="59"/>
      <c r="C745" s="59"/>
      <c r="D745" s="59"/>
      <c r="E745" s="60"/>
      <c r="F745" s="60"/>
      <c r="G745" s="61"/>
    </row>
    <row r="746" spans="1:7" ht="14.25">
      <c r="A746" s="59"/>
      <c r="B746" s="59"/>
      <c r="C746" s="59"/>
      <c r="D746" s="59"/>
      <c r="E746" s="60"/>
      <c r="F746" s="60"/>
      <c r="G746" s="61"/>
    </row>
    <row r="747" spans="1:7" ht="14.25">
      <c r="A747" s="59"/>
      <c r="B747" s="59"/>
      <c r="C747" s="59"/>
      <c r="D747" s="59"/>
      <c r="E747" s="60"/>
      <c r="F747" s="60"/>
      <c r="G747" s="61"/>
    </row>
    <row r="748" spans="1:7" ht="14.25">
      <c r="A748" s="59"/>
      <c r="B748" s="59"/>
      <c r="C748" s="59"/>
      <c r="D748" s="59"/>
      <c r="E748" s="60"/>
      <c r="F748" s="60"/>
      <c r="G748" s="61"/>
    </row>
    <row r="749" spans="1:7" ht="14.25">
      <c r="A749" s="59"/>
      <c r="B749" s="59"/>
      <c r="C749" s="59"/>
      <c r="D749" s="59"/>
      <c r="E749" s="60"/>
      <c r="F749" s="60"/>
      <c r="G749" s="61"/>
    </row>
    <row r="750" spans="1:7" ht="14.25">
      <c r="A750" s="59"/>
      <c r="B750" s="59"/>
      <c r="C750" s="59"/>
      <c r="D750" s="59"/>
      <c r="E750" s="60"/>
      <c r="F750" s="60"/>
      <c r="G750" s="61"/>
    </row>
    <row r="751" spans="1:7" ht="14.25">
      <c r="A751" s="59"/>
      <c r="B751" s="59"/>
      <c r="C751" s="59"/>
      <c r="D751" s="59"/>
      <c r="E751" s="60"/>
      <c r="F751" s="60"/>
      <c r="G751" s="61"/>
    </row>
    <row r="752" spans="1:7" ht="14.25">
      <c r="A752" s="59"/>
      <c r="B752" s="59"/>
      <c r="C752" s="59"/>
      <c r="D752" s="59"/>
      <c r="E752" s="60"/>
      <c r="F752" s="60"/>
      <c r="G752" s="61"/>
    </row>
    <row r="753" spans="1:7" ht="14.25">
      <c r="A753" s="59"/>
      <c r="B753" s="59"/>
      <c r="C753" s="59"/>
      <c r="D753" s="59"/>
      <c r="E753" s="60"/>
      <c r="F753" s="60"/>
      <c r="G753" s="61"/>
    </row>
    <row r="754" spans="1:7" ht="14.25">
      <c r="A754" s="59"/>
      <c r="B754" s="59"/>
      <c r="C754" s="59"/>
      <c r="D754" s="59"/>
      <c r="E754" s="60"/>
      <c r="F754" s="60"/>
      <c r="G754" s="61"/>
    </row>
    <row r="755" spans="1:7" ht="14.25">
      <c r="A755" s="59"/>
      <c r="B755" s="59"/>
      <c r="C755" s="59"/>
      <c r="D755" s="59"/>
      <c r="E755" s="60"/>
      <c r="F755" s="60"/>
      <c r="G755" s="61"/>
    </row>
    <row r="756" spans="1:7" ht="14.25">
      <c r="A756" s="59"/>
      <c r="B756" s="59"/>
      <c r="C756" s="59"/>
      <c r="D756" s="59"/>
      <c r="E756" s="60"/>
      <c r="F756" s="60"/>
      <c r="G756" s="61"/>
    </row>
    <row r="757" spans="1:7" ht="14.25">
      <c r="A757" s="59"/>
      <c r="B757" s="59"/>
      <c r="C757" s="59"/>
      <c r="D757" s="59"/>
      <c r="E757" s="60"/>
      <c r="F757" s="60"/>
      <c r="G757" s="61"/>
    </row>
    <row r="758" spans="1:7" ht="14.25">
      <c r="A758" s="59"/>
      <c r="B758" s="59"/>
      <c r="C758" s="59"/>
      <c r="D758" s="59"/>
      <c r="E758" s="60"/>
      <c r="F758" s="60"/>
      <c r="G758" s="61"/>
    </row>
    <row r="759" spans="1:7" ht="14.25">
      <c r="A759" s="59"/>
      <c r="B759" s="59"/>
      <c r="C759" s="59"/>
      <c r="D759" s="59"/>
      <c r="E759" s="60"/>
      <c r="F759" s="60"/>
      <c r="G759" s="61"/>
    </row>
    <row r="760" spans="1:7" ht="14.25">
      <c r="A760" s="59"/>
      <c r="B760" s="59"/>
      <c r="C760" s="59"/>
      <c r="D760" s="59"/>
      <c r="E760" s="60"/>
      <c r="F760" s="60"/>
      <c r="G760" s="61"/>
    </row>
    <row r="761" spans="1:7" ht="14.25">
      <c r="A761" s="59"/>
      <c r="B761" s="59"/>
      <c r="C761" s="59"/>
      <c r="D761" s="59"/>
      <c r="E761" s="60"/>
      <c r="F761" s="60"/>
      <c r="G761" s="61"/>
    </row>
    <row r="762" spans="1:7" ht="14.25">
      <c r="A762" s="59"/>
      <c r="B762" s="59"/>
      <c r="C762" s="59"/>
      <c r="D762" s="59"/>
      <c r="E762" s="60"/>
      <c r="F762" s="60"/>
      <c r="G762" s="61"/>
    </row>
    <row r="763" spans="1:7" ht="14.25">
      <c r="A763" s="59"/>
      <c r="B763" s="59"/>
      <c r="C763" s="59"/>
      <c r="D763" s="59"/>
      <c r="E763" s="60"/>
      <c r="F763" s="60"/>
      <c r="G763" s="61"/>
    </row>
    <row r="764" spans="1:7" ht="14.25">
      <c r="A764" s="59"/>
      <c r="B764" s="59"/>
      <c r="C764" s="59"/>
      <c r="D764" s="59"/>
      <c r="E764" s="60"/>
      <c r="F764" s="60"/>
      <c r="G764" s="61"/>
    </row>
    <row r="765" spans="1:7" ht="14.25">
      <c r="A765" s="59"/>
      <c r="B765" s="59"/>
      <c r="C765" s="59"/>
      <c r="D765" s="59"/>
      <c r="E765" s="60"/>
      <c r="F765" s="60"/>
      <c r="G765" s="61"/>
    </row>
    <row r="766" spans="1:7" ht="14.25">
      <c r="A766" s="59"/>
      <c r="B766" s="59"/>
      <c r="C766" s="59"/>
      <c r="D766" s="59"/>
      <c r="E766" s="60"/>
      <c r="F766" s="60"/>
      <c r="G766" s="61"/>
    </row>
    <row r="767" spans="1:7" ht="14.25">
      <c r="A767" s="59"/>
      <c r="B767" s="59"/>
      <c r="C767" s="59"/>
      <c r="D767" s="59"/>
      <c r="E767" s="60"/>
      <c r="F767" s="60"/>
      <c r="G767" s="61"/>
    </row>
    <row r="768" spans="1:7" ht="14.25">
      <c r="A768" s="59"/>
      <c r="B768" s="59"/>
      <c r="C768" s="59"/>
      <c r="D768" s="59"/>
      <c r="E768" s="60"/>
      <c r="F768" s="60"/>
      <c r="G768" s="61"/>
    </row>
    <row r="769" spans="1:7" ht="14.25">
      <c r="A769" s="59"/>
      <c r="B769" s="59"/>
      <c r="C769" s="59"/>
      <c r="D769" s="59"/>
      <c r="E769" s="60"/>
      <c r="F769" s="60"/>
      <c r="G769" s="61"/>
    </row>
    <row r="770" spans="1:7" ht="14.25">
      <c r="A770" s="59"/>
      <c r="B770" s="59"/>
      <c r="C770" s="59"/>
      <c r="D770" s="59"/>
      <c r="E770" s="60"/>
      <c r="F770" s="60"/>
      <c r="G770" s="61"/>
    </row>
    <row r="771" spans="1:7" ht="14.25">
      <c r="A771" s="59"/>
      <c r="B771" s="59"/>
      <c r="C771" s="59"/>
      <c r="D771" s="59"/>
      <c r="E771" s="60"/>
      <c r="F771" s="60"/>
      <c r="G771" s="61"/>
    </row>
    <row r="772" spans="1:7" ht="14.25">
      <c r="A772" s="59"/>
      <c r="B772" s="59"/>
      <c r="C772" s="59"/>
      <c r="D772" s="59"/>
      <c r="E772" s="60"/>
      <c r="F772" s="60"/>
      <c r="G772" s="61"/>
    </row>
    <row r="773" spans="1:7" ht="14.25">
      <c r="A773" s="59"/>
      <c r="B773" s="59"/>
      <c r="C773" s="59"/>
      <c r="D773" s="59"/>
      <c r="E773" s="60"/>
      <c r="F773" s="60"/>
      <c r="G773" s="61"/>
    </row>
    <row r="774" spans="1:7" ht="14.25">
      <c r="A774" s="59"/>
      <c r="B774" s="59"/>
      <c r="C774" s="59"/>
      <c r="D774" s="59"/>
      <c r="E774" s="60"/>
      <c r="F774" s="60"/>
      <c r="G774" s="61"/>
    </row>
    <row r="775" spans="1:7" ht="14.25">
      <c r="A775" s="59"/>
      <c r="B775" s="59"/>
      <c r="C775" s="59"/>
      <c r="D775" s="59"/>
      <c r="E775" s="60"/>
      <c r="F775" s="60"/>
      <c r="G775" s="61"/>
    </row>
    <row r="776" spans="1:7" ht="14.25">
      <c r="A776" s="59"/>
      <c r="B776" s="59"/>
      <c r="C776" s="59"/>
      <c r="D776" s="59"/>
      <c r="E776" s="60"/>
      <c r="F776" s="60"/>
      <c r="G776" s="61"/>
    </row>
    <row r="777" spans="1:7" ht="14.25">
      <c r="A777" s="59"/>
      <c r="B777" s="59"/>
      <c r="C777" s="59"/>
      <c r="D777" s="59"/>
      <c r="E777" s="60"/>
      <c r="F777" s="60"/>
      <c r="G777" s="61"/>
    </row>
    <row r="778" spans="1:7" ht="14.25">
      <c r="A778" s="59"/>
      <c r="B778" s="59"/>
      <c r="C778" s="59"/>
      <c r="D778" s="59"/>
      <c r="E778" s="60"/>
      <c r="F778" s="60"/>
      <c r="G778" s="61"/>
    </row>
    <row r="779" spans="1:7" ht="14.25">
      <c r="A779" s="59"/>
      <c r="B779" s="59"/>
      <c r="C779" s="59"/>
      <c r="D779" s="59"/>
      <c r="E779" s="60"/>
      <c r="F779" s="60"/>
      <c r="G779" s="61"/>
    </row>
    <row r="780" spans="1:7" ht="14.25">
      <c r="A780" s="59"/>
      <c r="B780" s="59"/>
      <c r="C780" s="59"/>
      <c r="D780" s="59"/>
      <c r="E780" s="60"/>
      <c r="F780" s="60"/>
      <c r="G780" s="61"/>
    </row>
    <row r="781" spans="1:7" ht="14.25">
      <c r="A781" s="59"/>
      <c r="B781" s="59"/>
      <c r="C781" s="59"/>
      <c r="D781" s="59"/>
      <c r="E781" s="60"/>
      <c r="F781" s="60"/>
      <c r="G781" s="61"/>
    </row>
    <row r="782" spans="1:7" ht="14.25">
      <c r="A782" s="59"/>
      <c r="B782" s="59"/>
      <c r="C782" s="59"/>
      <c r="D782" s="59"/>
      <c r="E782" s="60"/>
      <c r="F782" s="60"/>
      <c r="G782" s="61"/>
    </row>
    <row r="783" spans="1:7" ht="14.25">
      <c r="A783" s="59"/>
      <c r="B783" s="59"/>
      <c r="C783" s="59"/>
      <c r="D783" s="59"/>
      <c r="E783" s="60"/>
      <c r="F783" s="60"/>
      <c r="G783" s="61"/>
    </row>
    <row r="784" spans="1:7" ht="14.25">
      <c r="A784" s="59"/>
      <c r="B784" s="59"/>
      <c r="C784" s="59"/>
      <c r="D784" s="59"/>
      <c r="E784" s="60"/>
      <c r="F784" s="60"/>
      <c r="G784" s="61"/>
    </row>
    <row r="785" spans="1:7" ht="14.25">
      <c r="A785" s="59"/>
      <c r="B785" s="59"/>
      <c r="C785" s="59"/>
      <c r="D785" s="59"/>
      <c r="E785" s="60"/>
      <c r="F785" s="60"/>
      <c r="G785" s="61"/>
    </row>
    <row r="786" spans="1:7" ht="14.25">
      <c r="A786" s="59"/>
      <c r="B786" s="59"/>
      <c r="C786" s="59"/>
      <c r="D786" s="59"/>
      <c r="E786" s="60"/>
      <c r="F786" s="60"/>
      <c r="G786" s="61"/>
    </row>
    <row r="787" spans="1:7" ht="14.25">
      <c r="A787" s="59"/>
      <c r="B787" s="59"/>
      <c r="C787" s="59"/>
      <c r="D787" s="59"/>
      <c r="E787" s="60"/>
      <c r="F787" s="60"/>
      <c r="G787" s="61"/>
    </row>
    <row r="788" spans="1:7" ht="14.25">
      <c r="A788" s="59"/>
      <c r="B788" s="59"/>
      <c r="C788" s="59"/>
      <c r="D788" s="59"/>
      <c r="E788" s="60"/>
      <c r="F788" s="60"/>
      <c r="G788" s="61"/>
    </row>
    <row r="789" spans="1:7" ht="14.25">
      <c r="A789" s="59"/>
      <c r="B789" s="59"/>
      <c r="C789" s="59"/>
      <c r="D789" s="59"/>
      <c r="E789" s="60"/>
      <c r="F789" s="60"/>
      <c r="G789" s="61"/>
    </row>
    <row r="790" spans="1:7" ht="14.25">
      <c r="A790" s="59"/>
      <c r="B790" s="59"/>
      <c r="C790" s="59"/>
      <c r="D790" s="59"/>
      <c r="E790" s="60"/>
      <c r="F790" s="60"/>
      <c r="G790" s="61"/>
    </row>
    <row r="791" spans="1:7" ht="14.25">
      <c r="A791" s="59"/>
      <c r="B791" s="59"/>
      <c r="C791" s="59"/>
      <c r="D791" s="59"/>
      <c r="E791" s="60"/>
      <c r="F791" s="60"/>
      <c r="G791" s="61"/>
    </row>
    <row r="792" spans="1:7" ht="14.25">
      <c r="A792" s="59"/>
      <c r="B792" s="59"/>
      <c r="C792" s="59"/>
      <c r="D792" s="59"/>
      <c r="E792" s="60"/>
      <c r="F792" s="60"/>
      <c r="G792" s="61"/>
    </row>
    <row r="793" spans="1:7" ht="14.25">
      <c r="A793" s="59"/>
      <c r="B793" s="59"/>
      <c r="C793" s="59"/>
      <c r="D793" s="59"/>
      <c r="E793" s="60"/>
      <c r="F793" s="60"/>
      <c r="G793" s="61"/>
    </row>
    <row r="794" spans="1:7" ht="14.25">
      <c r="A794" s="59"/>
      <c r="B794" s="59"/>
      <c r="C794" s="59"/>
      <c r="D794" s="59"/>
      <c r="E794" s="60"/>
      <c r="F794" s="60"/>
      <c r="G794" s="61"/>
    </row>
    <row r="795" spans="1:7" ht="14.25">
      <c r="A795" s="59"/>
      <c r="B795" s="59"/>
      <c r="C795" s="59"/>
      <c r="D795" s="59"/>
      <c r="E795" s="60"/>
      <c r="F795" s="60"/>
      <c r="G795" s="61"/>
    </row>
    <row r="796" spans="1:7" ht="14.25">
      <c r="A796" s="59"/>
      <c r="B796" s="59"/>
      <c r="C796" s="59"/>
      <c r="D796" s="59"/>
      <c r="E796" s="60"/>
      <c r="F796" s="60"/>
      <c r="G796" s="61"/>
    </row>
    <row r="797" spans="1:7" ht="14.25">
      <c r="A797" s="59"/>
      <c r="B797" s="59"/>
      <c r="C797" s="59"/>
      <c r="D797" s="59"/>
      <c r="E797" s="60"/>
      <c r="F797" s="60"/>
      <c r="G797" s="61"/>
    </row>
    <row r="798" spans="1:7" ht="14.25">
      <c r="A798" s="59"/>
      <c r="B798" s="59"/>
      <c r="C798" s="59"/>
      <c r="D798" s="59"/>
      <c r="E798" s="60"/>
      <c r="F798" s="60"/>
      <c r="G798" s="61"/>
    </row>
    <row r="799" spans="1:7" ht="14.25">
      <c r="A799" s="59"/>
      <c r="B799" s="59"/>
      <c r="C799" s="59"/>
      <c r="D799" s="59"/>
      <c r="E799" s="60"/>
      <c r="F799" s="60"/>
      <c r="G799" s="61"/>
    </row>
    <row r="800" spans="1:7" ht="14.25">
      <c r="A800" s="59"/>
      <c r="B800" s="59"/>
      <c r="C800" s="59"/>
      <c r="D800" s="59"/>
      <c r="E800" s="60"/>
      <c r="F800" s="60"/>
      <c r="G800" s="61"/>
    </row>
    <row r="801" spans="1:7" ht="14.25">
      <c r="A801" s="59"/>
      <c r="B801" s="59"/>
      <c r="C801" s="59"/>
      <c r="D801" s="59"/>
      <c r="E801" s="60"/>
      <c r="F801" s="60"/>
      <c r="G801" s="61"/>
    </row>
    <row r="802" spans="1:7" ht="14.25">
      <c r="A802" s="59"/>
      <c r="B802" s="59"/>
      <c r="C802" s="59"/>
      <c r="D802" s="59"/>
      <c r="E802" s="60"/>
      <c r="F802" s="60"/>
      <c r="G802" s="61"/>
    </row>
    <row r="803" spans="1:7" ht="14.25">
      <c r="A803" s="59"/>
      <c r="B803" s="59"/>
      <c r="C803" s="59"/>
      <c r="D803" s="59"/>
      <c r="E803" s="60"/>
      <c r="F803" s="60"/>
      <c r="G803" s="61"/>
    </row>
    <row r="804" spans="1:7" ht="14.25">
      <c r="A804" s="59"/>
      <c r="B804" s="59"/>
      <c r="C804" s="59"/>
      <c r="D804" s="59"/>
      <c r="E804" s="60"/>
      <c r="F804" s="60"/>
      <c r="G804" s="61"/>
    </row>
    <row r="805" spans="1:7" ht="14.25">
      <c r="A805" s="59"/>
      <c r="B805" s="59"/>
      <c r="C805" s="59"/>
      <c r="D805" s="59"/>
      <c r="E805" s="60"/>
      <c r="F805" s="60"/>
      <c r="G805" s="61"/>
    </row>
    <row r="806" spans="1:7" ht="14.25">
      <c r="A806" s="59"/>
      <c r="B806" s="59"/>
      <c r="C806" s="59"/>
      <c r="D806" s="59"/>
      <c r="E806" s="60"/>
      <c r="F806" s="60"/>
      <c r="G806" s="61"/>
    </row>
    <row r="807" spans="1:7" ht="14.25">
      <c r="A807" s="59"/>
      <c r="B807" s="59"/>
      <c r="C807" s="59"/>
      <c r="D807" s="59"/>
      <c r="E807" s="60"/>
      <c r="F807" s="60"/>
      <c r="G807" s="61"/>
    </row>
    <row r="808" spans="1:7" ht="14.25">
      <c r="A808" s="59"/>
      <c r="B808" s="59"/>
      <c r="C808" s="59"/>
      <c r="D808" s="59"/>
      <c r="E808" s="60"/>
      <c r="F808" s="60"/>
      <c r="G808" s="61"/>
    </row>
    <row r="809" spans="1:7" ht="14.25">
      <c r="A809" s="59"/>
      <c r="B809" s="59"/>
      <c r="C809" s="59"/>
      <c r="D809" s="59"/>
      <c r="E809" s="60"/>
      <c r="F809" s="60"/>
      <c r="G809" s="61"/>
    </row>
    <row r="810" spans="1:7" ht="14.25">
      <c r="A810" s="59"/>
      <c r="B810" s="59"/>
      <c r="C810" s="59"/>
      <c r="D810" s="59"/>
      <c r="E810" s="60"/>
      <c r="F810" s="60"/>
      <c r="G810" s="61"/>
    </row>
    <row r="811" spans="1:7" ht="14.25">
      <c r="A811" s="59"/>
      <c r="B811" s="59"/>
      <c r="C811" s="59"/>
      <c r="D811" s="59"/>
      <c r="E811" s="60"/>
      <c r="F811" s="60"/>
      <c r="G811" s="61"/>
    </row>
    <row r="812" spans="1:7" ht="14.25">
      <c r="A812" s="59"/>
      <c r="B812" s="59"/>
      <c r="C812" s="59"/>
      <c r="D812" s="59"/>
      <c r="E812" s="60"/>
      <c r="F812" s="60"/>
      <c r="G812" s="61"/>
    </row>
    <row r="813" spans="1:7" ht="14.25">
      <c r="A813" s="59"/>
      <c r="B813" s="59"/>
      <c r="C813" s="59"/>
      <c r="D813" s="59"/>
      <c r="E813" s="60"/>
      <c r="F813" s="60"/>
      <c r="G813" s="61"/>
    </row>
    <row r="814" spans="1:7" ht="14.25">
      <c r="A814" s="59"/>
      <c r="B814" s="59"/>
      <c r="C814" s="59"/>
      <c r="D814" s="59"/>
      <c r="E814" s="60"/>
      <c r="F814" s="60"/>
      <c r="G814" s="61"/>
    </row>
    <row r="815" spans="1:7" ht="14.25">
      <c r="A815" s="59"/>
      <c r="B815" s="59"/>
      <c r="C815" s="59"/>
      <c r="D815" s="59"/>
      <c r="E815" s="60"/>
      <c r="F815" s="60"/>
      <c r="G815" s="61"/>
    </row>
    <row r="816" spans="1:7" ht="14.25">
      <c r="A816" s="59"/>
      <c r="B816" s="59"/>
      <c r="C816" s="59"/>
      <c r="D816" s="59"/>
      <c r="E816" s="60"/>
      <c r="F816" s="60"/>
      <c r="G816" s="61"/>
    </row>
    <row r="817" spans="1:7" ht="14.25">
      <c r="A817" s="59"/>
      <c r="B817" s="59"/>
      <c r="C817" s="59"/>
      <c r="D817" s="59"/>
      <c r="E817" s="60"/>
      <c r="F817" s="60"/>
      <c r="G817" s="61"/>
    </row>
    <row r="818" spans="1:7" ht="14.25">
      <c r="A818" s="59"/>
      <c r="B818" s="59"/>
      <c r="C818" s="59"/>
      <c r="D818" s="59"/>
      <c r="E818" s="60"/>
      <c r="F818" s="60"/>
      <c r="G818" s="61"/>
    </row>
    <row r="819" spans="1:7" ht="14.25">
      <c r="A819" s="59"/>
      <c r="B819" s="59"/>
      <c r="C819" s="59"/>
      <c r="D819" s="59"/>
      <c r="E819" s="60"/>
      <c r="F819" s="60"/>
      <c r="G819" s="61"/>
    </row>
    <row r="820" spans="1:7" ht="14.25">
      <c r="A820" s="59"/>
      <c r="B820" s="59"/>
      <c r="C820" s="59"/>
      <c r="D820" s="59"/>
      <c r="E820" s="60"/>
      <c r="F820" s="60"/>
      <c r="G820" s="61"/>
    </row>
    <row r="821" spans="1:7" ht="14.25">
      <c r="A821" s="59"/>
      <c r="B821" s="59"/>
      <c r="C821" s="59"/>
      <c r="D821" s="59"/>
      <c r="E821" s="60"/>
      <c r="F821" s="60"/>
      <c r="G821" s="61"/>
    </row>
    <row r="822" spans="1:7" ht="14.25">
      <c r="A822" s="59"/>
      <c r="B822" s="59"/>
      <c r="C822" s="59"/>
      <c r="D822" s="59"/>
      <c r="E822" s="60"/>
      <c r="F822" s="60"/>
      <c r="G822" s="61"/>
    </row>
    <row r="823" spans="1:7" ht="14.25">
      <c r="A823" s="59"/>
      <c r="B823" s="59"/>
      <c r="C823" s="59"/>
      <c r="D823" s="59"/>
      <c r="E823" s="60"/>
      <c r="F823" s="60"/>
      <c r="G823" s="61"/>
    </row>
    <row r="824" spans="1:7" ht="14.25">
      <c r="A824" s="59"/>
      <c r="B824" s="59"/>
      <c r="C824" s="59"/>
      <c r="D824" s="59"/>
      <c r="E824" s="60"/>
      <c r="F824" s="60"/>
      <c r="G824" s="61"/>
    </row>
    <row r="825" spans="1:7" ht="14.25">
      <c r="A825" s="59"/>
      <c r="B825" s="59"/>
      <c r="C825" s="59"/>
      <c r="D825" s="59"/>
      <c r="E825" s="60"/>
      <c r="F825" s="60"/>
      <c r="G825" s="61"/>
    </row>
    <row r="826" spans="1:7" ht="14.25">
      <c r="A826" s="59"/>
      <c r="B826" s="59"/>
      <c r="C826" s="59"/>
      <c r="D826" s="59"/>
      <c r="E826" s="60"/>
      <c r="F826" s="60"/>
      <c r="G826" s="61"/>
    </row>
    <row r="827" spans="1:7" ht="14.25">
      <c r="A827" s="59"/>
      <c r="B827" s="59"/>
      <c r="C827" s="59"/>
      <c r="D827" s="59"/>
      <c r="E827" s="60"/>
      <c r="F827" s="60"/>
      <c r="G827" s="61"/>
    </row>
    <row r="828" spans="1:7" ht="14.25">
      <c r="A828" s="59"/>
      <c r="B828" s="59"/>
      <c r="C828" s="59"/>
      <c r="D828" s="59"/>
      <c r="E828" s="60"/>
      <c r="F828" s="60"/>
      <c r="G828" s="61"/>
    </row>
    <row r="829" spans="1:7" ht="14.25">
      <c r="A829" s="59"/>
      <c r="B829" s="59"/>
      <c r="C829" s="59"/>
      <c r="D829" s="59"/>
      <c r="E829" s="60"/>
      <c r="F829" s="60"/>
      <c r="G829" s="61"/>
    </row>
    <row r="830" spans="1:7" ht="14.25">
      <c r="A830" s="59"/>
      <c r="B830" s="59"/>
      <c r="C830" s="59"/>
      <c r="D830" s="59"/>
      <c r="E830" s="60"/>
      <c r="F830" s="60"/>
      <c r="G830" s="61"/>
    </row>
    <row r="831" spans="1:7" ht="14.25">
      <c r="A831" s="59"/>
      <c r="B831" s="59"/>
      <c r="C831" s="59"/>
      <c r="D831" s="59"/>
      <c r="E831" s="60"/>
      <c r="F831" s="60"/>
      <c r="G831" s="61"/>
    </row>
    <row r="832" spans="1:7" ht="14.25">
      <c r="A832" s="59"/>
      <c r="B832" s="59"/>
      <c r="C832" s="59"/>
      <c r="D832" s="59"/>
      <c r="E832" s="60"/>
      <c r="F832" s="60"/>
      <c r="G832" s="61"/>
    </row>
    <row r="833" spans="1:7" ht="14.25">
      <c r="A833" s="59"/>
      <c r="B833" s="59"/>
      <c r="C833" s="59"/>
      <c r="D833" s="59"/>
      <c r="E833" s="60"/>
      <c r="F833" s="60"/>
      <c r="G833" s="61"/>
    </row>
    <row r="834" spans="1:7" ht="14.25">
      <c r="A834" s="59"/>
      <c r="B834" s="59"/>
      <c r="C834" s="59"/>
      <c r="D834" s="59"/>
      <c r="E834" s="60"/>
      <c r="F834" s="60"/>
      <c r="G834" s="61"/>
    </row>
    <row r="835" spans="1:7" ht="14.25">
      <c r="A835" s="59"/>
      <c r="B835" s="59"/>
      <c r="C835" s="59"/>
      <c r="D835" s="59"/>
      <c r="E835" s="60"/>
      <c r="F835" s="60"/>
      <c r="G835" s="61"/>
    </row>
    <row r="836" spans="1:7" ht="14.25">
      <c r="A836" s="59"/>
      <c r="B836" s="59"/>
      <c r="C836" s="59"/>
      <c r="D836" s="59"/>
      <c r="E836" s="60"/>
      <c r="F836" s="60"/>
      <c r="G836" s="61"/>
    </row>
    <row r="837" spans="1:7" ht="14.25">
      <c r="A837" s="59"/>
      <c r="B837" s="59"/>
      <c r="C837" s="59"/>
      <c r="D837" s="59"/>
      <c r="E837" s="60"/>
      <c r="F837" s="60"/>
      <c r="G837" s="61"/>
    </row>
    <row r="838" spans="1:7" ht="14.25">
      <c r="A838" s="59"/>
      <c r="B838" s="59"/>
      <c r="C838" s="59"/>
      <c r="D838" s="59"/>
      <c r="E838" s="60"/>
      <c r="F838" s="60"/>
      <c r="G838" s="61"/>
    </row>
    <row r="839" spans="1:7" ht="14.25">
      <c r="A839" s="59"/>
      <c r="B839" s="59"/>
      <c r="C839" s="59"/>
      <c r="D839" s="59"/>
      <c r="E839" s="60"/>
      <c r="F839" s="60"/>
      <c r="G839" s="61"/>
    </row>
    <row r="840" spans="1:7" ht="14.25">
      <c r="A840" s="59"/>
      <c r="B840" s="59"/>
      <c r="C840" s="59"/>
      <c r="D840" s="59"/>
      <c r="E840" s="60"/>
      <c r="F840" s="60"/>
      <c r="G840" s="61"/>
    </row>
    <row r="841" spans="1:7" ht="14.25">
      <c r="A841" s="59"/>
      <c r="B841" s="59"/>
      <c r="C841" s="59"/>
      <c r="D841" s="59"/>
      <c r="E841" s="60"/>
      <c r="F841" s="60"/>
      <c r="G841" s="61"/>
    </row>
    <row r="842" spans="1:7" ht="14.25">
      <c r="A842" s="59"/>
      <c r="B842" s="59"/>
      <c r="C842" s="59"/>
      <c r="D842" s="59"/>
      <c r="E842" s="60"/>
      <c r="F842" s="60"/>
      <c r="G842" s="61"/>
    </row>
    <row r="843" spans="1:7" ht="14.25">
      <c r="A843" s="59"/>
      <c r="B843" s="59"/>
      <c r="C843" s="59"/>
      <c r="D843" s="59"/>
      <c r="E843" s="60"/>
      <c r="F843" s="60"/>
      <c r="G843" s="61"/>
    </row>
    <row r="844" spans="1:7" ht="14.25">
      <c r="A844" s="59"/>
      <c r="B844" s="59"/>
      <c r="C844" s="59"/>
      <c r="D844" s="59"/>
      <c r="E844" s="60"/>
      <c r="F844" s="60"/>
      <c r="G844" s="61"/>
    </row>
    <row r="845" spans="1:7" ht="14.25">
      <c r="A845" s="59"/>
      <c r="B845" s="59"/>
      <c r="C845" s="59"/>
      <c r="D845" s="59"/>
      <c r="E845" s="60"/>
      <c r="F845" s="60"/>
      <c r="G845" s="61"/>
    </row>
    <row r="846" spans="1:7" ht="14.25">
      <c r="A846" s="59"/>
      <c r="B846" s="59"/>
      <c r="C846" s="59"/>
      <c r="D846" s="59"/>
      <c r="E846" s="60"/>
      <c r="F846" s="60"/>
      <c r="G846" s="61"/>
    </row>
    <row r="847" spans="1:7" ht="14.25">
      <c r="A847" s="59"/>
      <c r="B847" s="59"/>
      <c r="C847" s="59"/>
      <c r="D847" s="59"/>
      <c r="E847" s="60"/>
      <c r="F847" s="60"/>
      <c r="G847" s="61"/>
    </row>
    <row r="848" spans="1:7" ht="14.25">
      <c r="A848" s="59"/>
      <c r="B848" s="59"/>
      <c r="C848" s="59"/>
      <c r="D848" s="59"/>
      <c r="E848" s="60"/>
      <c r="F848" s="60"/>
      <c r="G848" s="61"/>
    </row>
    <row r="849" spans="1:7" ht="14.25">
      <c r="A849" s="59"/>
      <c r="B849" s="59"/>
      <c r="C849" s="59"/>
      <c r="D849" s="59"/>
      <c r="E849" s="60"/>
      <c r="F849" s="60"/>
      <c r="G849" s="61"/>
    </row>
    <row r="850" spans="1:7" ht="14.25">
      <c r="A850" s="59"/>
      <c r="B850" s="59"/>
      <c r="C850" s="59"/>
      <c r="D850" s="59"/>
      <c r="E850" s="60"/>
      <c r="F850" s="60"/>
      <c r="G850" s="61"/>
    </row>
    <row r="851" spans="1:7" ht="14.25">
      <c r="A851" s="59"/>
      <c r="B851" s="59"/>
      <c r="C851" s="59"/>
      <c r="D851" s="59"/>
      <c r="E851" s="60"/>
      <c r="F851" s="60"/>
      <c r="G851" s="61"/>
    </row>
    <row r="852" spans="1:7" ht="14.25">
      <c r="A852" s="59"/>
      <c r="B852" s="59"/>
      <c r="C852" s="59"/>
      <c r="D852" s="59"/>
      <c r="E852" s="60"/>
      <c r="F852" s="60"/>
      <c r="G852" s="61"/>
    </row>
    <row r="853" spans="1:7" ht="14.25">
      <c r="A853" s="59"/>
      <c r="B853" s="59"/>
      <c r="C853" s="59"/>
      <c r="D853" s="59"/>
      <c r="E853" s="60"/>
      <c r="F853" s="60"/>
      <c r="G853" s="61"/>
    </row>
    <row r="854" spans="1:7" ht="14.25">
      <c r="A854" s="59"/>
      <c r="B854" s="59"/>
      <c r="C854" s="59"/>
      <c r="D854" s="59"/>
      <c r="E854" s="60"/>
      <c r="F854" s="60"/>
      <c r="G854" s="61"/>
    </row>
    <row r="855" spans="1:7" ht="14.25">
      <c r="A855" s="59"/>
      <c r="B855" s="59"/>
      <c r="C855" s="59"/>
      <c r="D855" s="59"/>
      <c r="E855" s="60"/>
      <c r="F855" s="60"/>
      <c r="G855" s="61"/>
    </row>
    <row r="856" spans="1:7" ht="14.25">
      <c r="A856" s="59"/>
      <c r="B856" s="59"/>
      <c r="C856" s="59"/>
      <c r="D856" s="59"/>
      <c r="E856" s="60"/>
      <c r="F856" s="60"/>
      <c r="G856" s="61"/>
    </row>
    <row r="857" spans="1:7" ht="14.25">
      <c r="A857" s="59"/>
      <c r="B857" s="59"/>
      <c r="C857" s="59"/>
      <c r="D857" s="59"/>
      <c r="E857" s="60"/>
      <c r="F857" s="60"/>
      <c r="G857" s="61"/>
    </row>
    <row r="858" spans="1:7" ht="14.25">
      <c r="A858" s="59"/>
      <c r="B858" s="59"/>
      <c r="C858" s="59"/>
      <c r="D858" s="59"/>
      <c r="E858" s="60"/>
      <c r="F858" s="60"/>
      <c r="G858" s="61"/>
    </row>
    <row r="859" spans="1:7" ht="14.25">
      <c r="A859" s="59"/>
      <c r="B859" s="59"/>
      <c r="C859" s="59"/>
      <c r="D859" s="59"/>
      <c r="E859" s="60"/>
      <c r="F859" s="60"/>
      <c r="G859" s="61"/>
    </row>
    <row r="860" spans="1:7" ht="14.25">
      <c r="A860" s="59"/>
      <c r="B860" s="59"/>
      <c r="C860" s="59"/>
      <c r="D860" s="59"/>
      <c r="E860" s="60"/>
      <c r="F860" s="60"/>
      <c r="G860" s="61"/>
    </row>
    <row r="861" spans="1:7" ht="14.25">
      <c r="A861" s="59"/>
      <c r="B861" s="59"/>
      <c r="C861" s="59"/>
      <c r="D861" s="59"/>
      <c r="E861" s="60"/>
      <c r="F861" s="60"/>
      <c r="G861" s="61"/>
    </row>
    <row r="862" spans="1:7" ht="14.25">
      <c r="A862" s="59"/>
      <c r="B862" s="59"/>
      <c r="C862" s="59"/>
      <c r="D862" s="59"/>
      <c r="E862" s="60"/>
      <c r="F862" s="60"/>
      <c r="G862" s="61"/>
    </row>
    <row r="863" spans="1:7" ht="14.25">
      <c r="A863" s="59"/>
      <c r="B863" s="59"/>
      <c r="C863" s="59"/>
      <c r="D863" s="59"/>
      <c r="E863" s="60"/>
      <c r="F863" s="60"/>
      <c r="G863" s="61"/>
    </row>
    <row r="864" spans="1:7" ht="14.25">
      <c r="A864" s="59"/>
      <c r="B864" s="59"/>
      <c r="C864" s="59"/>
      <c r="D864" s="59"/>
      <c r="E864" s="60"/>
      <c r="F864" s="60"/>
      <c r="G864" s="61"/>
    </row>
    <row r="865" spans="1:7" ht="14.25">
      <c r="A865" s="59"/>
      <c r="B865" s="59"/>
      <c r="C865" s="59"/>
      <c r="D865" s="59"/>
      <c r="E865" s="60"/>
      <c r="F865" s="60"/>
      <c r="G865" s="61"/>
    </row>
    <row r="866" spans="1:7" ht="14.25">
      <c r="A866" s="59"/>
      <c r="B866" s="59"/>
      <c r="C866" s="59"/>
      <c r="D866" s="59"/>
      <c r="E866" s="60"/>
      <c r="F866" s="60"/>
      <c r="G866" s="61"/>
    </row>
    <row r="867" spans="1:7" ht="14.25">
      <c r="A867" s="59"/>
      <c r="B867" s="59"/>
      <c r="C867" s="59"/>
      <c r="D867" s="59"/>
      <c r="E867" s="60"/>
      <c r="F867" s="60"/>
      <c r="G867" s="61"/>
    </row>
    <row r="868" spans="1:7" ht="14.25">
      <c r="A868" s="59"/>
      <c r="B868" s="59"/>
      <c r="C868" s="59"/>
      <c r="D868" s="59"/>
      <c r="E868" s="60"/>
      <c r="F868" s="60"/>
      <c r="G868" s="61"/>
    </row>
    <row r="869" spans="1:7" ht="14.25">
      <c r="A869" s="59"/>
      <c r="B869" s="59"/>
      <c r="C869" s="59"/>
      <c r="D869" s="59"/>
      <c r="E869" s="60"/>
      <c r="F869" s="60"/>
      <c r="G869" s="61"/>
    </row>
    <row r="870" spans="1:7" ht="14.25">
      <c r="A870" s="59"/>
      <c r="B870" s="59"/>
      <c r="C870" s="59"/>
      <c r="D870" s="59"/>
      <c r="E870" s="60"/>
      <c r="F870" s="60"/>
      <c r="G870" s="61"/>
    </row>
    <row r="871" spans="1:7" ht="14.25">
      <c r="A871" s="59"/>
      <c r="B871" s="59"/>
      <c r="C871" s="59"/>
      <c r="D871" s="59"/>
      <c r="E871" s="60"/>
      <c r="F871" s="60"/>
      <c r="G871" s="61"/>
    </row>
    <row r="872" spans="1:7" ht="14.25">
      <c r="A872" s="59"/>
      <c r="B872" s="59"/>
      <c r="C872" s="59"/>
      <c r="D872" s="59"/>
      <c r="E872" s="60"/>
      <c r="F872" s="60"/>
      <c r="G872" s="61"/>
    </row>
    <row r="873" spans="1:7" ht="14.25">
      <c r="A873" s="59"/>
      <c r="B873" s="59"/>
      <c r="C873" s="59"/>
      <c r="D873" s="59"/>
      <c r="E873" s="60"/>
      <c r="F873" s="60"/>
      <c r="G873" s="61"/>
    </row>
    <row r="874" spans="1:7" ht="14.25">
      <c r="A874" s="59"/>
      <c r="B874" s="59"/>
      <c r="C874" s="59"/>
      <c r="D874" s="59"/>
      <c r="E874" s="60"/>
      <c r="F874" s="60"/>
      <c r="G874" s="61"/>
    </row>
    <row r="875" spans="1:7" ht="14.25">
      <c r="A875" s="59"/>
      <c r="B875" s="59"/>
      <c r="C875" s="59"/>
      <c r="D875" s="59"/>
      <c r="E875" s="60"/>
      <c r="F875" s="60"/>
      <c r="G875" s="61"/>
    </row>
    <row r="876" spans="1:7" ht="14.25">
      <c r="A876" s="59"/>
      <c r="B876" s="59"/>
      <c r="C876" s="59"/>
      <c r="D876" s="59"/>
      <c r="E876" s="60"/>
      <c r="F876" s="60"/>
      <c r="G876" s="61"/>
    </row>
    <row r="877" spans="1:7" ht="14.25">
      <c r="A877" s="59"/>
      <c r="B877" s="59"/>
      <c r="C877" s="59"/>
      <c r="D877" s="59"/>
      <c r="E877" s="60"/>
      <c r="F877" s="60"/>
      <c r="G877" s="61"/>
    </row>
    <row r="878" spans="1:7" ht="14.25">
      <c r="A878" s="59"/>
      <c r="B878" s="59"/>
      <c r="C878" s="59"/>
      <c r="D878" s="59"/>
      <c r="E878" s="60"/>
      <c r="F878" s="60"/>
      <c r="G878" s="61"/>
    </row>
    <row r="879" spans="1:7" ht="14.25">
      <c r="A879" s="59"/>
      <c r="B879" s="59"/>
      <c r="C879" s="59"/>
      <c r="D879" s="59"/>
      <c r="E879" s="60"/>
      <c r="F879" s="60"/>
      <c r="G879" s="61"/>
    </row>
    <row r="880" spans="1:7" ht="14.25">
      <c r="A880" s="59"/>
      <c r="B880" s="59"/>
      <c r="C880" s="59"/>
      <c r="D880" s="59"/>
      <c r="E880" s="60"/>
      <c r="F880" s="60"/>
      <c r="G880" s="61"/>
    </row>
    <row r="881" spans="1:7" ht="14.25">
      <c r="A881" s="59"/>
      <c r="B881" s="59"/>
      <c r="C881" s="59"/>
      <c r="D881" s="59"/>
      <c r="E881" s="60"/>
      <c r="F881" s="60"/>
      <c r="G881" s="61"/>
    </row>
    <row r="882" spans="1:7" ht="14.25">
      <c r="A882" s="59"/>
      <c r="B882" s="59"/>
      <c r="C882" s="59"/>
      <c r="D882" s="59"/>
      <c r="E882" s="60"/>
      <c r="F882" s="60"/>
      <c r="G882" s="61"/>
    </row>
    <row r="883" spans="1:7" ht="14.25">
      <c r="A883" s="59"/>
      <c r="B883" s="59"/>
      <c r="C883" s="59"/>
      <c r="D883" s="59"/>
      <c r="E883" s="60"/>
      <c r="F883" s="60"/>
      <c r="G883" s="61"/>
    </row>
    <row r="884" spans="1:7" ht="14.25">
      <c r="A884" s="59"/>
      <c r="B884" s="59"/>
      <c r="C884" s="59"/>
      <c r="D884" s="59"/>
      <c r="E884" s="60"/>
      <c r="F884" s="60"/>
      <c r="G884" s="61"/>
    </row>
    <row r="885" spans="1:7" ht="14.25">
      <c r="A885" s="59"/>
      <c r="B885" s="59"/>
      <c r="C885" s="59"/>
      <c r="D885" s="59"/>
      <c r="E885" s="60"/>
      <c r="F885" s="60"/>
      <c r="G885" s="61"/>
    </row>
    <row r="886" spans="1:7" ht="14.25">
      <c r="A886" s="59"/>
      <c r="B886" s="59"/>
      <c r="C886" s="59"/>
      <c r="D886" s="59"/>
      <c r="E886" s="60"/>
      <c r="F886" s="60"/>
      <c r="G886" s="61"/>
    </row>
    <row r="887" spans="1:7" ht="14.25">
      <c r="A887" s="59"/>
      <c r="B887" s="59"/>
      <c r="C887" s="59"/>
      <c r="D887" s="59"/>
      <c r="E887" s="60"/>
      <c r="F887" s="60"/>
      <c r="G887" s="61"/>
    </row>
    <row r="888" spans="1:7" ht="14.25">
      <c r="A888" s="59"/>
      <c r="B888" s="59"/>
      <c r="C888" s="59"/>
      <c r="D888" s="59"/>
      <c r="E888" s="60"/>
      <c r="F888" s="60"/>
      <c r="G888" s="61"/>
    </row>
    <row r="889" spans="1:7" ht="14.25">
      <c r="A889" s="59"/>
      <c r="B889" s="59"/>
      <c r="C889" s="59"/>
      <c r="D889" s="59"/>
      <c r="E889" s="60"/>
      <c r="F889" s="60"/>
      <c r="G889" s="61"/>
    </row>
    <row r="890" spans="1:7" ht="14.25">
      <c r="A890" s="59"/>
      <c r="B890" s="59"/>
      <c r="C890" s="59"/>
      <c r="D890" s="59"/>
      <c r="E890" s="60"/>
      <c r="F890" s="60"/>
      <c r="G890" s="61"/>
    </row>
    <row r="891" spans="1:7" ht="14.25">
      <c r="A891" s="59"/>
      <c r="B891" s="59"/>
      <c r="C891" s="59"/>
      <c r="D891" s="59"/>
      <c r="E891" s="60"/>
      <c r="F891" s="60"/>
      <c r="G891" s="61"/>
    </row>
    <row r="892" spans="1:7" ht="14.25">
      <c r="A892" s="59"/>
      <c r="B892" s="59"/>
      <c r="C892" s="59"/>
      <c r="D892" s="59"/>
      <c r="E892" s="60"/>
      <c r="F892" s="60"/>
      <c r="G892" s="61"/>
    </row>
    <row r="893" spans="1:7" ht="14.25">
      <c r="A893" s="59"/>
      <c r="B893" s="59"/>
      <c r="C893" s="59"/>
      <c r="D893" s="59"/>
      <c r="E893" s="60"/>
      <c r="F893" s="60"/>
      <c r="G893" s="61"/>
    </row>
    <row r="894" spans="1:7" ht="14.25">
      <c r="A894" s="59"/>
      <c r="B894" s="59"/>
      <c r="C894" s="59"/>
      <c r="D894" s="59"/>
      <c r="E894" s="60"/>
      <c r="F894" s="60"/>
      <c r="G894" s="61"/>
    </row>
    <row r="895" spans="1:7" ht="14.25">
      <c r="A895" s="59"/>
      <c r="B895" s="59"/>
      <c r="C895" s="59"/>
      <c r="D895" s="59"/>
      <c r="E895" s="60"/>
      <c r="F895" s="60"/>
      <c r="G895" s="61"/>
    </row>
    <row r="896" spans="1:7" ht="14.25">
      <c r="A896" s="59"/>
      <c r="B896" s="59"/>
      <c r="C896" s="59"/>
      <c r="D896" s="59"/>
      <c r="E896" s="60"/>
      <c r="F896" s="60"/>
      <c r="G896" s="61"/>
    </row>
    <row r="897" spans="1:7" ht="14.25">
      <c r="A897" s="59"/>
      <c r="B897" s="59"/>
      <c r="C897" s="59"/>
      <c r="D897" s="59"/>
      <c r="E897" s="60"/>
      <c r="F897" s="60"/>
      <c r="G897" s="61"/>
    </row>
    <row r="898" spans="1:7" ht="14.25">
      <c r="A898" s="59"/>
      <c r="B898" s="59"/>
      <c r="C898" s="59"/>
      <c r="D898" s="59"/>
      <c r="E898" s="60"/>
      <c r="F898" s="60"/>
      <c r="G898" s="61"/>
    </row>
    <row r="899" spans="1:7" ht="14.25">
      <c r="A899" s="59"/>
      <c r="B899" s="59"/>
      <c r="C899" s="59"/>
      <c r="D899" s="59"/>
      <c r="E899" s="60"/>
      <c r="F899" s="60"/>
      <c r="G899" s="61"/>
    </row>
    <row r="900" spans="1:7" ht="14.25">
      <c r="A900" s="59"/>
      <c r="B900" s="59"/>
      <c r="C900" s="59"/>
      <c r="D900" s="59"/>
      <c r="E900" s="60"/>
      <c r="F900" s="60"/>
      <c r="G900" s="61"/>
    </row>
    <row r="901" spans="1:7" ht="14.25">
      <c r="A901" s="59"/>
      <c r="B901" s="59"/>
      <c r="C901" s="59"/>
      <c r="D901" s="59"/>
      <c r="E901" s="60"/>
      <c r="F901" s="60"/>
      <c r="G901" s="61"/>
    </row>
    <row r="902" spans="1:7" ht="14.25">
      <c r="A902" s="59"/>
      <c r="B902" s="59"/>
      <c r="C902" s="59"/>
      <c r="D902" s="59"/>
      <c r="E902" s="60"/>
      <c r="F902" s="60"/>
      <c r="G902" s="61"/>
    </row>
    <row r="903" spans="1:7" ht="14.25">
      <c r="A903" s="59"/>
      <c r="B903" s="59"/>
      <c r="C903" s="59"/>
      <c r="D903" s="59"/>
      <c r="E903" s="60"/>
      <c r="F903" s="60"/>
      <c r="G903" s="61"/>
    </row>
    <row r="904" spans="1:7" ht="14.25">
      <c r="A904" s="59"/>
      <c r="B904" s="59"/>
      <c r="C904" s="59"/>
      <c r="D904" s="59"/>
      <c r="E904" s="60"/>
      <c r="F904" s="60"/>
      <c r="G904" s="61"/>
    </row>
    <row r="905" spans="1:7" ht="14.25">
      <c r="A905" s="59"/>
      <c r="B905" s="59"/>
      <c r="C905" s="59"/>
      <c r="D905" s="59"/>
      <c r="E905" s="60"/>
      <c r="F905" s="60"/>
      <c r="G905" s="61"/>
    </row>
    <row r="906" spans="1:7" ht="14.25">
      <c r="A906" s="59"/>
      <c r="B906" s="59"/>
      <c r="C906" s="59"/>
      <c r="D906" s="59"/>
      <c r="E906" s="60"/>
      <c r="F906" s="60"/>
      <c r="G906" s="61"/>
    </row>
    <row r="907" spans="1:7" ht="14.25">
      <c r="A907" s="59"/>
      <c r="B907" s="59"/>
      <c r="C907" s="59"/>
      <c r="D907" s="59"/>
      <c r="E907" s="60"/>
      <c r="F907" s="60"/>
      <c r="G907" s="61"/>
    </row>
    <row r="908" spans="1:7" ht="14.25">
      <c r="A908" s="59"/>
      <c r="B908" s="59"/>
      <c r="C908" s="59"/>
      <c r="D908" s="59"/>
      <c r="E908" s="60"/>
      <c r="F908" s="60"/>
      <c r="G908" s="61"/>
    </row>
    <row r="909" spans="1:7" ht="14.25">
      <c r="A909" s="59"/>
      <c r="B909" s="59"/>
      <c r="C909" s="59"/>
      <c r="D909" s="59"/>
      <c r="E909" s="60"/>
      <c r="F909" s="60"/>
      <c r="G909" s="61"/>
    </row>
    <row r="910" spans="1:7" ht="14.25">
      <c r="A910" s="59"/>
      <c r="B910" s="59"/>
      <c r="C910" s="59"/>
      <c r="D910" s="59"/>
      <c r="E910" s="60"/>
      <c r="F910" s="60"/>
      <c r="G910" s="61"/>
    </row>
    <row r="911" spans="1:7" ht="14.25">
      <c r="A911" s="59"/>
      <c r="B911" s="59"/>
      <c r="C911" s="59"/>
      <c r="D911" s="59"/>
      <c r="E911" s="60"/>
      <c r="F911" s="60"/>
      <c r="G911" s="61"/>
    </row>
    <row r="912" spans="1:7" ht="14.25">
      <c r="A912" s="59"/>
      <c r="B912" s="59"/>
      <c r="C912" s="59"/>
      <c r="D912" s="59"/>
      <c r="E912" s="60"/>
      <c r="F912" s="60"/>
      <c r="G912" s="61"/>
    </row>
    <row r="913" spans="1:7" ht="14.25">
      <c r="A913" s="59"/>
      <c r="B913" s="59"/>
      <c r="C913" s="59"/>
      <c r="D913" s="59"/>
      <c r="E913" s="60"/>
      <c r="F913" s="60"/>
      <c r="G913" s="61"/>
    </row>
    <row r="914" spans="1:7" ht="14.25">
      <c r="A914" s="59"/>
      <c r="B914" s="59"/>
      <c r="C914" s="59"/>
      <c r="D914" s="59"/>
      <c r="E914" s="60"/>
      <c r="F914" s="60"/>
      <c r="G914" s="61"/>
    </row>
    <row r="915" spans="1:7" ht="14.25">
      <c r="A915" s="59"/>
      <c r="B915" s="59"/>
      <c r="C915" s="59"/>
      <c r="D915" s="59"/>
      <c r="E915" s="60"/>
      <c r="F915" s="60"/>
      <c r="G915" s="61"/>
    </row>
    <row r="916" spans="1:7" ht="14.25">
      <c r="A916" s="59"/>
      <c r="B916" s="59"/>
      <c r="C916" s="59"/>
      <c r="D916" s="59"/>
      <c r="E916" s="60"/>
      <c r="F916" s="60"/>
      <c r="G916" s="61"/>
    </row>
    <row r="917" spans="1:7" ht="14.25">
      <c r="A917" s="59"/>
      <c r="B917" s="59"/>
      <c r="C917" s="59"/>
      <c r="D917" s="59"/>
      <c r="E917" s="60"/>
      <c r="F917" s="60"/>
      <c r="G917" s="61"/>
    </row>
    <row r="918" spans="1:7" ht="14.25">
      <c r="A918" s="59"/>
      <c r="B918" s="59"/>
      <c r="C918" s="59"/>
      <c r="D918" s="59"/>
      <c r="E918" s="60"/>
      <c r="F918" s="60"/>
      <c r="G918" s="61"/>
    </row>
    <row r="919" spans="1:7" ht="14.25">
      <c r="A919" s="59"/>
      <c r="B919" s="59"/>
      <c r="C919" s="59"/>
      <c r="D919" s="59"/>
      <c r="E919" s="60"/>
      <c r="F919" s="60"/>
      <c r="G919" s="61"/>
    </row>
    <row r="920" spans="1:7" ht="14.25">
      <c r="A920" s="59"/>
      <c r="B920" s="59"/>
      <c r="C920" s="59"/>
      <c r="D920" s="59"/>
      <c r="E920" s="60"/>
      <c r="F920" s="60"/>
      <c r="G920" s="61"/>
    </row>
    <row r="921" spans="1:7" ht="14.25">
      <c r="A921" s="59"/>
      <c r="B921" s="59"/>
      <c r="C921" s="59"/>
      <c r="D921" s="59"/>
      <c r="E921" s="60"/>
      <c r="F921" s="60"/>
      <c r="G921" s="61"/>
    </row>
    <row r="922" spans="1:7" ht="14.25">
      <c r="A922" s="59"/>
      <c r="B922" s="59"/>
      <c r="C922" s="59"/>
      <c r="D922" s="59"/>
      <c r="E922" s="60"/>
      <c r="F922" s="60"/>
      <c r="G922" s="61"/>
    </row>
    <row r="923" spans="1:7" ht="14.25">
      <c r="A923" s="59"/>
      <c r="B923" s="59"/>
      <c r="C923" s="59"/>
      <c r="D923" s="59"/>
      <c r="E923" s="60"/>
      <c r="F923" s="60"/>
      <c r="G923" s="61"/>
    </row>
    <row r="924" spans="1:7" ht="14.25">
      <c r="A924" s="59"/>
      <c r="B924" s="59"/>
      <c r="C924" s="59"/>
      <c r="D924" s="59"/>
      <c r="E924" s="60"/>
      <c r="F924" s="60"/>
      <c r="G924" s="61"/>
    </row>
    <row r="925" spans="1:7" ht="14.25">
      <c r="A925" s="59"/>
      <c r="B925" s="59"/>
      <c r="C925" s="59"/>
      <c r="D925" s="59"/>
      <c r="E925" s="60"/>
      <c r="F925" s="60"/>
      <c r="G925" s="61"/>
    </row>
    <row r="926" spans="1:7" ht="14.25">
      <c r="A926" s="59"/>
      <c r="B926" s="59"/>
      <c r="C926" s="59"/>
      <c r="D926" s="59"/>
      <c r="E926" s="60"/>
      <c r="F926" s="60"/>
      <c r="G926" s="61"/>
    </row>
    <row r="927" spans="1:7" ht="14.25">
      <c r="A927" s="59"/>
      <c r="B927" s="59"/>
      <c r="C927" s="59"/>
      <c r="D927" s="59"/>
      <c r="E927" s="60"/>
      <c r="F927" s="60"/>
      <c r="G927" s="61"/>
    </row>
    <row r="928" spans="1:7" ht="14.25">
      <c r="A928" s="59"/>
      <c r="B928" s="59"/>
      <c r="C928" s="59"/>
      <c r="D928" s="59"/>
      <c r="E928" s="60"/>
      <c r="F928" s="60"/>
      <c r="G928" s="61"/>
    </row>
    <row r="929" spans="1:7" ht="14.25">
      <c r="A929" s="59"/>
      <c r="B929" s="59"/>
      <c r="C929" s="59"/>
      <c r="D929" s="59"/>
      <c r="E929" s="60"/>
      <c r="F929" s="60"/>
      <c r="G929" s="61"/>
    </row>
    <row r="930" spans="1:7" ht="14.25">
      <c r="A930" s="59"/>
      <c r="B930" s="59"/>
      <c r="C930" s="59"/>
      <c r="D930" s="59"/>
      <c r="E930" s="60"/>
      <c r="F930" s="60"/>
      <c r="G930" s="61"/>
    </row>
    <row r="931" spans="1:7" ht="14.25">
      <c r="A931" s="59"/>
      <c r="B931" s="59"/>
      <c r="C931" s="59"/>
      <c r="D931" s="59"/>
      <c r="E931" s="60"/>
      <c r="F931" s="60"/>
      <c r="G931" s="61"/>
    </row>
    <row r="932" spans="1:7" ht="14.25">
      <c r="A932" s="59"/>
      <c r="B932" s="59"/>
      <c r="C932" s="59"/>
      <c r="D932" s="59"/>
      <c r="E932" s="60"/>
      <c r="F932" s="60"/>
      <c r="G932" s="61"/>
    </row>
    <row r="933" spans="1:7" ht="14.25">
      <c r="A933" s="59"/>
      <c r="B933" s="59"/>
      <c r="C933" s="59"/>
      <c r="D933" s="59"/>
      <c r="E933" s="60"/>
      <c r="F933" s="60"/>
      <c r="G933" s="61"/>
    </row>
    <row r="934" spans="1:7" ht="14.25">
      <c r="A934" s="59"/>
      <c r="B934" s="59"/>
      <c r="C934" s="59"/>
      <c r="D934" s="59"/>
      <c r="E934" s="60"/>
      <c r="F934" s="60"/>
      <c r="G934" s="61"/>
    </row>
    <row r="935" spans="1:7" ht="14.25">
      <c r="A935" s="59"/>
      <c r="B935" s="59"/>
      <c r="C935" s="59"/>
      <c r="D935" s="59"/>
      <c r="E935" s="60"/>
      <c r="F935" s="60"/>
      <c r="G935" s="61"/>
    </row>
    <row r="936" spans="1:7" ht="14.25">
      <c r="A936" s="59"/>
      <c r="B936" s="59"/>
      <c r="C936" s="59"/>
      <c r="D936" s="59"/>
      <c r="E936" s="60"/>
      <c r="F936" s="60"/>
      <c r="G936" s="61"/>
    </row>
    <row r="937" spans="1:7" ht="14.25">
      <c r="A937" s="59"/>
      <c r="B937" s="59"/>
      <c r="C937" s="59"/>
      <c r="D937" s="59"/>
      <c r="E937" s="60"/>
      <c r="F937" s="60"/>
      <c r="G937" s="57"/>
    </row>
    <row r="938" spans="1:7" ht="14.25">
      <c r="A938" s="59"/>
      <c r="B938" s="59"/>
      <c r="C938" s="59"/>
      <c r="D938" s="59"/>
      <c r="E938" s="60"/>
      <c r="F938" s="60"/>
      <c r="G938" s="57"/>
    </row>
    <row r="939" spans="1:7" ht="14.25">
      <c r="A939" s="59"/>
      <c r="B939" s="59"/>
      <c r="C939" s="59"/>
      <c r="D939" s="59"/>
      <c r="E939" s="60"/>
      <c r="F939" s="60"/>
      <c r="G939" s="57"/>
    </row>
    <row r="940" spans="1:7" ht="14.25">
      <c r="A940" s="59"/>
      <c r="B940" s="59"/>
      <c r="C940" s="59"/>
      <c r="D940" s="59"/>
      <c r="E940" s="60"/>
      <c r="F940" s="60"/>
      <c r="G940" s="57"/>
    </row>
    <row r="941" spans="1:7" ht="14.25">
      <c r="A941" s="59"/>
      <c r="B941" s="59"/>
      <c r="C941" s="59"/>
      <c r="D941" s="59"/>
      <c r="E941" s="60"/>
      <c r="F941" s="60"/>
      <c r="G941" s="57"/>
    </row>
    <row r="942" spans="1:7" ht="14.25">
      <c r="A942" s="59"/>
      <c r="B942" s="59"/>
      <c r="C942" s="59"/>
      <c r="D942" s="59"/>
      <c r="E942" s="60"/>
      <c r="F942" s="60"/>
      <c r="G942" s="57"/>
    </row>
    <row r="943" spans="1:7" ht="14.25">
      <c r="A943" s="59"/>
      <c r="B943" s="59"/>
      <c r="C943" s="59"/>
      <c r="D943" s="59"/>
      <c r="E943" s="60"/>
      <c r="F943" s="60"/>
      <c r="G943" s="57"/>
    </row>
    <row r="944" spans="1:7" ht="14.25">
      <c r="A944" s="59"/>
      <c r="B944" s="59"/>
      <c r="C944" s="59"/>
      <c r="D944" s="59"/>
      <c r="E944" s="60"/>
      <c r="F944" s="60"/>
      <c r="G944" s="57"/>
    </row>
    <row r="945" spans="1:7" ht="14.25">
      <c r="A945" s="59"/>
      <c r="B945" s="59"/>
      <c r="C945" s="59"/>
      <c r="D945" s="59"/>
      <c r="E945" s="60"/>
      <c r="F945" s="60"/>
      <c r="G945" s="57"/>
    </row>
    <row r="946" spans="1:7" ht="14.25">
      <c r="A946" s="59"/>
      <c r="B946" s="59"/>
      <c r="C946" s="59"/>
      <c r="D946" s="59"/>
      <c r="E946" s="60"/>
      <c r="F946" s="60"/>
      <c r="G946" s="57"/>
    </row>
    <row r="947" spans="1:7" ht="14.25">
      <c r="A947" s="59"/>
      <c r="B947" s="59"/>
      <c r="C947" s="59"/>
      <c r="D947" s="59"/>
      <c r="E947" s="60"/>
      <c r="F947" s="60"/>
      <c r="G947" s="57"/>
    </row>
    <row r="948" spans="1:7" ht="14.25">
      <c r="A948" s="59"/>
      <c r="B948" s="59"/>
      <c r="C948" s="59"/>
      <c r="D948" s="59"/>
      <c r="E948" s="60"/>
      <c r="F948" s="60"/>
      <c r="G948" s="57"/>
    </row>
    <row r="949" spans="1:7" ht="14.25">
      <c r="A949" s="59"/>
      <c r="B949" s="59"/>
      <c r="C949" s="59"/>
      <c r="D949" s="59"/>
      <c r="E949" s="60"/>
      <c r="F949" s="60"/>
      <c r="G949" s="57"/>
    </row>
    <row r="950" spans="1:7" ht="14.25">
      <c r="A950" s="59"/>
      <c r="B950" s="59"/>
      <c r="C950" s="59"/>
      <c r="D950" s="59"/>
      <c r="E950" s="60"/>
      <c r="F950" s="60"/>
      <c r="G950" s="57"/>
    </row>
    <row r="951" spans="1:7" ht="14.25">
      <c r="A951" s="59"/>
      <c r="B951" s="59"/>
      <c r="C951" s="59"/>
      <c r="D951" s="59"/>
      <c r="E951" s="60"/>
      <c r="F951" s="60"/>
      <c r="G951" s="57"/>
    </row>
    <row r="952" spans="1:7" ht="14.25">
      <c r="A952" s="59"/>
      <c r="B952" s="59"/>
      <c r="C952" s="59"/>
      <c r="D952" s="59"/>
      <c r="E952" s="60"/>
      <c r="F952" s="60"/>
      <c r="G952" s="57"/>
    </row>
    <row r="953" spans="1:7" ht="14.25">
      <c r="A953" s="59"/>
      <c r="B953" s="59"/>
      <c r="C953" s="59"/>
      <c r="D953" s="59"/>
      <c r="E953" s="60"/>
      <c r="F953" s="60"/>
      <c r="G953" s="57"/>
    </row>
    <row r="954" spans="1:7" ht="14.25">
      <c r="A954" s="59"/>
      <c r="B954" s="59"/>
      <c r="C954" s="59"/>
      <c r="D954" s="59"/>
      <c r="E954" s="60"/>
      <c r="F954" s="60"/>
      <c r="G954" s="57"/>
    </row>
    <row r="955" spans="1:7" ht="14.25">
      <c r="A955" s="59"/>
      <c r="B955" s="59"/>
      <c r="C955" s="59"/>
      <c r="D955" s="59"/>
      <c r="E955" s="60"/>
      <c r="F955" s="60"/>
      <c r="G955" s="57"/>
    </row>
    <row r="956" spans="1:7" ht="14.25">
      <c r="A956" s="59"/>
      <c r="B956" s="59"/>
      <c r="C956" s="59"/>
      <c r="D956" s="59"/>
      <c r="E956" s="60"/>
      <c r="F956" s="60"/>
      <c r="G956" s="57"/>
    </row>
    <row r="957" spans="1:7" ht="14.25">
      <c r="A957" s="59"/>
      <c r="B957" s="59"/>
      <c r="C957" s="59"/>
      <c r="D957" s="59"/>
      <c r="E957" s="60"/>
      <c r="F957" s="60"/>
      <c r="G957" s="57"/>
    </row>
    <row r="958" spans="1:7" ht="14.25">
      <c r="A958" s="59"/>
      <c r="B958" s="59"/>
      <c r="C958" s="59"/>
      <c r="D958" s="59"/>
      <c r="E958" s="60"/>
      <c r="F958" s="60"/>
      <c r="G958" s="57"/>
    </row>
    <row r="959" spans="1:7" ht="14.25">
      <c r="A959" s="59"/>
      <c r="B959" s="59"/>
      <c r="C959" s="59"/>
      <c r="D959" s="59"/>
      <c r="E959" s="60"/>
      <c r="F959" s="60"/>
      <c r="G959" s="57"/>
    </row>
    <row r="960" spans="1:7" ht="14.25">
      <c r="A960" s="59"/>
      <c r="B960" s="59"/>
      <c r="C960" s="59"/>
      <c r="D960" s="59"/>
      <c r="E960" s="60"/>
      <c r="F960" s="60"/>
      <c r="G960" s="57"/>
    </row>
    <row r="961" spans="1:7" ht="14.25">
      <c r="A961" s="59"/>
      <c r="B961" s="59"/>
      <c r="C961" s="59"/>
      <c r="D961" s="59"/>
      <c r="E961" s="60"/>
      <c r="F961" s="60"/>
      <c r="G961" s="57"/>
    </row>
    <row r="962" spans="1:7" ht="14.25">
      <c r="A962" s="59"/>
      <c r="B962" s="59"/>
      <c r="C962" s="59"/>
      <c r="D962" s="59"/>
      <c r="E962" s="60"/>
      <c r="F962" s="60"/>
      <c r="G962" s="57"/>
    </row>
    <row r="963" spans="1:7" ht="14.25">
      <c r="A963" s="59"/>
      <c r="B963" s="59"/>
      <c r="C963" s="59"/>
      <c r="D963" s="59"/>
      <c r="E963" s="60"/>
      <c r="F963" s="60"/>
      <c r="G963" s="57"/>
    </row>
    <row r="964" spans="1:7" ht="14.25">
      <c r="A964" s="59"/>
      <c r="B964" s="59"/>
      <c r="C964" s="59"/>
      <c r="D964" s="59"/>
      <c r="E964" s="60"/>
      <c r="F964" s="60"/>
      <c r="G964" s="57"/>
    </row>
    <row r="965" spans="1:7" ht="14.25">
      <c r="A965" s="59"/>
      <c r="B965" s="59"/>
      <c r="C965" s="59"/>
      <c r="D965" s="59"/>
      <c r="E965" s="60"/>
      <c r="F965" s="60"/>
      <c r="G965" s="57"/>
    </row>
    <row r="966" spans="1:7" ht="14.25">
      <c r="A966" s="59"/>
      <c r="B966" s="59"/>
      <c r="C966" s="59"/>
      <c r="D966" s="59"/>
      <c r="E966" s="60"/>
      <c r="F966" s="60"/>
      <c r="G966" s="57"/>
    </row>
    <row r="967" spans="1:7" ht="14.25">
      <c r="A967" s="59"/>
      <c r="B967" s="59"/>
      <c r="C967" s="59"/>
      <c r="D967" s="59"/>
      <c r="E967" s="60"/>
      <c r="F967" s="60"/>
      <c r="G967" s="57"/>
    </row>
    <row r="968" spans="1:7" ht="14.25">
      <c r="A968" s="59"/>
      <c r="B968" s="59"/>
      <c r="C968" s="59"/>
      <c r="D968" s="59"/>
      <c r="E968" s="60"/>
      <c r="F968" s="60"/>
      <c r="G968" s="57"/>
    </row>
    <row r="969" spans="1:7" ht="14.25">
      <c r="A969" s="59"/>
      <c r="B969" s="59"/>
      <c r="C969" s="59"/>
      <c r="D969" s="59"/>
      <c r="E969" s="60"/>
      <c r="F969" s="60"/>
      <c r="G969" s="57"/>
    </row>
    <row r="970" spans="1:7" ht="14.25">
      <c r="A970" s="59"/>
      <c r="B970" s="59"/>
      <c r="C970" s="59"/>
      <c r="D970" s="59"/>
      <c r="E970" s="60"/>
      <c r="F970" s="60"/>
      <c r="G970" s="57"/>
    </row>
    <row r="971" spans="1:7" ht="14.25">
      <c r="A971" s="59"/>
      <c r="B971" s="59"/>
      <c r="C971" s="59"/>
      <c r="D971" s="59"/>
      <c r="E971" s="60"/>
      <c r="F971" s="60"/>
      <c r="G971" s="57"/>
    </row>
    <row r="972" spans="1:7" ht="14.25">
      <c r="A972" s="59"/>
      <c r="B972" s="59"/>
      <c r="C972" s="59"/>
      <c r="D972" s="59"/>
      <c r="E972" s="60"/>
      <c r="F972" s="60"/>
      <c r="G972" s="57"/>
    </row>
    <row r="973" spans="1:7" ht="14.25">
      <c r="A973" s="59"/>
      <c r="B973" s="59"/>
      <c r="C973" s="59"/>
      <c r="D973" s="59"/>
      <c r="E973" s="60"/>
      <c r="F973" s="60"/>
      <c r="G973" s="57"/>
    </row>
    <row r="974" spans="1:7" ht="14.25">
      <c r="A974" s="59"/>
      <c r="B974" s="59"/>
      <c r="C974" s="59"/>
      <c r="D974" s="59"/>
      <c r="E974" s="60"/>
      <c r="F974" s="60"/>
      <c r="G974" s="57"/>
    </row>
    <row r="975" spans="1:7" ht="14.25">
      <c r="A975" s="59"/>
      <c r="B975" s="59"/>
      <c r="C975" s="59"/>
      <c r="D975" s="59"/>
      <c r="E975" s="60"/>
      <c r="F975" s="60"/>
      <c r="G975" s="57"/>
    </row>
    <row r="976" spans="1:7" ht="14.25">
      <c r="A976" s="59"/>
      <c r="B976" s="59"/>
      <c r="C976" s="59"/>
      <c r="D976" s="59"/>
      <c r="E976" s="60"/>
      <c r="F976" s="60"/>
      <c r="G976" s="57"/>
    </row>
    <row r="977" spans="1:7" ht="14.25">
      <c r="A977" s="59"/>
      <c r="B977" s="59"/>
      <c r="C977" s="59"/>
      <c r="D977" s="59"/>
      <c r="E977" s="60"/>
      <c r="F977" s="60"/>
      <c r="G977" s="57"/>
    </row>
    <row r="978" spans="1:7" ht="14.25">
      <c r="A978" s="59"/>
      <c r="B978" s="59"/>
      <c r="C978" s="59"/>
      <c r="D978" s="59"/>
      <c r="E978" s="60"/>
      <c r="F978" s="60"/>
      <c r="G978" s="57"/>
    </row>
  </sheetData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Clients</vt:lpstr>
      <vt:lpstr>Questions</vt:lpstr>
      <vt:lpstr>Applications</vt:lpstr>
      <vt:lpstr>Externals</vt:lpstr>
      <vt:lpstr>Unanswered</vt:lpstr>
      <vt:lpstr>Failures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Hamza</cp:lastModifiedBy>
  <dcterms:modified xsi:type="dcterms:W3CDTF">2021-11-19T05:54:41Z</dcterms:modified>
</cp:coreProperties>
</file>