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Applied" sheetId="2" r:id="rId5"/>
    <sheet state="visible" name="Saved" sheetId="3" r:id="rId6"/>
    <sheet state="visible" name="Sample Results" sheetId="4" r:id="rId7"/>
    <sheet state="visible" name="Questions" sheetId="5" r:id="rId8"/>
    <sheet state="visible" name="Applications" sheetId="6" r:id="rId9"/>
    <sheet state="visible" name="Externals" sheetId="7" r:id="rId10"/>
    <sheet state="visible" name="Unanswered" sheetId="8" r:id="rId11"/>
    <sheet state="visible" name="Failures" sheetId="9" r:id="rId12"/>
  </sheets>
  <definedNames>
    <definedName hidden="1" localSheetId="4" name="_xlnm._FilterDatabase">Questions!$A$1:$E$149</definedName>
    <definedName hidden="1" localSheetId="5" name="_xlnm._FilterDatabase">Applications!$B$1:$E$349</definedName>
    <definedName hidden="1" localSheetId="6" name="_xlnm._FilterDatabase">Externals!$B$1:$E$775</definedName>
    <definedName hidden="1" localSheetId="7" name="_xlnm._FilterDatabase">Unanswered!$A$1:$H$495</definedName>
  </definedNames>
  <calcPr/>
</workbook>
</file>

<file path=xl/sharedStrings.xml><?xml version="1.0" encoding="utf-8"?>
<sst xmlns="http://schemas.openxmlformats.org/spreadsheetml/2006/main" count="5609" uniqueCount="851">
  <si>
    <t>ACTIVE</t>
  </si>
  <si>
    <t>What/All Words</t>
  </si>
  <si>
    <t>Where</t>
  </si>
  <si>
    <t>Date Posted</t>
  </si>
  <si>
    <t>Posted by</t>
  </si>
  <si>
    <t>Remote</t>
  </si>
  <si>
    <t>Within 50 km</t>
  </si>
  <si>
    <t>Salary Estimate</t>
  </si>
  <si>
    <t>Jobs Type</t>
  </si>
  <si>
    <t>Location</t>
  </si>
  <si>
    <t>Company</t>
  </si>
  <si>
    <t>Radius</t>
  </si>
  <si>
    <t>All Words</t>
  </si>
  <si>
    <t>Exact Phrase</t>
  </si>
  <si>
    <t>At Least</t>
  </si>
  <si>
    <t>None</t>
  </si>
  <si>
    <t>In Title</t>
  </si>
  <si>
    <t>Jobs From</t>
  </si>
  <si>
    <t>Exclude Agencies</t>
  </si>
  <si>
    <t>Salary</t>
  </si>
  <si>
    <t>Age</t>
  </si>
  <si>
    <t>Display</t>
  </si>
  <si>
    <t>Relevance</t>
  </si>
  <si>
    <t>Advertiser Exclude</t>
  </si>
  <si>
    <t>Location Exclude</t>
  </si>
  <si>
    <t>Sort</t>
  </si>
  <si>
    <t>Mechanical Engineer</t>
  </si>
  <si>
    <t>NSW</t>
  </si>
  <si>
    <t>all</t>
  </si>
  <si>
    <t>any</t>
  </si>
  <si>
    <t>Infosys; Microsoft</t>
  </si>
  <si>
    <t>Sydney</t>
  </si>
  <si>
    <t>Asset Engineer</t>
  </si>
  <si>
    <t>Design Engineer</t>
  </si>
  <si>
    <t>Development Engineer</t>
  </si>
  <si>
    <t>Industrial Engineer</t>
  </si>
  <si>
    <t>Infrastructure Engineer</t>
  </si>
  <si>
    <t>Maintenance Engineer</t>
  </si>
  <si>
    <t>Manufacturing Engineer</t>
  </si>
  <si>
    <t>Mining Engineer</t>
  </si>
  <si>
    <t>Pipeline Engineer</t>
  </si>
  <si>
    <t>Process Engineer</t>
  </si>
  <si>
    <t>Production Engineer</t>
  </si>
  <si>
    <t>Project Controls Engineer</t>
  </si>
  <si>
    <t>Project Development Engineer</t>
  </si>
  <si>
    <t>Project Engineer</t>
  </si>
  <si>
    <t>Project Mechanical</t>
  </si>
  <si>
    <t>Project Services Engineer</t>
  </si>
  <si>
    <t>Project Site Engineer</t>
  </si>
  <si>
    <t>Reliability Engineer</t>
  </si>
  <si>
    <t>Services Engineer</t>
  </si>
  <si>
    <t>Site Engineer</t>
  </si>
  <si>
    <t>Turnaround Engineer</t>
  </si>
  <si>
    <t>Utilities Engineer</t>
  </si>
  <si>
    <t>Product Engineer</t>
  </si>
  <si>
    <t>JobId</t>
  </si>
  <si>
    <t>Job Title</t>
  </si>
  <si>
    <t>Advertiser</t>
  </si>
  <si>
    <t>Timestamp</t>
  </si>
  <si>
    <t>Question</t>
  </si>
  <si>
    <t>Text</t>
  </si>
  <si>
    <t>Select</t>
  </si>
  <si>
    <t>Textarea</t>
  </si>
  <si>
    <t>Multiselect</t>
  </si>
  <si>
    <t>Do you have the following licence or certification: drivers?</t>
  </si>
  <si>
    <t>Yes</t>
  </si>
  <si>
    <t>Do you have working rights in the country related to this role?</t>
  </si>
  <si>
    <t>Do you speak english?</t>
  </si>
  <si>
    <t>How many years of business analysis experience do you have?</t>
  </si>
  <si>
    <t>How many years of HVAC experience do you have?</t>
  </si>
  <si>
    <t>How many years of working in renewable energy and solar experience do you have?</t>
  </si>
  <si>
    <t>Which of the following describes your work eligibility in Australia?</t>
  </si>
  <si>
    <t>Permitted to work permanently with no restriction on hours (e.g. citizen, permanent resident)</t>
  </si>
  <si>
    <t>Do you speak English?</t>
  </si>
  <si>
    <t>How many years full time working experience do you have?</t>
  </si>
  <si>
    <t>How many years of confectionery plant design experience do you have?</t>
  </si>
  <si>
    <t>How many years of industry experience do you have?</t>
  </si>
  <si>
    <t>How many years of maintenance of confectionery Machines experience do you have?</t>
  </si>
  <si>
    <t>What was your last base salary excluding super?</t>
  </si>
  <si>
    <t>N/A</t>
  </si>
  <si>
    <t>In 1-3 sentences, tell us why you're leaving/ did you leave your current/ last role?</t>
  </si>
  <si>
    <t>In 100 words or less, tell us why you're the best candidate for this role.</t>
  </si>
  <si>
    <t>Please list the last 3 Companies and Roles you had in the format [Company]/[Role]</t>
  </si>
  <si>
    <t>Are you an Australian Citizen or permanent resident?</t>
  </si>
  <si>
    <t>Permanent Resident</t>
  </si>
  <si>
    <t>What type of employment are you interested in?</t>
  </si>
  <si>
    <t>Full time</t>
  </si>
  <si>
    <t>Gender</t>
  </si>
  <si>
    <t>Other</t>
  </si>
  <si>
    <t>Indigenous Status</t>
  </si>
  <si>
    <t>Neither</t>
  </si>
  <si>
    <t>Are you currently enrolled at school?</t>
  </si>
  <si>
    <t>No</t>
  </si>
  <si>
    <t>Do you consider yourself to have a disability, impairment or long-term condition?</t>
  </si>
  <si>
    <t>The employer has stated: This is a job for the Commonwealth of Australia or one of its departments or agencies which is required by law to only be open to citizens of Australia. Are you a citizen of Australia?</t>
  </si>
  <si>
    <t>What is the highest level of education you have completed?</t>
  </si>
  <si>
    <t>Bachelor Degree</t>
  </si>
  <si>
    <t>Have you ever been known by another name?</t>
  </si>
  <si>
    <t>&lt;span&gt;2. If not applying in the area the job is advertised, are you willing to relocate?</t>
  </si>
  <si>
    <t>&lt;span&gt;3. Are you available/willing to work away from home for project work?</t>
  </si>
  <si>
    <t>Are you related to an Arista employee, an employee of a Government Entity* OR any Arista Customer? &lt;br&gt;&lt;br&gt;Includes any elected or appointed official or employee of a government agency, any employee of a commercial entity that is government-controlled or</t>
  </si>
  <si>
    <t>Do you have appropriate working/visa rights to work in Australia?</t>
  </si>
  <si>
    <t>Do you have working rights in thery related to this role?</t>
  </si>
  <si>
    <t>Why do you want to work at Square?</t>
  </si>
  <si>
    <t>Because it is a good company.</t>
  </si>
  <si>
    <t>Preferred pronoun (to be shared with the recruiter, hiring manager, and/or interviewers)</t>
  </si>
  <si>
    <t>She;Them</t>
  </si>
  <si>
    <t>What is your expected base salary (including Superannuation)</t>
  </si>
  <si>
    <t>80,000 - 90,000</t>
  </si>
  <si>
    <t>Are you an Australian Citizen?</t>
  </si>
  <si>
    <t>Are you authorized to work in the job's location?</t>
  </si>
  <si>
    <t>Are you available/willing to work away from home for project work?</t>
  </si>
  <si>
    <t>Are you currently enrolled in a course, if so, what is the course name and code?</t>
  </si>
  <si>
    <t>Are you currently in Australia?</t>
  </si>
  <si>
    <t>At what level are your English skills?</t>
  </si>
  <si>
    <t>Proficient</t>
  </si>
  <si>
    <t>By pressing continue, you will declare that you read and agree to Arista Networks's</t>
  </si>
  <si>
    <t>City</t>
  </si>
  <si>
    <t>Australia</t>
  </si>
  <si>
    <t>College/University</t>
  </si>
  <si>
    <t>Consent to Data Collection.</t>
  </si>
  <si>
    <t>Country</t>
  </si>
  <si>
    <t>Current salary</t>
  </si>
  <si>
    <t>Date Available</t>
  </si>
  <si>
    <t>2 Weeks</t>
  </si>
  <si>
    <t>Date of Birth</t>
  </si>
  <si>
    <t>Desired Pay</t>
  </si>
  <si>
    <t>Above $60,000</t>
  </si>
  <si>
    <t>Do you have a background in Computer Science or IT?</t>
  </si>
  <si>
    <t>Do you have a current Drivers licence and your own transport?</t>
  </si>
  <si>
    <t>Do you have experience working in a technical support role?</t>
  </si>
  <si>
    <t>Do you have the right to work in Australia?</t>
  </si>
  <si>
    <t>Yes - Permanently with no restrictions</t>
  </si>
  <si>
    <t>Employment Status</t>
  </si>
  <si>
    <t>Available</t>
  </si>
  <si>
    <t>Gender, Race and Ethnicity [(definitions)](https://smartrecruiters.com/oneclick-ui/resources/html/eeoGeneral?lang=en)&lt;br&gt;&lt;br&gt;Gender</t>
  </si>
  <si>
    <t>Have you ever been *employed* by Square, Inc. or any of its subsidiaries or affiliates (whether in the U.S. or internationally)?</t>
  </si>
  <si>
    <t>Have you ever provided any *contract work* for Square, Inc. or any of its subsidiaries or affiliates (whether in the U.S. or internationally)?</t>
  </si>
  <si>
    <t>Highest Education Obtained</t>
  </si>
  <si>
    <t>Degree</t>
  </si>
  <si>
    <t>Highest School Level Completed</t>
  </si>
  <si>
    <t>Home Address</t>
  </si>
  <si>
    <t>How did you learn about this job?</t>
  </si>
  <si>
    <t>INDEED</t>
  </si>
  <si>
    <t>How is your previous experience relevant and what makes you a good fit for this role? Please describe in 1 to 2 sentences.</t>
  </si>
  <si>
    <t>How many years of AWS experience do you have?</t>
  </si>
  <si>
    <t>How many years of civil engineering experience do you have?</t>
  </si>
  <si>
    <t>More than 5 Years</t>
  </si>
  <si>
    <t>How many years of Civil or Geotechnical engineering experience do you have?</t>
  </si>
  <si>
    <t>How many years of Infrastructure experience do you have?</t>
  </si>
  <si>
    <t>How many years of large utility construction or telecommunications projects experience do you have?</t>
  </si>
  <si>
    <t>How many years of Linux experience do you have?</t>
  </si>
  <si>
    <t>How many years of managing a team / project do you have?</t>
  </si>
  <si>
    <t>How many years of Senior Network &amp; Infrastructure Engineer experience do you have?</t>
  </si>
  <si>
    <t>How many years of Technical Support experience do you have?</t>
  </si>
  <si>
    <t>How much notice are you required to give your current employer?</t>
  </si>
  <si>
    <t>2 weeks</t>
  </si>
  <si>
    <t>If not applying in the area the job is advertised, are you willing to relocate?</t>
  </si>
  <si>
    <t>If required, are you willing to complete a pre-employment medical check?</t>
  </si>
  <si>
    <t>If successful, when would you be able to start work?</t>
  </si>
  <si>
    <t>If yes, please indicate the area/s below</t>
  </si>
  <si>
    <t>If yes, what name?</t>
  </si>
  <si>
    <t>If you answered "Yes" to the question above, please enter your dates of contract engagement or work through agency.</t>
  </si>
  <si>
    <t>If you answered "Yes" to the question above, please enter your dates of employment.</t>
  </si>
  <si>
    <t>If you answered MongoDB Employee, MongoDB Event, or Other, please specify here:</t>
  </si>
  <si>
    <t>LinkedIn URL</t>
  </si>
  <si>
    <t>Medical device background</t>
  </si>
  <si>
    <t>Mobile phone number</t>
  </si>
  <si>
    <t>Note: Failure to complete these additional questions may mean your application is not reviewed.</t>
  </si>
  <si>
    <t>Option to write in preferred pronoun (if needed)</t>
  </si>
  <si>
    <t>Other Details</t>
  </si>
  <si>
    <t>Please detail any skills or experience relevant to this role</t>
  </si>
  <si>
    <t>Please indicate whether you are a citizen of any of the following countries: Cuba, Iran, North Korea, Sudan, Syria in order to help Arista determine whether it may need to obtain an export license before it can disclose controlled technology to you. Tota</t>
  </si>
  <si>
    <t>Please indicate whether you are a citizen of any of the followingries: Cuba, Iran, North Korea, Sudan, Syria in order to help Arista determine whether it may need to obtain an export license before it can disclose controlled technology to you. Coun</t>
  </si>
  <si>
    <t>Please sign by typing your Full Legal First, Middle Initial, and Last Name</t>
  </si>
  <si>
    <t>Please state your working rights / citizenships / PR status</t>
  </si>
  <si>
    <t>Australian Citizen</t>
  </si>
  <si>
    <t>Postcode</t>
  </si>
  <si>
    <t>Preferred Contact Method</t>
  </si>
  <si>
    <t>Mobile</t>
  </si>
  <si>
    <t>Preferred location</t>
  </si>
  <si>
    <t>Home</t>
  </si>
  <si>
    <t>Prior Education</t>
  </si>
  <si>
    <t>Bachelors</t>
  </si>
  <si>
    <t>Race/Ethnicity</t>
  </si>
  <si>
    <t>State</t>
  </si>
  <si>
    <t>Street Address</t>
  </si>
  <si>
    <t>Suburb</t>
  </si>
  <si>
    <t>Telephone Number</t>
  </si>
  <si>
    <t>Twitter Username</t>
  </si>
  <si>
    <t>Website, Blog or Portfolio</t>
  </si>
  <si>
    <t>What are your salary expectations?</t>
  </si>
  <si>
    <t>Open</t>
  </si>
  <si>
    <t>What attracted you to this position?</t>
  </si>
  <si>
    <t>What engineering qualification?</t>
  </si>
  <si>
    <t>What formal chemical engineering/science related qualifications do you have relevant to this role?</t>
  </si>
  <si>
    <t>What is your current notice period?</t>
  </si>
  <si>
    <t>50,000 - 60,000</t>
  </si>
  <si>
    <t>What is your notice period for your current position?</t>
  </si>
  <si>
    <t>What is your salary expectation?</t>
  </si>
  <si>
    <t>What is your salary expectation? (EUR)</t>
  </si>
  <si>
    <t>Any</t>
  </si>
  <si>
    <t>What kind of work permit do you have?</t>
  </si>
  <si>
    <t>What's your highest level of education?</t>
  </si>
  <si>
    <t>Bachelor Degree (Honours)</t>
  </si>
  <si>
    <t>Will you now or in the future require sponsorship for work authorization? (This information will not be used in assessing your qualifications for any position.)</t>
  </si>
  <si>
    <t>Worked in regulated environment?</t>
  </si>
  <si>
    <t>your gender</t>
  </si>
  <si>
    <t>Zipcode</t>
  </si>
  <si>
    <t>https://au.indeed.com/viewjob?from=iaBackPress&amp;jk=221817e4d9de1887&amp;vjs=3</t>
  </si>
  <si>
    <t>https://au.indeed.com/viewjob?from=iaBackPress&amp;jk=04f9d54c2c527d61&amp;vjs=3</t>
  </si>
  <si>
    <t>https://au.indeed.com/viewjob?from=iaBackPress&amp;jk=f2cecb1f96aff56c&amp;vjs=3</t>
  </si>
  <si>
    <t>https://au.indeed.com/viewjob?from=iaBackPress&amp;jk=4b2c8ede9a44c300&amp;vjs=3</t>
  </si>
  <si>
    <t>https://au.indeed.com/viewjob?from=iaBackPress&amp;jk=692ceff9e516dd53&amp;vjs=3</t>
  </si>
  <si>
    <t>https://au.indeed.com/viewjob?from=iaBackPress&amp;jk=53b8a6d5160a8597&amp;vjs=3</t>
  </si>
  <si>
    <t>https://au.indeed.com/viewjob?from=iaBackPress&amp;jk=37945561569eaf53&amp;vjs=3</t>
  </si>
  <si>
    <t>https://au.indeed.com/viewjob?from=iaBackPress&amp;jk=1875d865d0bf10a3&amp;vjs=3</t>
  </si>
  <si>
    <t>https://au.indeed.com/viewjob?from=iaBackPress&amp;jk=056df9731b35a1b6&amp;vjs=3</t>
  </si>
  <si>
    <t>https://au.indeed.com/viewjob?from=iaBackPress&amp;jk=086f20d1d82f3061&amp;vjs=3</t>
  </si>
  <si>
    <t>https://au.indeed.com/viewjob?from=iaBackPress&amp;jk=0f26078b3db406c6&amp;vjs=3</t>
  </si>
  <si>
    <t>https://au.indeed.com/viewjob?from=iaBackPress&amp;jk=543d28224e3e7ee9&amp;vjs=3</t>
  </si>
  <si>
    <t>https://au.indeed.com/viewjob?from=iaBackPress&amp;jk=9c408031ac0ce648&amp;vjs=3</t>
  </si>
  <si>
    <t>https://au.indeed.com/viewjob?from=iaBackPress&amp;jk=99a0bc7f5ee00c5a&amp;vjs=3</t>
  </si>
  <si>
    <t>https://au.indeed.com/viewjob?from=iaBackPress&amp;jk=ebd3bcda5c7dd12e&amp;vjs=3</t>
  </si>
  <si>
    <t>https://au.indeed.com/viewjob?from=iaBackPress&amp;jk=1911500586082b1e&amp;vjs=3</t>
  </si>
  <si>
    <t>https://au.indeed.com/viewjob?from=iaBackPress&amp;jk=b925ec7b6c7cf6bc&amp;vjs=3</t>
  </si>
  <si>
    <t>https://au.indeed.com/viewjob?from=iaBackPress&amp;jk=e32099c2b2ce8634&amp;vjs=3</t>
  </si>
  <si>
    <t>https://au.indeed.com/viewjob?from=iaBackPress&amp;jk=b640e810d652ad08&amp;vjs=3</t>
  </si>
  <si>
    <t>https://au.indeed.com/viewjob?from=iaBackPress&amp;jk=cf3e2f0b0b1f78c4&amp;vjs=3</t>
  </si>
  <si>
    <t>https://au.indeed.com/viewjob?from=iaBackPress&amp;jk=82effc341243299f&amp;vjs=3</t>
  </si>
  <si>
    <t>https://au.indeed.com/viewjob?from=iaBackPress&amp;jk=204530b226e71601&amp;vjs=3</t>
  </si>
  <si>
    <t>https://au.indeed.com/viewjob?from=iaBackPress&amp;jk=d3b2dac0812ecf19&amp;vjs=3</t>
  </si>
  <si>
    <t>https://au.indeed.com/viewjob?from=iaBackPress&amp;jk=5db683043d2067e4&amp;vjs=3</t>
  </si>
  <si>
    <t>https://au.indeed.com/viewjob?from=iaBackPress&amp;jk=5e061b4f85e3cf5d&amp;vjs=3</t>
  </si>
  <si>
    <t>https://au.indeed.com/viewjob?from=iaBackPress&amp;jk=83b68d70ba016cd4&amp;vjs=3</t>
  </si>
  <si>
    <t>https://au.indeed.com/viewjob?from=iaBackPress&amp;jk=ca1ed932c6e6fb04&amp;vjs=3</t>
  </si>
  <si>
    <t>https://au.indeed.com/viewjob?from=iaBackPress&amp;jk=2d547a7cfb798b24&amp;vjs=3</t>
  </si>
  <si>
    <t>https://au.indeed.com/viewjob?from=iaBackPress&amp;jk=6f0210a238d76a34&amp;vjs=3</t>
  </si>
  <si>
    <t>https://au.indeed.com/viewjob?from=iaBackPress&amp;jk=92b03fadfdc78008&amp;vjs=3</t>
  </si>
  <si>
    <t>https://au.indeed.com/viewjob?from=iaBackPress&amp;jk=9dddf907bbcd410d&amp;vjs=3</t>
  </si>
  <si>
    <t>https://au.indeed.com/viewjob?from=iaBackPress&amp;jk=8700996372bcb34b&amp;vjs=3</t>
  </si>
  <si>
    <t>https://au.indeed.com/viewjob?from=iaBackPress&amp;jk=1f06a3fa302b76a2&amp;vjs=3</t>
  </si>
  <si>
    <t>https://au.indeed.com/viewjob?from=iaBackPress&amp;jk=346b7b28d49cc198&amp;vjs=3</t>
  </si>
  <si>
    <t>https://au.indeed.com/viewjob?from=iaBackPress&amp;jk=849eddd3ec7ec43a&amp;vjs=3</t>
  </si>
  <si>
    <t>https://au.indeed.com/viewjob?from=iaBackPress&amp;jk=f8ba17c0ae7e343e&amp;vjs=3</t>
  </si>
  <si>
    <t>https://au.indeed.com/viewjob?from=iaBackPress&amp;jk=24380f2d8466955b&amp;vjs=3</t>
  </si>
  <si>
    <t>https://au.indeed.com/viewjob?from=iaBackPress&amp;jk=9f5f977c64246e44&amp;vjs=3</t>
  </si>
  <si>
    <t>https://au.indeed.com/viewjob?from=iaBackPress&amp;jk=212f1bb7978a4407&amp;vjs=3</t>
  </si>
  <si>
    <t>https://au.indeed.com/viewjob?from=iaBackPress&amp;jk=365edd41b16452fa&amp;vjs=3</t>
  </si>
  <si>
    <t>https://au.indeed.com/viewjob?from=iaBackPress&amp;jk=0ad80b11f719cb21&amp;vjs=3</t>
  </si>
  <si>
    <t>https://au.indeed.com/viewjob?from=iaBackPress&amp;jk=fe9cac2307aa11ab&amp;vjs=3</t>
  </si>
  <si>
    <t>https://au.indeed.com/viewjob?from=iaBackPress&amp;jk=fffac276b2c59b80&amp;vjs=3</t>
  </si>
  <si>
    <t>https://au.indeed.com/viewjob?from=iaBackPress&amp;jk=68c057bc1ff1c3e7&amp;vjs=3</t>
  </si>
  <si>
    <t>https://au.indeed.com/viewjob?from=iaBackPress&amp;jk=3630a84ecdd86c54&amp;vjs=3</t>
  </si>
  <si>
    <t>https://au.indeed.com/viewjob?from=iaBackPress&amp;jk=cc4feaf86a843894&amp;vjs=3</t>
  </si>
  <si>
    <t>https://au.indeed.com/viewjob?from=iaBackPress&amp;jk=f53f6f57ca398a28&amp;vjs=3</t>
  </si>
  <si>
    <t>https://au.indeed.com/viewjob?from=iaBackPress&amp;jk=e5e09919549d735a&amp;vjs=3</t>
  </si>
  <si>
    <t>https://au.indeed.com/viewjob?from=iaBackPress&amp;jk=90d91626f3e50020&amp;vjs=3</t>
  </si>
  <si>
    <t>https://au.indeed.com/viewjob?from=iaBackPress&amp;jk=923852b1bc9cbe18&amp;vjs=3</t>
  </si>
  <si>
    <t>https://au.indeed.com/viewjob?from=iaBackPress&amp;jk=1cc08ff054ad0139&amp;vjs=3</t>
  </si>
  <si>
    <t>https://au.indeed.com/viewjob?from=iaBackPress&amp;jk=49a18049f1e9c651&amp;vjs=3</t>
  </si>
  <si>
    <t>Design &amp; Build Recruitment</t>
  </si>
  <si>
    <t>#EANF#</t>
  </si>
  <si>
    <t>https://au.indeed.com/viewjob?from=iaBackPress&amp;jk=6af47a2d6bcd2fdc&amp;vjs=3</t>
  </si>
  <si>
    <t>https://au.indeed.com/viewjob?from=iaBackPress&amp;jk=8c2c33c3946cc4c8&amp;vjs=3</t>
  </si>
  <si>
    <t>https://au.indeed.com/viewjob?from=iaBackPress&amp;jk=4c1902cda26c486b&amp;vjs=3</t>
  </si>
  <si>
    <t>https://au.indeed.com/viewjob?from=iaBackPress&amp;jk=e245bbad6aee0965&amp;vjs=3</t>
  </si>
  <si>
    <t>https://au.indeed.com/viewjob?from=iaBackPress&amp;jk=f53509b3b11384a2&amp;vjs=3</t>
  </si>
  <si>
    <t>https://au.indeed.com/viewjob?from=iaBackPress&amp;jk=c5b6c4200b438e48&amp;vjs=3</t>
  </si>
  <si>
    <t>https://au.indeed.com/viewjob?from=iaBackPress&amp;jk=f4ccc0036956811c&amp;vjs=3</t>
  </si>
  <si>
    <t>https://au.indeed.com/viewjob?from=iaBackPress&amp;jk=13db6966e5c5712b&amp;vjs=3</t>
  </si>
  <si>
    <t>https://au.indeed.com/viewjob?from=iaBackPress&amp;jk=ceb506b8835dbc10&amp;vjs=3</t>
  </si>
  <si>
    <t>https://au.indeed.com/viewjob?from=iaBackPress&amp;jk=156c5af02a49de34&amp;vjs=3</t>
  </si>
  <si>
    <t>https://au.indeed.com/viewjob?from=iaBackPress&amp;jk=196e303d586b3c48&amp;vjs=3</t>
  </si>
  <si>
    <t>https://au.indeed.com/viewjob?from=iaBackPress&amp;jk=2b326ee3859d53f6&amp;vjs=3</t>
  </si>
  <si>
    <t>https://au.indeed.com/viewjob?from=iaBackPress&amp;jk=8f872b4ea448299f&amp;vjs=3</t>
  </si>
  <si>
    <t>https://au.indeed.com/viewjob?from=iaBackPress&amp;jk=0f96c18c27c885bb&amp;vjs=3</t>
  </si>
  <si>
    <t>https://au.indeed.com/viewjob?from=iaBackPress&amp;jk=b9e2069a2b741840&amp;vjs=3</t>
  </si>
  <si>
    <t>https://au.indeed.com/viewjob?from=iaBackPress&amp;jk=b79922e6839a639c&amp;vjs=3</t>
  </si>
  <si>
    <t>https://au.indeed.com/viewjob?from=iaBackPress&amp;jk=cafac024dabf9360&amp;vjs=3</t>
  </si>
  <si>
    <t>https://au.indeed.com/viewjob?from=iaBackPress&amp;jk=ebfe3ea775742aa7&amp;vjs=3</t>
  </si>
  <si>
    <t>https://au.indeed.com/viewjob?from=iaBackPress&amp;jk=10b5c254e1c13048&amp;vjs=3</t>
  </si>
  <si>
    <t>https://au.indeed.com/viewjob?from=iaBackPress&amp;jk=50b76e1e500cab2d&amp;vjs=3</t>
  </si>
  <si>
    <t>https://au.indeed.com/viewjob?from=iaBackPress&amp;jk=cc1c0a94fd8a5f3b&amp;vjs=3</t>
  </si>
  <si>
    <t>https://au.indeed.com/viewjob?from=iaBackPress&amp;jk=dfe7c0d801f6a776&amp;vjs=3</t>
  </si>
  <si>
    <t>https://au.indeed.com/viewjob?from=iaBackPress&amp;jk=2de1c2b8f48187cc&amp;vjs=3</t>
  </si>
  <si>
    <t>https://au.indeed.com/viewjob?from=iaBackPress&amp;jk=22d8bd28baf923e9&amp;vjs=3</t>
  </si>
  <si>
    <t>https://au.indeed.com/viewjob?from=iaBackPress&amp;jk=32130b1d71e346a0&amp;vjs=3</t>
  </si>
  <si>
    <t>https://au.indeed.com/viewjob?from=iaBackPress&amp;jk=2419e6de0445722d&amp;vjs=3</t>
  </si>
  <si>
    <t>https://au.indeed.com/viewjob?from=iaBackPress&amp;jk=279b21c8d75a242e&amp;vjs=3</t>
  </si>
  <si>
    <t>https://au.indeed.com/viewjob?from=iaBackPress&amp;jk=e3897416bac04ca8&amp;vjs=3</t>
  </si>
  <si>
    <t>https://au.indeed.com/viewjob?from=iaBackPress&amp;jk=2e88d0cb31bca239&amp;vjs=3</t>
  </si>
  <si>
    <t>https://au.indeed.com/viewjob?from=iaBackPress&amp;jk=1a74aee14cced600&amp;vjs=3</t>
  </si>
  <si>
    <t>https://au.indeed.com/viewjob?from=iaBackPress&amp;jk=e519f4099da0cc28&amp;vjs=3</t>
  </si>
  <si>
    <t>https://au.indeed.com/viewjob?from=iaBackPress&amp;jk=2ba2b98675973039&amp;vjs=3</t>
  </si>
  <si>
    <t>https://au.indeed.com/viewjob?from=iaBackPress&amp;jk=60eb6eb6f552f672&amp;vjs=3</t>
  </si>
  <si>
    <t>https://au.indeed.com/viewjob?from=iaBackPress&amp;jk=6a73db111f460fd8&amp;vjs=3</t>
  </si>
  <si>
    <t>https://au.indeed.com/viewjob?from=iaBackPress&amp;jk=0ab772ac8dba6940&amp;vjs=3</t>
  </si>
  <si>
    <t>https://au.indeed.com/viewjob?from=iaBackPress&amp;jk=80161c1eac631fc3&amp;vjs=3</t>
  </si>
  <si>
    <t>https://au.indeed.com/viewjob?from=iaBackPress&amp;jk=436056bfd5332005&amp;vjs=3</t>
  </si>
  <si>
    <t>https://au.indeed.com/viewjob?from=iaBackPress&amp;jk=e31e3de5b15cae12&amp;vjs=3</t>
  </si>
  <si>
    <t>https://au.indeed.com/viewjob?from=iaBackPress&amp;jk=6fe395b806ecd96c&amp;vjs=3</t>
  </si>
  <si>
    <t>https://au.indeed.com/viewjob?from=iaBackPress&amp;jk=40c1275d9c40de56&amp;vjs=3</t>
  </si>
  <si>
    <t>https://au.indeed.com/viewjob?from=iaBackPress&amp;jk=563d4edf523a6b62&amp;vjs=3</t>
  </si>
  <si>
    <t>https://au.indeed.com/viewjob?from=iaBackPress&amp;jk=3d25f3e08b934c81&amp;vjs=3</t>
  </si>
  <si>
    <t>https://au.indeed.com/viewjob?from=iaBackPress&amp;jk=0338fb73c3661369&amp;vjs=3</t>
  </si>
  <si>
    <t>https://au.indeed.com/viewjob?from=iaBackPress&amp;jk=40127c4e274d3291&amp;vjs=3</t>
  </si>
  <si>
    <t>https://au.indeed.com/viewjob?from=iaBackPress&amp;jk=2246988f4e19f00f&amp;vjs=3</t>
  </si>
  <si>
    <t>https://au.indeed.com/viewjob?from=iaBackPress&amp;jk=6761fdc27ca34383&amp;vjs=3</t>
  </si>
  <si>
    <t>https://au.indeed.com/viewjob?from=iaBackPress&amp;jk=81d7c53700c4b351&amp;vjs=3</t>
  </si>
  <si>
    <t>https://au.indeed.com/viewjob?from=iaBackPress&amp;jk=96b588263c169d89&amp;vjs=3</t>
  </si>
  <si>
    <t>https://au.indeed.com/viewjob?from=iaBackPress&amp;jk=7ce6c9ad040cd2e6&amp;vjs=3</t>
  </si>
  <si>
    <t>https://au.indeed.com/viewjob?from=iaBackPress&amp;jk=ceec5a6ecb88e0d8&amp;vjs=3</t>
  </si>
  <si>
    <t>https://au.indeed.com/viewjob?from=iaBackPress&amp;jk=254c6be9b6aae7cf&amp;vjs=3</t>
  </si>
  <si>
    <t>https://au.indeed.com/viewjob?from=iaBackPress&amp;jk=da38c0c30ea002c6&amp;vjs=3</t>
  </si>
  <si>
    <t>https://au.indeed.com/viewjob?from=iaBackPress&amp;jk=98791c49501d8f10&amp;vjs=3</t>
  </si>
  <si>
    <t>https://au.indeed.com/viewjob?from=iaBackPress&amp;jk=f5d9f8b73a375b95&amp;vjs=3</t>
  </si>
  <si>
    <t>https://au.indeed.com/viewjob?from=iaBackPress&amp;jk=e917094acd8517c5&amp;vjs=3</t>
  </si>
  <si>
    <t>https://au.indeed.com/viewjob?from=iaBackPress&amp;jk=ac8bc82dcc8b763b&amp;vjs=3</t>
  </si>
  <si>
    <t>https://au.indeed.com/viewjob?from=iaBackPress&amp;jk=13716f187b9d1aba&amp;vjs=3</t>
  </si>
  <si>
    <t>https://au.indeed.com/viewjob?from=iaBackPress&amp;jk=dd02abdac108d08b&amp;vjs=3</t>
  </si>
  <si>
    <t>https://au.indeed.com/viewjob?from=iaBackPress&amp;jk=7f9709dc7a794e61&amp;vjs=3</t>
  </si>
  <si>
    <t>https://au.indeed.com/viewjob?from=iaBackPress&amp;jk=91cfe133b1753a32&amp;vjs=3</t>
  </si>
  <si>
    <t>https://au.indeed.com/viewjob?from=iaBackPress&amp;jk=685d0bf9fd9b6ab1&amp;vjs=3</t>
  </si>
  <si>
    <t>https://au.indeed.com/viewjob?from=iaBackPress&amp;jk=2eb61e93bfa7507e&amp;vjs=3</t>
  </si>
  <si>
    <t>https://au.indeed.com/viewjob?from=iaBackPress&amp;jk=4fe7d24883daed56&amp;vjs=3</t>
  </si>
  <si>
    <t>KETCOM PTY LTD</t>
  </si>
  <si>
    <t>Royal Australian Navy</t>
  </si>
  <si>
    <t>AC3</t>
  </si>
  <si>
    <t>Superior People Recruitment</t>
  </si>
  <si>
    <t>Mission Critical Recruitment</t>
  </si>
  <si>
    <t>CGC Recruitment</t>
  </si>
  <si>
    <t>Atom Resources Pty Ltd</t>
  </si>
  <si>
    <t>ACRWORLD</t>
  </si>
  <si>
    <t>Amida Recruitment Limited</t>
  </si>
  <si>
    <t>Antoun Civil</t>
  </si>
  <si>
    <t>Aurec</t>
  </si>
  <si>
    <t>Brefni</t>
  </si>
  <si>
    <t>Cash App</t>
  </si>
  <si>
    <t>Civil Construction Company</t>
  </si>
  <si>
    <t>Construct Consulting</t>
  </si>
  <si>
    <t>Constructability Recruitment</t>
  </si>
  <si>
    <t>ConsultANZ</t>
  </si>
  <si>
    <t>Coulson Aviation (PTY)</t>
  </si>
  <si>
    <t>Datacom</t>
  </si>
  <si>
    <t>Foundation Recruitment</t>
  </si>
  <si>
    <t>Ivory Group</t>
  </si>
  <si>
    <t>JC Ventilation &amp; Engineering P/L</t>
  </si>
  <si>
    <t>KaRaTec Power Supplies Pty Ltd</t>
  </si>
  <si>
    <t>Kenny Constructions</t>
  </si>
  <si>
    <t>MCS Consulting</t>
  </si>
  <si>
    <t>Mirabend</t>
  </si>
  <si>
    <t>Now Careers</t>
  </si>
  <si>
    <t>Public Sector People</t>
  </si>
  <si>
    <t>Sirius People</t>
  </si>
  <si>
    <t>Squiz</t>
  </si>
  <si>
    <t>Stream Consulting Group</t>
  </si>
  <si>
    <t>Swell Talent Services</t>
  </si>
  <si>
    <t>Talentpool Recruitment</t>
  </si>
  <si>
    <t>Tandem Corp</t>
  </si>
  <si>
    <t>Triton Search and Select</t>
  </si>
  <si>
    <t>Tufin</t>
  </si>
  <si>
    <t>White Bay Search</t>
  </si>
  <si>
    <t>Austcorp Executive</t>
  </si>
  <si>
    <t>Kordia</t>
  </si>
  <si>
    <t>Talent Web</t>
  </si>
  <si>
    <t>Insider AU Pty Ltd</t>
  </si>
  <si>
    <t>Easy Payroll Global</t>
  </si>
  <si>
    <t>JIMMY LEA PTY LTD</t>
  </si>
  <si>
    <t>Terranova International – trading as Salvador Coffee Rosters</t>
  </si>
  <si>
    <t>Jindex Pty Ltd</t>
  </si>
  <si>
    <t>Fusion People Sydney</t>
  </si>
  <si>
    <t>Finite Group APAC Pty Ltd</t>
  </si>
  <si>
    <t>Dasco Australia</t>
  </si>
  <si>
    <t>Kona and Co</t>
  </si>
  <si>
    <t>Breville</t>
  </si>
  <si>
    <t>Denovo Recruitment</t>
  </si>
  <si>
    <t>Icombined360</t>
  </si>
  <si>
    <t>AEG Maintenance Pty Ltd.</t>
  </si>
  <si>
    <t>Muller Martini Aust</t>
  </si>
  <si>
    <t>Zoomo</t>
  </si>
  <si>
    <t>Colussi Engineering Pty Ltd</t>
  </si>
  <si>
    <t>D Tech Engineering Pty Ltd</t>
  </si>
  <si>
    <t>Connexus Recruitment</t>
  </si>
  <si>
    <t>Aptus Personnel AUS</t>
  </si>
  <si>
    <t>Eight Recruitment</t>
  </si>
  <si>
    <t>ECi Executive</t>
  </si>
  <si>
    <t>Dash Group</t>
  </si>
  <si>
    <t>Framework Search &amp; Select Pty Ltd</t>
  </si>
  <si>
    <t>Attribute Consulting</t>
  </si>
  <si>
    <t>Acquire Talent Consulting</t>
  </si>
  <si>
    <t>Engineering Networks Pty Ltd</t>
  </si>
  <si>
    <t>Talenza</t>
  </si>
  <si>
    <t>Cisco Meraki</t>
  </si>
  <si>
    <t>Preacta Recruitment</t>
  </si>
  <si>
    <t>Harvey Nash</t>
  </si>
  <si>
    <t>Formbay</t>
  </si>
  <si>
    <t>Built Holdings Pty Ltd</t>
  </si>
  <si>
    <t>ECi Engineering</t>
  </si>
  <si>
    <t>Coleman Recruitment Australia</t>
  </si>
  <si>
    <t>Stellar Recruitment</t>
  </si>
  <si>
    <t>Ledonne Constructions Pty Ltd</t>
  </si>
  <si>
    <t>ATLAS RECRUITMENT</t>
  </si>
  <si>
    <t>Hanley Energy, Ltd</t>
  </si>
  <si>
    <t>Quickway Constructions Pty Ltd</t>
  </si>
  <si>
    <t>Construct Recruit</t>
  </si>
  <si>
    <t>Career Building</t>
  </si>
  <si>
    <t>BSI People</t>
  </si>
  <si>
    <t>Peter Jacob Recruitment</t>
  </si>
  <si>
    <t>Daracon Group</t>
  </si>
  <si>
    <t>Building Partners Recruitment Pty Ltd</t>
  </si>
  <si>
    <t>The Civil People</t>
  </si>
  <si>
    <t>Tropikool airconditioning</t>
  </si>
  <si>
    <t>Hunter Recruitment Group</t>
  </si>
  <si>
    <t>Frontline Construction</t>
  </si>
  <si>
    <t>Cranfield Group</t>
  </si>
  <si>
    <t>Barclay Recruitment</t>
  </si>
  <si>
    <t>TECHGONG AUSTRALIA</t>
  </si>
  <si>
    <t>Bluefin Resources</t>
  </si>
  <si>
    <t>Australia Wide Engineering Recruitment</t>
  </si>
  <si>
    <t>The Argyle Network</t>
  </si>
  <si>
    <t>Lloyd Group</t>
  </si>
  <si>
    <t>Naviro Pty Ltd</t>
  </si>
  <si>
    <t>Clarrow</t>
  </si>
  <si>
    <t>Buildability Group</t>
  </si>
  <si>
    <t>S&amp;You</t>
  </si>
  <si>
    <t>Monica Clare Recruitment</t>
  </si>
  <si>
    <t>HKA</t>
  </si>
  <si>
    <t>Oztech Intelligent Systems</t>
  </si>
  <si>
    <t>Wyn&amp;Co</t>
  </si>
  <si>
    <t>Kappa Executive Search</t>
  </si>
  <si>
    <t>ASR Recruitment</t>
  </si>
  <si>
    <t>Blackbook Executive</t>
  </si>
  <si>
    <t>Bellwether Contractors</t>
  </si>
  <si>
    <t>ArcTree</t>
  </si>
  <si>
    <t>ALRA</t>
  </si>
  <si>
    <t>The Network IT</t>
  </si>
  <si>
    <t>CircuIT Recruitment Group</t>
  </si>
  <si>
    <t>Ampion</t>
  </si>
  <si>
    <t>Saul Recruitment</t>
  </si>
  <si>
    <t>MongoDB</t>
  </si>
  <si>
    <t>Nuix</t>
  </si>
  <si>
    <t>Drager</t>
  </si>
  <si>
    <t>CSA Recruitment Pty Ltd</t>
  </si>
  <si>
    <t>Your IT Desk Pty Ltd</t>
  </si>
  <si>
    <t>Decipher Bureau</t>
  </si>
  <si>
    <t>Lucan Group</t>
  </si>
  <si>
    <t>Hawksworth</t>
  </si>
  <si>
    <t>Design &amp; Build</t>
  </si>
  <si>
    <t>Tognetti Consulting</t>
  </si>
  <si>
    <t>DARACON ENGINEERING PTY LTD</t>
  </si>
  <si>
    <t>Welink Recruitment</t>
  </si>
  <si>
    <t>Hyre Pty Ltd</t>
  </si>
  <si>
    <t>TheDriveGroup</t>
  </si>
  <si>
    <t>Aidacare Pty Ltd</t>
  </si>
  <si>
    <t>Core Talent</t>
  </si>
  <si>
    <t>SNC-Lavalin</t>
  </si>
  <si>
    <t>Cundall</t>
  </si>
  <si>
    <t>Baraja</t>
  </si>
  <si>
    <t>Aurecon Group</t>
  </si>
  <si>
    <t>ABB</t>
  </si>
  <si>
    <t>Airbus Group Australia Pacific</t>
  </si>
  <si>
    <t>Amazon Corporate Services Pty</t>
  </si>
  <si>
    <t>Amazon Support Services PtyLtd</t>
  </si>
  <si>
    <t>Antoun</t>
  </si>
  <si>
    <t>Appetency Recruitment Services</t>
  </si>
  <si>
    <t>Arcadis</t>
  </si>
  <si>
    <t>Aristocrat Technologies</t>
  </si>
  <si>
    <t>Atlassian</t>
  </si>
  <si>
    <t>Audinate Pty Ltd</t>
  </si>
  <si>
    <t>AWS Australia Pty Ltd</t>
  </si>
  <si>
    <t>Axiom Technologies</t>
  </si>
  <si>
    <t>Bayer AG</t>
  </si>
  <si>
    <t>BG Recruitment</t>
  </si>
  <si>
    <t>Broadspectrum</t>
  </si>
  <si>
    <t>Calibre Group</t>
  </si>
  <si>
    <t>Campbelltown City Council NSW</t>
  </si>
  <si>
    <t>Circuit Recruitment</t>
  </si>
  <si>
    <t>Colliers International</t>
  </si>
  <si>
    <t>Corporate Travel Management</t>
  </si>
  <si>
    <t>CrowdStrike</t>
  </si>
  <si>
    <t>CSR Group</t>
  </si>
  <si>
    <t>Dimensional Fund Advisors</t>
  </si>
  <si>
    <t>Diona</t>
  </si>
  <si>
    <t>Downer Group</t>
  </si>
  <si>
    <t>Ethos BeathChapman</t>
  </si>
  <si>
    <t>Firesoft People</t>
  </si>
  <si>
    <t>Fiserv, Inc.</t>
  </si>
  <si>
    <t>Fluke</t>
  </si>
  <si>
    <t>GAIN Capital</t>
  </si>
  <si>
    <t>Goldman Sachs</t>
  </si>
  <si>
    <t>Haslin Constructions</t>
  </si>
  <si>
    <t>HAYS</t>
  </si>
  <si>
    <t>Healthcare Professionals Group</t>
  </si>
  <si>
    <t>Hitachi Rail STS</t>
  </si>
  <si>
    <t>Honeywell</t>
  </si>
  <si>
    <t>IBM</t>
  </si>
  <si>
    <t>Imagination Technologies</t>
  </si>
  <si>
    <t>Industrial Light &amp; Magic</t>
  </si>
  <si>
    <t>InterSystems</t>
  </si>
  <si>
    <t>IT Alliance Australia</t>
  </si>
  <si>
    <t>John Holland</t>
  </si>
  <si>
    <t>Lendlease</t>
  </si>
  <si>
    <t>Liberty Industrial</t>
  </si>
  <si>
    <t>Macquarie Group Limited</t>
  </si>
  <si>
    <t>Michael Page</t>
  </si>
  <si>
    <t>NES FIRCROFT</t>
  </si>
  <si>
    <t>New Venture Recruitment</t>
  </si>
  <si>
    <t>Nielsen</t>
  </si>
  <si>
    <t>Nutanix</t>
  </si>
  <si>
    <t>PC Recruitment</t>
  </si>
  <si>
    <t>Penrith City Council</t>
  </si>
  <si>
    <t>Peoplebank</t>
  </si>
  <si>
    <t>PERSOLKELLY</t>
  </si>
  <si>
    <t>Polyglot Group</t>
  </si>
  <si>
    <t>PwC</t>
  </si>
  <si>
    <t>Randstad</t>
  </si>
  <si>
    <t>Redpath Partners</t>
  </si>
  <si>
    <t>RHL</t>
  </si>
  <si>
    <t>Rhomberg Sersa Rail Group</t>
  </si>
  <si>
    <t>Rode Microphones</t>
  </si>
  <si>
    <t>Rolls-Royce</t>
  </si>
  <si>
    <t>Salt Recruitment</t>
  </si>
  <si>
    <t>Service NSW</t>
  </si>
  <si>
    <t>Service Stream</t>
  </si>
  <si>
    <t>ServiceNow</t>
  </si>
  <si>
    <t>SLD</t>
  </si>
  <si>
    <t>Snap Talent International</t>
  </si>
  <si>
    <t>Squad</t>
  </si>
  <si>
    <t>Stryker</t>
  </si>
  <si>
    <t>Stryker Corporation</t>
  </si>
  <si>
    <t>Talent International</t>
  </si>
  <si>
    <t>Thales Group</t>
  </si>
  <si>
    <t>Tyro</t>
  </si>
  <si>
    <t>u&amp;u Recruitment Partners</t>
  </si>
  <si>
    <t>UGL Limited</t>
  </si>
  <si>
    <t>Versent</t>
  </si>
  <si>
    <t>West Region Delivery Team</t>
  </si>
  <si>
    <t>Woolworths Group</t>
  </si>
  <si>
    <t>WSP Australia</t>
  </si>
  <si>
    <t>Zenith Executive Search</t>
  </si>
  <si>
    <t>Zenith Search</t>
  </si>
  <si>
    <t>Zip</t>
  </si>
  <si>
    <t>Zoom Recruitment &amp; Training</t>
  </si>
  <si>
    <t>Lion Pty Ltd</t>
  </si>
  <si>
    <t>The Hills Shire Council</t>
  </si>
  <si>
    <t>ResMed</t>
  </si>
  <si>
    <t>International Recruitment Group - IRG ltd</t>
  </si>
  <si>
    <t>Beca</t>
  </si>
  <si>
    <t>Tesla</t>
  </si>
  <si>
    <t>RobLawMax Recruitment</t>
  </si>
  <si>
    <t>Chandler Macleod</t>
  </si>
  <si>
    <t>Careers at Council</t>
  </si>
  <si>
    <t>BG&amp;E Resources</t>
  </si>
  <si>
    <t>Dash Construction Recruitment</t>
  </si>
  <si>
    <t>South32</t>
  </si>
  <si>
    <t>GFG Alliance</t>
  </si>
  <si>
    <t>Evolution Mining</t>
  </si>
  <si>
    <t>Weir Minerals Australia</t>
  </si>
  <si>
    <t>Boeing RIV Site</t>
  </si>
  <si>
    <t>AECOM</t>
  </si>
  <si>
    <t>Monadelphous</t>
  </si>
  <si>
    <t>Clarence Valley Council</t>
  </si>
  <si>
    <t>Komatsu</t>
  </si>
  <si>
    <t>BOEING</t>
  </si>
  <si>
    <t>ICI Industries</t>
  </si>
  <si>
    <t>Navartis Limited</t>
  </si>
  <si>
    <t>Local Government Appointments</t>
  </si>
  <si>
    <t>Bradken</t>
  </si>
  <si>
    <t>Freyssinet</t>
  </si>
  <si>
    <t>Ampcontrol</t>
  </si>
  <si>
    <t>Canva</t>
  </si>
  <si>
    <t>ADW Johnson</t>
  </si>
  <si>
    <t>MBC Recruitment</t>
  </si>
  <si>
    <t>Adaps</t>
  </si>
  <si>
    <t>Expedia.com</t>
  </si>
  <si>
    <t>CP Personnel</t>
  </si>
  <si>
    <t>Departer Deutschland GmbH</t>
  </si>
  <si>
    <t>Canon</t>
  </si>
  <si>
    <t>Google</t>
  </si>
  <si>
    <t>Simplot</t>
  </si>
  <si>
    <t>Foxtel</t>
  </si>
  <si>
    <t>Qantas Airways Limited</t>
  </si>
  <si>
    <t>Hawker Pacific</t>
  </si>
  <si>
    <t>RPMGlobal</t>
  </si>
  <si>
    <t>MMG Limited</t>
  </si>
  <si>
    <t>Whitehaven Coal</t>
  </si>
  <si>
    <t>Slatevfx</t>
  </si>
  <si>
    <t>Cochlear Ltd</t>
  </si>
  <si>
    <t>Shoalhaven City Council</t>
  </si>
  <si>
    <t>Purina</t>
  </si>
  <si>
    <t>CPB Contractors</t>
  </si>
  <si>
    <t>McConnell Dowell</t>
  </si>
  <si>
    <t>Public Works Advisory &amp; Regional Dev</t>
  </si>
  <si>
    <t>Cloud Specialists</t>
  </si>
  <si>
    <t>Duratec Australia</t>
  </si>
  <si>
    <t>Constructive.net</t>
  </si>
  <si>
    <t>Zinfra</t>
  </si>
  <si>
    <t>Herrth</t>
  </si>
  <si>
    <t>Société Générale</t>
  </si>
  <si>
    <t>Herrick Recruitment Group</t>
  </si>
  <si>
    <t>Bingo Industries</t>
  </si>
  <si>
    <t>Snowyhydro</t>
  </si>
  <si>
    <t>Halliburton</t>
  </si>
  <si>
    <t>BAE Systems</t>
  </si>
  <si>
    <t>Titan Recruitment</t>
  </si>
  <si>
    <t>Qualcomm Technologies, Inc.</t>
  </si>
  <si>
    <t>Fairfield City Council</t>
  </si>
  <si>
    <t>Camden Council</t>
  </si>
  <si>
    <t>Smith &amp; Nephew</t>
  </si>
  <si>
    <t>Charterhouse</t>
  </si>
  <si>
    <t>Paxus</t>
  </si>
  <si>
    <t>Robert Half</t>
  </si>
  <si>
    <t>Aryzta</t>
  </si>
  <si>
    <t>Lockheed Martin Australia</t>
  </si>
  <si>
    <t>Fortescue Metals Group</t>
  </si>
  <si>
    <t>Central Highlands Regional Council</t>
  </si>
  <si>
    <t>Sydney Water</t>
  </si>
  <si>
    <t>Roads &amp; Maritime Services</t>
  </si>
  <si>
    <t>Robson Civil Projects</t>
  </si>
  <si>
    <t>Prysmian</t>
  </si>
  <si>
    <t>Broad Construction</t>
  </si>
  <si>
    <t>Programmed</t>
  </si>
  <si>
    <t>Clough</t>
  </si>
  <si>
    <t>MCMAHON SERVICES</t>
  </si>
  <si>
    <t>CSG Talent</t>
  </si>
  <si>
    <t>nbn™</t>
  </si>
  <si>
    <t>The Trade Desk</t>
  </si>
  <si>
    <t>Canonical</t>
  </si>
  <si>
    <t>Ping Identity</t>
  </si>
  <si>
    <t>Deloitte</t>
  </si>
  <si>
    <t>Waters Corporation</t>
  </si>
  <si>
    <t>Beckman Coulter Life Sciences</t>
  </si>
  <si>
    <t>Dolby</t>
  </si>
  <si>
    <t>Compac Group</t>
  </si>
  <si>
    <t>Agilent Technologies, Inc.</t>
  </si>
  <si>
    <t>Central Coast Group Training</t>
  </si>
  <si>
    <t>Nexon Asia Pacific Pty Ltd</t>
  </si>
  <si>
    <t>Abbott Laboratories</t>
  </si>
  <si>
    <t>Lang Deacon Pty Ltd</t>
  </si>
  <si>
    <t>Markem-Imaje</t>
  </si>
  <si>
    <t>NTT Ltd</t>
  </si>
  <si>
    <t>Leica Biosystems</t>
  </si>
  <si>
    <t>Siemens Healthcare Pty. Ltd.</t>
  </si>
  <si>
    <t>Inmarsat</t>
  </si>
  <si>
    <t>Klarna</t>
  </si>
  <si>
    <t>Microsoft</t>
  </si>
  <si>
    <t>Matrix Process Solutions</t>
  </si>
  <si>
    <t>Oracle</t>
  </si>
  <si>
    <t>Thermo Fisher Scientific</t>
  </si>
  <si>
    <t>NTT</t>
  </si>
  <si>
    <t>Commonwealth Bank</t>
  </si>
  <si>
    <t>Hamilton Barnes</t>
  </si>
  <si>
    <t>Jefferson Frank</t>
  </si>
  <si>
    <t>Salesforce</t>
  </si>
  <si>
    <t>About Recruitment</t>
  </si>
  <si>
    <t>Citrix</t>
  </si>
  <si>
    <t>Cisco Systems</t>
  </si>
  <si>
    <t>JPMorgan Chase Bank, N.A.</t>
  </si>
  <si>
    <t>Connect One Recruitment</t>
  </si>
  <si>
    <t>Feedzai</t>
  </si>
  <si>
    <t>Xylem</t>
  </si>
  <si>
    <t>deltatre</t>
  </si>
  <si>
    <t>OSIsoft</t>
  </si>
  <si>
    <t>Type</t>
  </si>
  <si>
    <t>Options</t>
  </si>
  <si>
    <t>https://au.indeed.com/viewjob?from=iaBackPress&amp;jk=25d5284efda09e68&amp;vjs=3</t>
  </si>
  <si>
    <t>Yes;No</t>
  </si>
  <si>
    <t>&lt;span&gt;Desired Pay</t>
  </si>
  <si>
    <t>&lt;span&gt;Highest Education Obtained</t>
  </si>
  <si>
    <t>&lt;span&gt;LinkedIn URL</t>
  </si>
  <si>
    <t>&lt;span&gt;College/University</t>
  </si>
  <si>
    <t>Date</t>
  </si>
  <si>
    <t>&lt;span&gt;Date Available</t>
  </si>
  <si>
    <t>&lt;span&gt;Website, Blog or Portfolio</t>
  </si>
  <si>
    <t>https://au.indeed.com/viewjob?from=iaBackPress&amp;jk=f409160b8d1ee990&amp;vjs=3</t>
  </si>
  <si>
    <t>Australian Citizen;NZ Citizen;Permanent Resident;None of the above;Working Visa;Student Visa</t>
  </si>
  <si>
    <t xml:space="preserve">Do you have a current Drivers licence and your own transport?  </t>
  </si>
  <si>
    <t xml:space="preserve">What formal chemical engineering/science related qualifications do you have relevant to this role? </t>
  </si>
  <si>
    <t xml:space="preserve">What attracted you to this position? </t>
  </si>
  <si>
    <t xml:space="preserve">If successful, when would you be able to start work? </t>
  </si>
  <si>
    <t>File</t>
  </si>
  <si>
    <t>Cover Letter:</t>
  </si>
  <si>
    <t>Male;Female;Other</t>
  </si>
  <si>
    <t>https://au.indeed.com/viewjob?from=iaBackPress&amp;jk=6646a11a906e5847&amp;vjs=3</t>
  </si>
  <si>
    <t>Yes ;No</t>
  </si>
  <si>
    <t>&lt;span&gt;If yes, what name?</t>
  </si>
  <si>
    <t>&lt;span&gt;Cover Letter</t>
  </si>
  <si>
    <t>Information</t>
  </si>
  <si>
    <t xml:space="preserve">&lt;div </t>
  </si>
  <si>
    <t>Neither;Aboriginal;Torres Strait Islander;Both</t>
  </si>
  <si>
    <t>No;Yes</t>
  </si>
  <si>
    <t>&lt;span&gt;If yes, please indicate the area/s below</t>
  </si>
  <si>
    <t>&lt;span&gt;Are you currently enrolled in a course, if so, what is the course name and code?</t>
  </si>
  <si>
    <t>Are you</t>
  </si>
  <si>
    <t>https://au.indeed.com/viewjob?from=iaBackPress&amp;jk=71d8b9a3a9a93bb2&amp;vjs=3</t>
  </si>
  <si>
    <t>https://au.indeed.com/viewjob?from=iaBackPress&amp;jk=49eae43bb03955d4&amp;vjs=3</t>
  </si>
  <si>
    <t>&lt;span&gt;What type of employment are you interested in?</t>
  </si>
  <si>
    <t>Full time;Contract;Project;Flexible;All</t>
  </si>
  <si>
    <t xml:space="preserve">&lt;span&gt;2. If not applying in the area the job is advertised, are you willing to relocate? </t>
  </si>
  <si>
    <t>https://au.indeed.com/viewjob?from=iaBackPress&amp;jk=f5b8921533ff29af&amp;vjs=3</t>
  </si>
  <si>
    <t>&lt;span&gt;Twitter Username</t>
  </si>
  <si>
    <t>https://au.indeed.com/viewjob?from=iaBackPress&amp;jk=97b87860f90a1eaf&amp;vjs=3</t>
  </si>
  <si>
    <t>https://au.indeed.com/viewjob?from=iaBackPress&amp;jk=b3a323a3b47fca8d&amp;vjs=3</t>
  </si>
  <si>
    <t>https://au.indeed.com/viewjob?from=iaBackPress&amp;jk=c4e076f51cd11864&amp;vjs=3</t>
  </si>
  <si>
    <t>&lt;span&gt;Please indicate whether you are a citizen of any of the following countries: Cuba, Iran, North Korea, Sudan, Syria in order to help Arista determine whether it may need to obtain an export license before it can disclose controlled technology to you.</t>
  </si>
  <si>
    <t>https://au.indeed.com/viewjob?from=iaBackPress&amp;jk=627c606995cd76ec&amp;vjs=3</t>
  </si>
  <si>
    <t>Are you related to an Arista employee, an employee of a Government Entity* OR any Arista Customer? &lt;br&gt;&lt;br&gt;Includes any elected or appointed official or employee of a government agency, any employee of a commercial entity that is government-controlled or owned, and any employee of a state-owned entity (e.g. public schools and universities, telephone companies, hospitals and healthcare organizations, military, and police)</t>
  </si>
  <si>
    <t>&lt;span&gt;Gender, Race and Ethnicity [(definitions)](https://smartrecruiters.com/oneclick-ui/resources/html/eeoGeneral?lang=en)&lt;br&gt;&lt;br&gt;Gender</t>
  </si>
  <si>
    <t>&lt;span&gt;Race/Ethnicity</t>
  </si>
  <si>
    <t>https://au.indeed.com/viewjob?from=iaBackPress&amp;jk=aa4829ec40db55a0&amp;vjs=3</t>
  </si>
  <si>
    <t xml:space="preserve">Please state your working rights / citizenships / PR status </t>
  </si>
  <si>
    <t>https://au.indeed.com/viewjob?from=iaBackPress&amp;jk=59748a463b6f36ae&amp;vjs=3</t>
  </si>
  <si>
    <t>https://au.indeed.com/viewjob?from=iaBackPress&amp;jk=78d9624fe7590315&amp;vjs=3</t>
  </si>
  <si>
    <t>https://au.indeed.com/viewjob?from=iaBackPress&amp;jk=a01cd9a8819fdb6d&amp;vjs=3</t>
  </si>
  <si>
    <t>https://au.indeed.com/viewjob?from=iaBackPress&amp;jk=68c5d8270bd11ecf&amp;vjs=3</t>
  </si>
  <si>
    <t>https://au.indeed.com/viewjob?from=iaBackPress&amp;jk=29f65e39b9473cab&amp;vjs=3</t>
  </si>
  <si>
    <t>Do you have the following licence or certification: Drivers?</t>
  </si>
  <si>
    <t>Blackstone Technology Pty Ltd T/A Swimart Rosebay</t>
  </si>
  <si>
    <t>None;High School (Year 9-11);High School (Year 12);Certificate I - IV;Diploma;Advanced Diploma / Associate Degree;Bachelor Degree;Graduate Certificate / Graduate Diploma;Bachelor Degree (Hons);Masters Degree;Doctoral Degree</t>
  </si>
  <si>
    <t>https://au.indeed.com/viewjob?from=iaBackPress&amp;jk=02edf59ddb1a3d78&amp;vjs=3</t>
  </si>
  <si>
    <t>&lt;span&gt;Preferred pronoun (to be shared with the recruiter, hiring manager, and/or interviewers)</t>
  </si>
  <si>
    <t>&lt;span&gt;Option to write in preferred pronoun (if needed)</t>
  </si>
  <si>
    <t>&lt;span&gt;If you answered "Yes" to the question above, please enter your dates of employment.</t>
  </si>
  <si>
    <t>&lt;span&gt;If you answered "Yes" to the question above, please enter your dates of contract engagement or work through agency.</t>
  </si>
  <si>
    <t>https://au.indeed.com/viewjob?from=iaBackPress&amp;jk=c9a5d49c9357af07&amp;vjs=3</t>
  </si>
  <si>
    <t>&lt;span&gt;Do you have a background in Computer Science or IT?</t>
  </si>
  <si>
    <t>&lt;span&gt;At what level are your English skills?</t>
  </si>
  <si>
    <t>&lt;span&gt;What is your notice period for your current position?</t>
  </si>
  <si>
    <t>&lt;span&gt;What is your total salary expectation? (EUR)</t>
  </si>
  <si>
    <t>Arista Networks</t>
  </si>
  <si>
    <t>&lt;span&gt;Are you authorized to work in the job's location?</t>
  </si>
  <si>
    <t>&lt;span&gt;What kind of work permit do you have?</t>
  </si>
  <si>
    <t>&lt;span&gt;your gender</t>
  </si>
  <si>
    <t>AXIONiQ</t>
  </si>
  <si>
    <t>https://au.indeed.com/viewjob?from=iaBackPress&amp;jk=3da80f9020d632f3&amp;vjs=3</t>
  </si>
  <si>
    <t>&lt;span&gt;How did you learn about this job?</t>
  </si>
  <si>
    <t>&lt;span&gt;If you answered MongoDB Employee, MongoDB Event, or Other, please specify here:</t>
  </si>
  <si>
    <t>Please indicate whether you are a citizen of any of the following countries: Cuba, Iran, North Korea, Sudan, Syria in order to help Arista determine whether it may need to obtain an export license before it can disclose controlled technology to you.</t>
  </si>
  <si>
    <t xml:space="preserve">By pressing continue, you will declare that you read and agree to Arista Networks's </t>
  </si>
  <si>
    <t>Cover Letter</t>
  </si>
  <si>
    <t xml:space="preserve">How many years of managing a team / project do you have? </t>
  </si>
  <si>
    <t xml:space="preserve">Are you currently in Australia? </t>
  </si>
  <si>
    <t>Olympus Technology Services Pty Ltd</t>
  </si>
  <si>
    <t>Yes - Permanently with no restrictions;Yes - Temporarily with no restrictions;Yes - Temporarily with restrictions;No - I require sponsorship</t>
  </si>
  <si>
    <t>None, I'm ready to go now;1 week;2 weeks;3 weeks;4 weeks;5 weeks;6 or more weeks</t>
  </si>
  <si>
    <t xml:space="preserve">50,000 - 60,000;60,000 - 70,000;70,000 - 80,000;80,000 - 90,000;90,000 - 100,000;100,000 - 120,000;120,000 - 140,000;140,000 - 160,000;160,000 - 180,000;180,000 + </t>
  </si>
  <si>
    <t>Completed Year 9 - 11;Completed High School (Year 12);Certificate I;Certificate II;Certificate III;Certificate IV;Diploma;Advanced Diploma;Associate Degree;Bachelor Degree;Bachelor Degree (Honours);Graduate Certificate;Graduate Diploma;Masters Degree;Doctoral Degree</t>
  </si>
  <si>
    <t>Complete Recruitment Solutions</t>
  </si>
  <si>
    <t>Corin</t>
  </si>
  <si>
    <t>Johnathan Thurston Academy</t>
  </si>
  <si>
    <t>Email;Phone;Post</t>
  </si>
  <si>
    <t>Hearing/Deaf;Physical;Intellectual;Learning;Mental Illness;Acquired Brain Impairment;Vision;Medical Condition;Others</t>
  </si>
  <si>
    <t>Full Time Employee;Part Time Employee;Casual/Contractor;Self Employed (Not employing others);Self Employed (Employing others);Employed (Not paid work);Unemployed (Seeking full time work);Unemployed (Seeking part time work);Unemployed (seeking part time work)</t>
  </si>
  <si>
    <t>SD Group</t>
  </si>
  <si>
    <t>Ricardo Rail Australia</t>
  </si>
  <si>
    <t>Are you related to an Arista employee, an employee of a Government Entity* OR any Arista Customer? Includes any elected or appointed official or employee of a government agency, any employee of a commercial entity that is government-controlled or owned, and any employee of a state-owned entity (e.g. public schools and universities, telephone companies, hospitals and healthcare organizations, military, and police)</t>
  </si>
  <si>
    <t>Meinhardt-Bonacci</t>
  </si>
  <si>
    <t>Occulus International</t>
  </si>
  <si>
    <t>Olympia Homes Pty Ltd</t>
  </si>
  <si>
    <t>Do you have the following licence or certification: driving?</t>
  </si>
  <si>
    <t>Geovert</t>
  </si>
  <si>
    <t>CMD Solutions</t>
  </si>
  <si>
    <t>Rokt</t>
  </si>
  <si>
    <t>blueAPACHE</t>
  </si>
  <si>
    <t>[Ljava.lang.Object;@262958da</t>
  </si>
  <si>
    <t>[Ljava.lang.Object;@19f43434</t>
  </si>
  <si>
    <t>BigCommerce</t>
  </si>
  <si>
    <t>[Ljava.lang.Object;@5b66a54e</t>
  </si>
  <si>
    <t>[Ljava.lang.Object;@3e4fc702</t>
  </si>
  <si>
    <t>[Ljava.lang.Object;@4590f438</t>
  </si>
  <si>
    <t>[Ljava.lang.Object;@3042e5af</t>
  </si>
  <si>
    <t>[Ljava.lang.Object;@78954ae5</t>
  </si>
  <si>
    <t>Complete Onsite Group</t>
  </si>
  <si>
    <t>[Ljava.lang.Object;@72b1d2b1</t>
  </si>
  <si>
    <t>[Ljava.lang.Object;@7c8b55e5</t>
  </si>
  <si>
    <t>[Ljava.lang.Object;@8b50176</t>
  </si>
  <si>
    <t>Trade Sphere Group Pty LTd</t>
  </si>
  <si>
    <t>Do you have the following licence or certification: Australian driver's licence?</t>
  </si>
  <si>
    <t>[Ljava.lang.Object;@372a59db</t>
  </si>
  <si>
    <t>Do you have your a current Drivers licence and your own transport?</t>
  </si>
  <si>
    <t>[Ljava.lang.Object;@5bb69e18</t>
  </si>
  <si>
    <t>How did you hear about this job?</t>
  </si>
  <si>
    <t>[Ljava.lang.Object;@3ba838e4</t>
  </si>
  <si>
    <t>How many years of team leader experience do you have?</t>
  </si>
  <si>
    <t>[Ljava.lang.Object;@5c2ad1ee</t>
  </si>
  <si>
    <t>[Ljava.lang.Object;@29196578</t>
  </si>
  <si>
    <t>Core Electronics</t>
  </si>
  <si>
    <t>Are you in Newcastle NSW?</t>
  </si>
  <si>
    <t>[Ljava.lang.Object;@498d477b</t>
  </si>
  <si>
    <t>ProForm Foods</t>
  </si>
  <si>
    <t>How many years of Product Design experience do you have?</t>
  </si>
  <si>
    <t>[Ljava.lang.Object;@5a350eb6</t>
  </si>
  <si>
    <t>[Ljava.lang.Object;@1491c94d</t>
  </si>
  <si>
    <t>Wargaming CIS</t>
  </si>
  <si>
    <t>Do you have full rights to live and work in Australia?</t>
  </si>
  <si>
    <t>[Ljava.lang.Object;@3a26fb16</t>
  </si>
  <si>
    <t>Wargaming</t>
  </si>
  <si>
    <t>[Ljava.lang.Object;@4b96ae44</t>
  </si>
  <si>
    <t>A key step in Rokt's recruitment process for this role is an aptitude test to help ensure you have the right skills. Are you happy to complete this test?</t>
  </si>
  <si>
    <t>[Ljava.lang.Object;@6879e0e3</t>
  </si>
  <si>
    <t>Are you in Sydney NSW?</t>
  </si>
  <si>
    <t>[Ljava.lang.Object;@390c2376</t>
  </si>
  <si>
    <t>[Ljava.lang.Object;@281c6633</t>
  </si>
  <si>
    <t>Studco Building Systems</t>
  </si>
  <si>
    <t>Address</t>
  </si>
  <si>
    <t>[Ljava.lang.Object;@277a011c</t>
  </si>
  <si>
    <t>BlueScope</t>
  </si>
  <si>
    <t>Have you ever been employed by BlueScope?</t>
  </si>
  <si>
    <t>[Ljava.lang.Object;@6492c9e5</t>
  </si>
  <si>
    <t>ProForm Gourmet Pty Limited</t>
  </si>
  <si>
    <t>[Ljava.lang.Object;@67c23ff4</t>
  </si>
  <si>
    <t>[Ljava.lang.Object;@2d0bf74d</t>
  </si>
  <si>
    <t>Which Wargaming offices would you be interested in?</t>
  </si>
  <si>
    <t>[Ljava.lang.Object;@4f3e7dca</t>
  </si>
  <si>
    <t>[Ljava.lang.Object;@3fee06b9</t>
  </si>
  <si>
    <t>[Ljava.lang.Object;@1b1d6108</t>
  </si>
  <si>
    <t>[Ljava.lang.Object;@b7895e7</t>
  </si>
  <si>
    <t>[Ljava.lang.Object;@79dfc6d9</t>
  </si>
  <si>
    <t>A key step in Rokt's recruitment process for this role is an aptitude assessment to help ensure you have the right skills. Are you happy to complete this assessment?</t>
  </si>
  <si>
    <t>[Ljava.lang.Object;@68be0634</t>
  </si>
  <si>
    <t>[Ljava.lang.Object;@4e5361c7</t>
  </si>
  <si>
    <t>[Ljava.lang.Object;@3840d50f</t>
  </si>
  <si>
    <t>[Ljava.lang.Object;@1c0462a4</t>
  </si>
  <si>
    <t>RecordPoint</t>
  </si>
  <si>
    <t>Apptio</t>
  </si>
  <si>
    <t>HashiCorp</t>
  </si>
  <si>
    <t>Pegatron Service Australia PTY LTD</t>
  </si>
  <si>
    <t>How many years of Quality Engineer experience do you have?</t>
  </si>
  <si>
    <t>Do you have a current Australian driver's licence?</t>
  </si>
  <si>
    <t>RECRUITAUSTRALIA</t>
  </si>
  <si>
    <t>How many years of CNC Machinist experience do you have?</t>
  </si>
  <si>
    <t>[Ljava.lang.Object;@14502c7e</t>
  </si>
  <si>
    <t>RC CIVIL CONTRACTORS PTY LTD</t>
  </si>
  <si>
    <t>How many years of Civil works experience do you have?</t>
  </si>
  <si>
    <t>Telnyx</t>
  </si>
  <si>
    <t>Will you need visa sponsorship?</t>
  </si>
  <si>
    <t>[Ljava.lang.Object;@6f986e5c</t>
  </si>
  <si>
    <t>Deltatre</t>
  </si>
  <si>
    <t>When are you available to start?</t>
  </si>
  <si>
    <t>Screenshot</t>
  </si>
  <si>
    <t>Business Analyst</t>
  </si>
  <si>
    <t>Unaswered Questions</t>
  </si>
  <si>
    <t>https://au.indeed.com/viewjob?from=iaBackPress&amp;jk=7aec29d2c741923a&amp;vjs=3</t>
  </si>
  <si>
    <t>https://au.indeed.com/viewjob?from=iaBackPress&amp;jk=a5c3625418ff39a4&amp;vjs=3</t>
  </si>
  <si>
    <t>https://au.indeed.com/viewjob?from=iaBackPress&amp;jk=4c2d8cf0d15aca77&amp;vjs=3</t>
  </si>
  <si>
    <t>https://au.indeed.com/viewjob?from=iaBackPress&amp;jk=453e1064f40b155a&amp;vjs=3</t>
  </si>
  <si>
    <t>New Directions Australia</t>
  </si>
  <si>
    <t>Info</t>
  </si>
  <si>
    <t>Morse Micro</t>
  </si>
  <si>
    <t>Better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</si>
</sst>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-d h:mm:ss"/>
  </numFmts>
  <fonts count="18">
    <font>
      <sz val="10.0"/>
      <color rgb="FF000000"/>
      <name val="Arial"/>
    </font>
    <font>
      <sz val="14.0"/>
      <color rgb="FFFFFFFF"/>
      <name val="Roboto"/>
    </font>
    <font>
      <sz val="11.0"/>
      <color rgb="FF000000"/>
      <name val="Roboto"/>
    </font>
    <font>
      <sz val="11.0"/>
      <color theme="1"/>
      <name val="Roboto"/>
    </font>
    <font>
      <color theme="1"/>
      <name val="Arial"/>
    </font>
    <font>
      <b/>
      <sz val="12.0"/>
      <color rgb="FFFFFFFF"/>
      <name val="Roboto"/>
    </font>
    <font>
      <b/>
      <color rgb="FF000000"/>
      <name val="Arial"/>
    </font>
    <font>
      <color rgb="FF434343"/>
      <name val="Arial"/>
    </font>
    <font>
      <name val="Arial"/>
    </font>
    <font>
      <color rgb="FF434343"/>
      <name val="Calibri"/>
    </font>
    <font>
      <color rgb="FF434343"/>
      <name val="Roboto"/>
    </font>
    <font>
      <u/>
      <sz val="11.0"/>
      <color rgb="FF000000"/>
      <name val="Roboto"/>
    </font>
    <font>
      <u/>
      <sz val="11.0"/>
      <color rgb="FF0000FF"/>
      <name val="Roboto"/>
    </font>
    <font>
      <u/>
      <sz val="11.0"/>
      <color rgb="FF000000"/>
      <name val="Roboto"/>
    </font>
    <font>
      <u/>
      <sz val="11.0"/>
      <color rgb="FF0000FF"/>
      <name val="Roboto"/>
    </font>
    <font>
      <sz val="14.0"/>
      <color rgb="FF000000"/>
      <name val="Roboto"/>
    </font>
    <font>
      <u/>
      <sz val="11.0"/>
      <color rgb="FF1155CC"/>
      <name val="Roboto"/>
    </font>
    <font>
      <u/>
      <sz val="11.0"/>
      <color rgb="FF0000FF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90" vertical="bottom"/>
    </xf>
    <xf borderId="1" fillId="2" fontId="1" numFmtId="0" xfId="0" applyAlignment="1" applyBorder="1" applyFont="1">
      <alignment horizontal="center" readingOrder="0" textRotation="90" vertical="bottom"/>
    </xf>
    <xf borderId="0" fillId="3" fontId="1" numFmtId="0" xfId="0" applyAlignment="1" applyFill="1" applyFont="1">
      <alignment horizontal="center" textRotation="90" vertical="bottom"/>
    </xf>
    <xf borderId="2" fillId="3" fontId="1" numFmtId="0" xfId="0" applyAlignment="1" applyBorder="1" applyFont="1">
      <alignment horizontal="center" textRotation="90" vertical="bottom"/>
    </xf>
    <xf borderId="1" fillId="3" fontId="1" numFmtId="0" xfId="0" applyAlignment="1" applyBorder="1" applyFont="1">
      <alignment horizontal="center" readingOrder="0" textRotation="90" vertical="bottom"/>
    </xf>
    <xf borderId="2" fillId="3" fontId="1" numFmtId="0" xfId="0" applyAlignment="1" applyBorder="1" applyFont="1">
      <alignment horizontal="center" readingOrder="0" textRotation="90" vertical="bottom"/>
    </xf>
    <xf borderId="2" fillId="4" fontId="1" numFmtId="0" xfId="0" applyAlignment="1" applyBorder="1" applyFill="1" applyFont="1">
      <alignment horizontal="center" readingOrder="0" textRotation="90" vertical="bottom"/>
    </xf>
    <xf borderId="2" fillId="4" fontId="1" numFmtId="0" xfId="0" applyAlignment="1" applyBorder="1" applyFont="1">
      <alignment horizontal="center" textRotation="9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5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6" fontId="2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/>
    </xf>
    <xf borderId="0" fillId="0" fontId="7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2" fillId="0" fontId="7" numFmtId="0" xfId="0" applyAlignment="1" applyBorder="1" applyFont="1">
      <alignment shrinkToFit="0" vertical="bottom" wrapText="0"/>
    </xf>
    <xf borderId="2" fillId="0" fontId="10" numFmtId="0" xfId="0" applyAlignment="1" applyBorder="1" applyFont="1">
      <alignment shrinkToFit="0" vertical="bottom" wrapText="0"/>
    </xf>
    <xf borderId="0" fillId="6" fontId="7" numFmtId="0" xfId="0" applyAlignment="1" applyFont="1">
      <alignment vertical="bottom"/>
    </xf>
    <xf borderId="2" fillId="0" fontId="8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center"/>
    </xf>
    <xf borderId="0" fillId="0" fontId="12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13" numFmtId="0" xfId="0" applyFont="1"/>
    <xf borderId="0" fillId="0" fontId="3" numFmtId="165" xfId="0" applyAlignment="1" applyFont="1" applyNumberFormat="1">
      <alignment readingOrder="0"/>
    </xf>
    <xf borderId="0" fillId="0" fontId="14" numFmtId="0" xfId="0" applyFont="1"/>
    <xf borderId="0" fillId="0" fontId="3" numFmtId="164" xfId="0" applyAlignment="1" applyFont="1" applyNumberFormat="1">
      <alignment horizontal="center" readingOrder="0" vertical="center"/>
    </xf>
    <xf borderId="1" fillId="3" fontId="15" numFmtId="0" xfId="0" applyAlignment="1" applyBorder="1" applyFont="1">
      <alignment horizontal="center" readingOrder="0"/>
    </xf>
    <xf borderId="1" fillId="3" fontId="15" numFmtId="0" xfId="0" applyAlignment="1" applyBorder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 readingOrder="0" vertical="center"/>
    </xf>
    <xf borderId="0" fillId="7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6" numFmtId="0" xfId="0" applyAlignment="1" applyFont="1">
      <alignment vertical="bottom"/>
    </xf>
    <xf borderId="0" fillId="0" fontId="3" numFmtId="165" xfId="0" applyAlignment="1" applyFont="1" applyNumberFormat="1">
      <alignment horizontal="center" vertical="center"/>
    </xf>
    <xf borderId="0" fillId="0" fontId="17" numFmtId="0" xfId="0" applyAlignment="1" applyFont="1">
      <alignment horizontal="left" readingOrder="0" vertical="center"/>
    </xf>
    <xf borderId="0" fillId="0" fontId="4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au.indeed.com/viewjob?from=iaBackPress&amp;jk=365edd41b16452fa&amp;vjs=3" TargetMode="External"/><Relationship Id="rId42" Type="http://schemas.openxmlformats.org/officeDocument/2006/relationships/hyperlink" Target="https://au.indeed.com/viewjob?from=iaBackPress&amp;jk=fe9cac2307aa11ab&amp;vjs=3" TargetMode="External"/><Relationship Id="rId41" Type="http://schemas.openxmlformats.org/officeDocument/2006/relationships/hyperlink" Target="https://au.indeed.com/viewjob?from=iaBackPress&amp;jk=0ad80b11f719cb21&amp;vjs=3" TargetMode="External"/><Relationship Id="rId44" Type="http://schemas.openxmlformats.org/officeDocument/2006/relationships/hyperlink" Target="https://au.indeed.com/viewjob?from=iaBackPress&amp;jk=68c057bc1ff1c3e7&amp;vjs=3" TargetMode="External"/><Relationship Id="rId43" Type="http://schemas.openxmlformats.org/officeDocument/2006/relationships/hyperlink" Target="https://au.indeed.com/viewjob?from=iaBackPress&amp;jk=fffac276b2c59b80&amp;vjs=3" TargetMode="External"/><Relationship Id="rId46" Type="http://schemas.openxmlformats.org/officeDocument/2006/relationships/hyperlink" Target="https://au.indeed.com/viewjob?from=iaBackPress&amp;jk=cc4feaf86a843894&amp;vjs=3" TargetMode="External"/><Relationship Id="rId45" Type="http://schemas.openxmlformats.org/officeDocument/2006/relationships/hyperlink" Target="https://au.indeed.com/viewjob?from=iaBackPress&amp;jk=3630a84ecdd86c54&amp;vjs=3" TargetMode="External"/><Relationship Id="rId107" Type="http://schemas.openxmlformats.org/officeDocument/2006/relationships/hyperlink" Target="https://au.indeed.com/viewjob?from=iaBackPress&amp;jk=e917094acd8517c5&amp;vjs=3" TargetMode="External"/><Relationship Id="rId106" Type="http://schemas.openxmlformats.org/officeDocument/2006/relationships/hyperlink" Target="https://au.indeed.com/viewjob?from=iaBackPress&amp;jk=f5d9f8b73a375b95&amp;vjs=3" TargetMode="External"/><Relationship Id="rId105" Type="http://schemas.openxmlformats.org/officeDocument/2006/relationships/hyperlink" Target="https://au.indeed.com/viewjob?from=iaBackPress&amp;jk=98791c49501d8f10&amp;vjs=3" TargetMode="External"/><Relationship Id="rId104" Type="http://schemas.openxmlformats.org/officeDocument/2006/relationships/hyperlink" Target="https://au.indeed.com/viewjob?from=iaBackPress&amp;jk=da38c0c30ea002c6&amp;vjs=3" TargetMode="External"/><Relationship Id="rId109" Type="http://schemas.openxmlformats.org/officeDocument/2006/relationships/hyperlink" Target="https://au.indeed.com/viewjob?from=iaBackPress&amp;jk=13716f187b9d1aba&amp;vjs=3" TargetMode="External"/><Relationship Id="rId108" Type="http://schemas.openxmlformats.org/officeDocument/2006/relationships/hyperlink" Target="https://au.indeed.com/viewjob?from=iaBackPress&amp;jk=ac8bc82dcc8b763b&amp;vjs=3" TargetMode="External"/><Relationship Id="rId48" Type="http://schemas.openxmlformats.org/officeDocument/2006/relationships/hyperlink" Target="https://au.indeed.com/viewjob?from=iaBackPress&amp;jk=e5e09919549d735a&amp;vjs=3" TargetMode="External"/><Relationship Id="rId47" Type="http://schemas.openxmlformats.org/officeDocument/2006/relationships/hyperlink" Target="https://au.indeed.com/viewjob?from=iaBackPress&amp;jk=f53f6f57ca398a28&amp;vjs=3" TargetMode="External"/><Relationship Id="rId49" Type="http://schemas.openxmlformats.org/officeDocument/2006/relationships/hyperlink" Target="https://au.indeed.com/viewjob?from=iaBackPress&amp;jk=90d91626f3e50020&amp;vjs=3" TargetMode="External"/><Relationship Id="rId103" Type="http://schemas.openxmlformats.org/officeDocument/2006/relationships/hyperlink" Target="https://au.indeed.com/viewjob?from=iaBackPress&amp;jk=254c6be9b6aae7cf&amp;vjs=3" TargetMode="External"/><Relationship Id="rId102" Type="http://schemas.openxmlformats.org/officeDocument/2006/relationships/hyperlink" Target="https://au.indeed.com/viewjob?from=iaBackPress&amp;jk=ceec5a6ecb88e0d8&amp;vjs=3" TargetMode="External"/><Relationship Id="rId101" Type="http://schemas.openxmlformats.org/officeDocument/2006/relationships/hyperlink" Target="https://au.indeed.com/viewjob?from=iaBackPress&amp;jk=7ce6c9ad040cd2e6&amp;vjs=3" TargetMode="External"/><Relationship Id="rId100" Type="http://schemas.openxmlformats.org/officeDocument/2006/relationships/hyperlink" Target="https://au.indeed.com/viewjob?from=iaBackPress&amp;jk=96b588263c169d89&amp;vjs=3" TargetMode="External"/><Relationship Id="rId31" Type="http://schemas.openxmlformats.org/officeDocument/2006/relationships/hyperlink" Target="https://au.indeed.com/viewjob?from=iaBackPress&amp;jk=9dddf907bbcd410d&amp;vjs=3" TargetMode="External"/><Relationship Id="rId30" Type="http://schemas.openxmlformats.org/officeDocument/2006/relationships/hyperlink" Target="https://au.indeed.com/viewjob?from=iaBackPress&amp;jk=92b03fadfdc78008&amp;vjs=3" TargetMode="External"/><Relationship Id="rId33" Type="http://schemas.openxmlformats.org/officeDocument/2006/relationships/hyperlink" Target="https://au.indeed.com/viewjob?from=iaBackPress&amp;jk=1f06a3fa302b76a2&amp;vjs=3" TargetMode="External"/><Relationship Id="rId32" Type="http://schemas.openxmlformats.org/officeDocument/2006/relationships/hyperlink" Target="https://au.indeed.com/viewjob?from=iaBackPress&amp;jk=8700996372bcb34b&amp;vjs=3" TargetMode="External"/><Relationship Id="rId35" Type="http://schemas.openxmlformats.org/officeDocument/2006/relationships/hyperlink" Target="https://au.indeed.com/viewjob?from=iaBackPress&amp;jk=849eddd3ec7ec43a&amp;vjs=3" TargetMode="External"/><Relationship Id="rId34" Type="http://schemas.openxmlformats.org/officeDocument/2006/relationships/hyperlink" Target="https://au.indeed.com/viewjob?from=iaBackPress&amp;jk=346b7b28d49cc198&amp;vjs=3" TargetMode="External"/><Relationship Id="rId37" Type="http://schemas.openxmlformats.org/officeDocument/2006/relationships/hyperlink" Target="https://au.indeed.com/viewjob?from=iaBackPress&amp;jk=24380f2d8466955b&amp;vjs=3" TargetMode="External"/><Relationship Id="rId36" Type="http://schemas.openxmlformats.org/officeDocument/2006/relationships/hyperlink" Target="https://au.indeed.com/viewjob?from=iaBackPress&amp;jk=f8ba17c0ae7e343e&amp;vjs=3" TargetMode="External"/><Relationship Id="rId39" Type="http://schemas.openxmlformats.org/officeDocument/2006/relationships/hyperlink" Target="https://au.indeed.com/viewjob?from=iaBackPress&amp;jk=212f1bb7978a4407&amp;vjs=3" TargetMode="External"/><Relationship Id="rId38" Type="http://schemas.openxmlformats.org/officeDocument/2006/relationships/hyperlink" Target="https://au.indeed.com/viewjob?from=iaBackPress&amp;jk=9f5f977c64246e44&amp;vjs=3" TargetMode="External"/><Relationship Id="rId20" Type="http://schemas.openxmlformats.org/officeDocument/2006/relationships/hyperlink" Target="https://au.indeed.com/viewjob?from=iaBackPress&amp;jk=cf3e2f0b0b1f78c4&amp;vjs=3" TargetMode="External"/><Relationship Id="rId22" Type="http://schemas.openxmlformats.org/officeDocument/2006/relationships/hyperlink" Target="https://au.indeed.com/viewjob?from=iaBackPress&amp;jk=204530b226e71601&amp;vjs=3" TargetMode="External"/><Relationship Id="rId21" Type="http://schemas.openxmlformats.org/officeDocument/2006/relationships/hyperlink" Target="https://au.indeed.com/viewjob?from=iaBackPress&amp;jk=82effc341243299f&amp;vjs=3" TargetMode="External"/><Relationship Id="rId24" Type="http://schemas.openxmlformats.org/officeDocument/2006/relationships/hyperlink" Target="https://au.indeed.com/viewjob?from=iaBackPress&amp;jk=5db683043d2067e4&amp;vjs=3" TargetMode="External"/><Relationship Id="rId23" Type="http://schemas.openxmlformats.org/officeDocument/2006/relationships/hyperlink" Target="https://au.indeed.com/viewjob?from=iaBackPress&amp;jk=d3b2dac0812ecf19&amp;vjs=3" TargetMode="External"/><Relationship Id="rId26" Type="http://schemas.openxmlformats.org/officeDocument/2006/relationships/hyperlink" Target="https://au.indeed.com/viewjob?from=iaBackPress&amp;jk=83b68d70ba016cd4&amp;vjs=3" TargetMode="External"/><Relationship Id="rId25" Type="http://schemas.openxmlformats.org/officeDocument/2006/relationships/hyperlink" Target="https://au.indeed.com/viewjob?from=iaBackPress&amp;jk=5e061b4f85e3cf5d&amp;vjs=3" TargetMode="External"/><Relationship Id="rId28" Type="http://schemas.openxmlformats.org/officeDocument/2006/relationships/hyperlink" Target="https://au.indeed.com/viewjob?from=iaBackPress&amp;jk=2d547a7cfb798b24&amp;vjs=3" TargetMode="External"/><Relationship Id="rId27" Type="http://schemas.openxmlformats.org/officeDocument/2006/relationships/hyperlink" Target="https://au.indeed.com/viewjob?from=iaBackPress&amp;jk=ca1ed932c6e6fb04&amp;vjs=3" TargetMode="External"/><Relationship Id="rId29" Type="http://schemas.openxmlformats.org/officeDocument/2006/relationships/hyperlink" Target="https://au.indeed.com/viewjob?from=iaBackPress&amp;jk=6f0210a238d76a34&amp;vjs=3" TargetMode="External"/><Relationship Id="rId95" Type="http://schemas.openxmlformats.org/officeDocument/2006/relationships/hyperlink" Target="https://au.indeed.com/viewjob?from=iaBackPress&amp;jk=0338fb73c3661369&amp;vjs=3" TargetMode="External"/><Relationship Id="rId94" Type="http://schemas.openxmlformats.org/officeDocument/2006/relationships/hyperlink" Target="https://au.indeed.com/viewjob?from=iaBackPress&amp;jk=3d25f3e08b934c81&amp;vjs=3" TargetMode="External"/><Relationship Id="rId97" Type="http://schemas.openxmlformats.org/officeDocument/2006/relationships/hyperlink" Target="https://au.indeed.com/viewjob?from=iaBackPress&amp;jk=2246988f4e19f00f&amp;vjs=3" TargetMode="External"/><Relationship Id="rId96" Type="http://schemas.openxmlformats.org/officeDocument/2006/relationships/hyperlink" Target="https://au.indeed.com/viewjob?from=iaBackPress&amp;jk=40127c4e274d3291&amp;vjs=3" TargetMode="External"/><Relationship Id="rId11" Type="http://schemas.openxmlformats.org/officeDocument/2006/relationships/hyperlink" Target="https://au.indeed.com/viewjob?from=iaBackPress&amp;jk=0f26078b3db406c6&amp;vjs=3" TargetMode="External"/><Relationship Id="rId99" Type="http://schemas.openxmlformats.org/officeDocument/2006/relationships/hyperlink" Target="https://au.indeed.com/viewjob?from=iaBackPress&amp;jk=81d7c53700c4b351&amp;vjs=3" TargetMode="External"/><Relationship Id="rId10" Type="http://schemas.openxmlformats.org/officeDocument/2006/relationships/hyperlink" Target="https://au.indeed.com/viewjob?from=iaBackPress&amp;jk=086f20d1d82f3061&amp;vjs=3" TargetMode="External"/><Relationship Id="rId98" Type="http://schemas.openxmlformats.org/officeDocument/2006/relationships/hyperlink" Target="https://au.indeed.com/viewjob?from=iaBackPress&amp;jk=6761fdc27ca34383&amp;vjs=3" TargetMode="External"/><Relationship Id="rId13" Type="http://schemas.openxmlformats.org/officeDocument/2006/relationships/hyperlink" Target="https://au.indeed.com/viewjob?from=iaBackPress&amp;jk=9c408031ac0ce648&amp;vjs=3" TargetMode="External"/><Relationship Id="rId12" Type="http://schemas.openxmlformats.org/officeDocument/2006/relationships/hyperlink" Target="https://au.indeed.com/viewjob?from=iaBackPress&amp;jk=543d28224e3e7ee9&amp;vjs=3" TargetMode="External"/><Relationship Id="rId91" Type="http://schemas.openxmlformats.org/officeDocument/2006/relationships/hyperlink" Target="https://au.indeed.com/viewjob?from=iaBackPress&amp;jk=6fe395b806ecd96c&amp;vjs=3" TargetMode="External"/><Relationship Id="rId90" Type="http://schemas.openxmlformats.org/officeDocument/2006/relationships/hyperlink" Target="https://au.indeed.com/viewjob?from=iaBackPress&amp;jk=e31e3de5b15cae12&amp;vjs=3" TargetMode="External"/><Relationship Id="rId93" Type="http://schemas.openxmlformats.org/officeDocument/2006/relationships/hyperlink" Target="https://au.indeed.com/viewjob?from=iaBackPress&amp;jk=563d4edf523a6b62&amp;vjs=3" TargetMode="External"/><Relationship Id="rId92" Type="http://schemas.openxmlformats.org/officeDocument/2006/relationships/hyperlink" Target="https://au.indeed.com/viewjob?from=iaBackPress&amp;jk=40c1275d9c40de56&amp;vjs=3" TargetMode="External"/><Relationship Id="rId116" Type="http://schemas.openxmlformats.org/officeDocument/2006/relationships/drawing" Target="../drawings/drawing6.xml"/><Relationship Id="rId115" Type="http://schemas.openxmlformats.org/officeDocument/2006/relationships/hyperlink" Target="https://au.indeed.com/viewjob?from=iaBackPress&amp;jk=4fe7d24883daed56&amp;vjs=3" TargetMode="External"/><Relationship Id="rId15" Type="http://schemas.openxmlformats.org/officeDocument/2006/relationships/hyperlink" Target="https://au.indeed.com/viewjob?from=iaBackPress&amp;jk=ebd3bcda5c7dd12e&amp;vjs=3" TargetMode="External"/><Relationship Id="rId110" Type="http://schemas.openxmlformats.org/officeDocument/2006/relationships/hyperlink" Target="https://au.indeed.com/viewjob?from=iaBackPress&amp;jk=dd02abdac108d08b&amp;vjs=3" TargetMode="External"/><Relationship Id="rId14" Type="http://schemas.openxmlformats.org/officeDocument/2006/relationships/hyperlink" Target="https://au.indeed.com/viewjob?from=iaBackPress&amp;jk=99a0bc7f5ee00c5a&amp;vjs=3" TargetMode="External"/><Relationship Id="rId17" Type="http://schemas.openxmlformats.org/officeDocument/2006/relationships/hyperlink" Target="https://au.indeed.com/viewjob?from=iaBackPress&amp;jk=b925ec7b6c7cf6bc&amp;vjs=3" TargetMode="External"/><Relationship Id="rId16" Type="http://schemas.openxmlformats.org/officeDocument/2006/relationships/hyperlink" Target="https://au.indeed.com/viewjob?from=iaBackPress&amp;jk=1911500586082b1e&amp;vjs=3" TargetMode="External"/><Relationship Id="rId19" Type="http://schemas.openxmlformats.org/officeDocument/2006/relationships/hyperlink" Target="https://au.indeed.com/viewjob?from=iaBackPress&amp;jk=b640e810d652ad08&amp;vjs=3" TargetMode="External"/><Relationship Id="rId114" Type="http://schemas.openxmlformats.org/officeDocument/2006/relationships/hyperlink" Target="https://au.indeed.com/viewjob?from=iaBackPress&amp;jk=2eb61e93bfa7507e&amp;vjs=3" TargetMode="External"/><Relationship Id="rId18" Type="http://schemas.openxmlformats.org/officeDocument/2006/relationships/hyperlink" Target="https://au.indeed.com/viewjob?from=iaBackPress&amp;jk=e32099c2b2ce8634&amp;vjs=3" TargetMode="External"/><Relationship Id="rId113" Type="http://schemas.openxmlformats.org/officeDocument/2006/relationships/hyperlink" Target="https://au.indeed.com/viewjob?from=iaBackPress&amp;jk=685d0bf9fd9b6ab1&amp;vjs=3" TargetMode="External"/><Relationship Id="rId112" Type="http://schemas.openxmlformats.org/officeDocument/2006/relationships/hyperlink" Target="https://au.indeed.com/viewjob?from=iaBackPress&amp;jk=91cfe133b1753a32&amp;vjs=3" TargetMode="External"/><Relationship Id="rId111" Type="http://schemas.openxmlformats.org/officeDocument/2006/relationships/hyperlink" Target="https://au.indeed.com/viewjob?from=iaBackPress&amp;jk=7f9709dc7a794e61&amp;vjs=3" TargetMode="External"/><Relationship Id="rId84" Type="http://schemas.openxmlformats.org/officeDocument/2006/relationships/hyperlink" Target="https://au.indeed.com/viewjob?from=iaBackPress&amp;jk=2ba2b98675973039&amp;vjs=3" TargetMode="External"/><Relationship Id="rId83" Type="http://schemas.openxmlformats.org/officeDocument/2006/relationships/hyperlink" Target="https://au.indeed.com/viewjob?from=iaBackPress&amp;jk=e519f4099da0cc28&amp;vjs=3" TargetMode="External"/><Relationship Id="rId86" Type="http://schemas.openxmlformats.org/officeDocument/2006/relationships/hyperlink" Target="https://au.indeed.com/viewjob?from=iaBackPress&amp;jk=6a73db111f460fd8&amp;vjs=3" TargetMode="External"/><Relationship Id="rId85" Type="http://schemas.openxmlformats.org/officeDocument/2006/relationships/hyperlink" Target="https://au.indeed.com/viewjob?from=iaBackPress&amp;jk=60eb6eb6f552f672&amp;vjs=3" TargetMode="External"/><Relationship Id="rId88" Type="http://schemas.openxmlformats.org/officeDocument/2006/relationships/hyperlink" Target="https://au.indeed.com/viewjob?from=iaBackPress&amp;jk=80161c1eac631fc3&amp;vjs=3" TargetMode="External"/><Relationship Id="rId87" Type="http://schemas.openxmlformats.org/officeDocument/2006/relationships/hyperlink" Target="https://au.indeed.com/viewjob?from=iaBackPress&amp;jk=0ab772ac8dba6940&amp;vjs=3" TargetMode="External"/><Relationship Id="rId89" Type="http://schemas.openxmlformats.org/officeDocument/2006/relationships/hyperlink" Target="https://au.indeed.com/viewjob?from=iaBackPress&amp;jk=436056bfd5332005&amp;vjs=3" TargetMode="External"/><Relationship Id="rId80" Type="http://schemas.openxmlformats.org/officeDocument/2006/relationships/hyperlink" Target="https://au.indeed.com/viewjob?from=iaBackPress&amp;jk=e3897416bac04ca8&amp;vjs=3" TargetMode="External"/><Relationship Id="rId82" Type="http://schemas.openxmlformats.org/officeDocument/2006/relationships/hyperlink" Target="https://au.indeed.com/viewjob?from=iaBackPress&amp;jk=1a74aee14cced600&amp;vjs=3" TargetMode="External"/><Relationship Id="rId81" Type="http://schemas.openxmlformats.org/officeDocument/2006/relationships/hyperlink" Target="https://au.indeed.com/viewjob?from=iaBackPress&amp;jk=2e88d0cb31bca239&amp;vjs=3" TargetMode="External"/><Relationship Id="rId1" Type="http://schemas.openxmlformats.org/officeDocument/2006/relationships/hyperlink" Target="https://au.indeed.com/viewjob?from=iaBackPress&amp;jk=221817e4d9de1887&amp;vjs=3" TargetMode="External"/><Relationship Id="rId2" Type="http://schemas.openxmlformats.org/officeDocument/2006/relationships/hyperlink" Target="https://au.indeed.com/viewjob?from=iaBackPress&amp;jk=04f9d54c2c527d61&amp;vjs=3" TargetMode="External"/><Relationship Id="rId3" Type="http://schemas.openxmlformats.org/officeDocument/2006/relationships/hyperlink" Target="https://au.indeed.com/viewjob?from=iaBackPress&amp;jk=f2cecb1f96aff56c&amp;vjs=3" TargetMode="External"/><Relationship Id="rId4" Type="http://schemas.openxmlformats.org/officeDocument/2006/relationships/hyperlink" Target="https://au.indeed.com/viewjob?from=iaBackPress&amp;jk=4b2c8ede9a44c300&amp;vjs=3" TargetMode="External"/><Relationship Id="rId9" Type="http://schemas.openxmlformats.org/officeDocument/2006/relationships/hyperlink" Target="https://au.indeed.com/viewjob?from=iaBackPress&amp;jk=056df9731b35a1b6&amp;vjs=3" TargetMode="External"/><Relationship Id="rId5" Type="http://schemas.openxmlformats.org/officeDocument/2006/relationships/hyperlink" Target="https://au.indeed.com/viewjob?from=iaBackPress&amp;jk=692ceff9e516dd53&amp;vjs=3" TargetMode="External"/><Relationship Id="rId6" Type="http://schemas.openxmlformats.org/officeDocument/2006/relationships/hyperlink" Target="https://au.indeed.com/viewjob?from=iaBackPress&amp;jk=53b8a6d5160a8597&amp;vjs=3" TargetMode="External"/><Relationship Id="rId7" Type="http://schemas.openxmlformats.org/officeDocument/2006/relationships/hyperlink" Target="https://au.indeed.com/viewjob?from=iaBackPress&amp;jk=37945561569eaf53&amp;vjs=3" TargetMode="External"/><Relationship Id="rId8" Type="http://schemas.openxmlformats.org/officeDocument/2006/relationships/hyperlink" Target="https://au.indeed.com/viewjob?from=iaBackPress&amp;jk=1875d865d0bf10a3&amp;vjs=3" TargetMode="External"/><Relationship Id="rId73" Type="http://schemas.openxmlformats.org/officeDocument/2006/relationships/hyperlink" Target="https://au.indeed.com/viewjob?from=iaBackPress&amp;jk=cc1c0a94fd8a5f3b&amp;vjs=3" TargetMode="External"/><Relationship Id="rId72" Type="http://schemas.openxmlformats.org/officeDocument/2006/relationships/hyperlink" Target="https://au.indeed.com/viewjob?from=iaBackPress&amp;jk=50b76e1e500cab2d&amp;vjs=3" TargetMode="External"/><Relationship Id="rId75" Type="http://schemas.openxmlformats.org/officeDocument/2006/relationships/hyperlink" Target="https://au.indeed.com/viewjob?from=iaBackPress&amp;jk=2de1c2b8f48187cc&amp;vjs=3" TargetMode="External"/><Relationship Id="rId74" Type="http://schemas.openxmlformats.org/officeDocument/2006/relationships/hyperlink" Target="https://au.indeed.com/viewjob?from=iaBackPress&amp;jk=dfe7c0d801f6a776&amp;vjs=3" TargetMode="External"/><Relationship Id="rId77" Type="http://schemas.openxmlformats.org/officeDocument/2006/relationships/hyperlink" Target="https://au.indeed.com/viewjob?from=iaBackPress&amp;jk=32130b1d71e346a0&amp;vjs=3" TargetMode="External"/><Relationship Id="rId76" Type="http://schemas.openxmlformats.org/officeDocument/2006/relationships/hyperlink" Target="https://au.indeed.com/viewjob?from=iaBackPress&amp;jk=22d8bd28baf923e9&amp;vjs=3" TargetMode="External"/><Relationship Id="rId79" Type="http://schemas.openxmlformats.org/officeDocument/2006/relationships/hyperlink" Target="https://au.indeed.com/viewjob?from=iaBackPress&amp;jk=279b21c8d75a242e&amp;vjs=3" TargetMode="External"/><Relationship Id="rId78" Type="http://schemas.openxmlformats.org/officeDocument/2006/relationships/hyperlink" Target="https://au.indeed.com/viewjob?from=iaBackPress&amp;jk=2419e6de0445722d&amp;vjs=3" TargetMode="External"/><Relationship Id="rId71" Type="http://schemas.openxmlformats.org/officeDocument/2006/relationships/hyperlink" Target="https://au.indeed.com/viewjob?from=iaBackPress&amp;jk=10b5c254e1c13048&amp;vjs=3" TargetMode="External"/><Relationship Id="rId70" Type="http://schemas.openxmlformats.org/officeDocument/2006/relationships/hyperlink" Target="https://au.indeed.com/viewjob?from=iaBackPress&amp;jk=ebfe3ea775742aa7&amp;vjs=3" TargetMode="External"/><Relationship Id="rId62" Type="http://schemas.openxmlformats.org/officeDocument/2006/relationships/hyperlink" Target="https://au.indeed.com/viewjob?from=iaBackPress&amp;jk=156c5af02a49de34&amp;vjs=3" TargetMode="External"/><Relationship Id="rId61" Type="http://schemas.openxmlformats.org/officeDocument/2006/relationships/hyperlink" Target="https://au.indeed.com/viewjob?from=iaBackPress&amp;jk=ceb506b8835dbc10&amp;vjs=3" TargetMode="External"/><Relationship Id="rId64" Type="http://schemas.openxmlformats.org/officeDocument/2006/relationships/hyperlink" Target="https://au.indeed.com/viewjob?from=iaBackPress&amp;jk=2b326ee3859d53f6&amp;vjs=3" TargetMode="External"/><Relationship Id="rId63" Type="http://schemas.openxmlformats.org/officeDocument/2006/relationships/hyperlink" Target="https://au.indeed.com/viewjob?from=iaBackPress&amp;jk=196e303d586b3c48&amp;vjs=3" TargetMode="External"/><Relationship Id="rId66" Type="http://schemas.openxmlformats.org/officeDocument/2006/relationships/hyperlink" Target="https://au.indeed.com/viewjob?from=iaBackPress&amp;jk=0f96c18c27c885bb&amp;vjs=3" TargetMode="External"/><Relationship Id="rId65" Type="http://schemas.openxmlformats.org/officeDocument/2006/relationships/hyperlink" Target="https://au.indeed.com/viewjob?from=iaBackPress&amp;jk=8f872b4ea448299f&amp;vjs=3" TargetMode="External"/><Relationship Id="rId68" Type="http://schemas.openxmlformats.org/officeDocument/2006/relationships/hyperlink" Target="https://au.indeed.com/viewjob?from=iaBackPress&amp;jk=b79922e6839a639c&amp;vjs=3" TargetMode="External"/><Relationship Id="rId67" Type="http://schemas.openxmlformats.org/officeDocument/2006/relationships/hyperlink" Target="https://au.indeed.com/viewjob?from=iaBackPress&amp;jk=b9e2069a2b741840&amp;vjs=3" TargetMode="External"/><Relationship Id="rId60" Type="http://schemas.openxmlformats.org/officeDocument/2006/relationships/hyperlink" Target="https://au.indeed.com/viewjob?from=iaBackPress&amp;jk=13db6966e5c5712b&amp;vjs=3" TargetMode="External"/><Relationship Id="rId69" Type="http://schemas.openxmlformats.org/officeDocument/2006/relationships/hyperlink" Target="https://au.indeed.com/viewjob?from=iaBackPress&amp;jk=cafac024dabf9360&amp;vjs=3" TargetMode="External"/><Relationship Id="rId51" Type="http://schemas.openxmlformats.org/officeDocument/2006/relationships/hyperlink" Target="https://au.indeed.com/viewjob?from=iaBackPress&amp;jk=1cc08ff054ad0139&amp;vjs=3" TargetMode="External"/><Relationship Id="rId50" Type="http://schemas.openxmlformats.org/officeDocument/2006/relationships/hyperlink" Target="https://au.indeed.com/viewjob?from=iaBackPress&amp;jk=923852b1bc9cbe18&amp;vjs=3" TargetMode="External"/><Relationship Id="rId53" Type="http://schemas.openxmlformats.org/officeDocument/2006/relationships/hyperlink" Target="https://au.indeed.com/viewjob?from=iaBackPress&amp;jk=6af47a2d6bcd2fdc&amp;vjs=3" TargetMode="External"/><Relationship Id="rId52" Type="http://schemas.openxmlformats.org/officeDocument/2006/relationships/hyperlink" Target="https://au.indeed.com/viewjob?from=iaBackPress&amp;jk=49a18049f1e9c651&amp;vjs=3" TargetMode="External"/><Relationship Id="rId55" Type="http://schemas.openxmlformats.org/officeDocument/2006/relationships/hyperlink" Target="https://au.indeed.com/viewjob?from=iaBackPress&amp;jk=4c1902cda26c486b&amp;vjs=3" TargetMode="External"/><Relationship Id="rId54" Type="http://schemas.openxmlformats.org/officeDocument/2006/relationships/hyperlink" Target="https://au.indeed.com/viewjob?from=iaBackPress&amp;jk=8c2c33c3946cc4c8&amp;vjs=3" TargetMode="External"/><Relationship Id="rId57" Type="http://schemas.openxmlformats.org/officeDocument/2006/relationships/hyperlink" Target="https://au.indeed.com/viewjob?from=iaBackPress&amp;jk=f53509b3b11384a2&amp;vjs=3" TargetMode="External"/><Relationship Id="rId56" Type="http://schemas.openxmlformats.org/officeDocument/2006/relationships/hyperlink" Target="https://au.indeed.com/viewjob?from=iaBackPress&amp;jk=e245bbad6aee0965&amp;vjs=3" TargetMode="External"/><Relationship Id="rId59" Type="http://schemas.openxmlformats.org/officeDocument/2006/relationships/hyperlink" Target="https://au.indeed.com/viewjob?from=iaBackPress&amp;jk=f4ccc0036956811c&amp;vjs=3" TargetMode="External"/><Relationship Id="rId58" Type="http://schemas.openxmlformats.org/officeDocument/2006/relationships/hyperlink" Target="https://au.indeed.com/viewjob?from=iaBackPress&amp;jk=c5b6c4200b438e48&amp;vjs=3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xpedia.com" TargetMode="External"/><Relationship Id="rId2" Type="http://schemas.openxmlformats.org/officeDocument/2006/relationships/hyperlink" Target="http://constructive.net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au.indeed.com/viewjob?from=iaBackPress&amp;jk=8700996372bcb34b&amp;vjs=3" TargetMode="External"/><Relationship Id="rId190" Type="http://schemas.openxmlformats.org/officeDocument/2006/relationships/hyperlink" Target="https://au.indeed.com/viewjob?from=iaBackPress&amp;jk=6646a11a906e5847&amp;vjs=3" TargetMode="External"/><Relationship Id="rId42" Type="http://schemas.openxmlformats.org/officeDocument/2006/relationships/hyperlink" Target="https://au.indeed.com/viewjob?from=iaBackPress&amp;jk=1f06a3fa302b76a2&amp;vjs=3" TargetMode="External"/><Relationship Id="rId41" Type="http://schemas.openxmlformats.org/officeDocument/2006/relationships/hyperlink" Target="https://au.indeed.com/viewjob?from=iaBackPress&amp;jk=1f06a3fa302b76a2&amp;vjs=3" TargetMode="External"/><Relationship Id="rId44" Type="http://schemas.openxmlformats.org/officeDocument/2006/relationships/hyperlink" Target="https://au.indeed.com/viewjob?from=iaBackPress&amp;jk=849eddd3ec7ec43a&amp;vjs=3" TargetMode="External"/><Relationship Id="rId194" Type="http://schemas.openxmlformats.org/officeDocument/2006/relationships/hyperlink" Target="https://au.indeed.com/viewjob?from=iaBackPress&amp;jk=6646a11a906e5847&amp;vjs=3" TargetMode="External"/><Relationship Id="rId43" Type="http://schemas.openxmlformats.org/officeDocument/2006/relationships/hyperlink" Target="https://au.indeed.com/viewjob?from=iaBackPress&amp;jk=849eddd3ec7ec43a&amp;vjs=3" TargetMode="External"/><Relationship Id="rId193" Type="http://schemas.openxmlformats.org/officeDocument/2006/relationships/hyperlink" Target="https://au.indeed.com/viewjob?from=iaBackPress&amp;jk=6646a11a906e5847&amp;vjs=3" TargetMode="External"/><Relationship Id="rId46" Type="http://schemas.openxmlformats.org/officeDocument/2006/relationships/hyperlink" Target="https://au.indeed.com/viewjob?from=iaBackPress&amp;jk=849eddd3ec7ec43a&amp;vjs=3" TargetMode="External"/><Relationship Id="rId192" Type="http://schemas.openxmlformats.org/officeDocument/2006/relationships/hyperlink" Target="https://au.indeed.com/viewjob?from=iaBackPress&amp;jk=6646a11a906e5847&amp;vjs=3" TargetMode="External"/><Relationship Id="rId45" Type="http://schemas.openxmlformats.org/officeDocument/2006/relationships/hyperlink" Target="https://au.indeed.com/viewjob?from=iaBackPress&amp;jk=849eddd3ec7ec43a&amp;vjs=3" TargetMode="External"/><Relationship Id="rId191" Type="http://schemas.openxmlformats.org/officeDocument/2006/relationships/hyperlink" Target="https://au.indeed.com/viewjob?from=iaBackPress&amp;jk=6646a11a906e5847&amp;vjs=3" TargetMode="External"/><Relationship Id="rId48" Type="http://schemas.openxmlformats.org/officeDocument/2006/relationships/hyperlink" Target="https://au.indeed.com/viewjob?from=iaBackPress&amp;jk=849eddd3ec7ec43a&amp;vjs=3" TargetMode="External"/><Relationship Id="rId187" Type="http://schemas.openxmlformats.org/officeDocument/2006/relationships/hyperlink" Target="https://au.indeed.com/viewjob?from=iaBackPress&amp;jk=6646a11a906e5847&amp;vjs=3" TargetMode="External"/><Relationship Id="rId47" Type="http://schemas.openxmlformats.org/officeDocument/2006/relationships/hyperlink" Target="https://au.indeed.com/viewjob?from=iaBackPress&amp;jk=849eddd3ec7ec43a&amp;vjs=3" TargetMode="External"/><Relationship Id="rId186" Type="http://schemas.openxmlformats.org/officeDocument/2006/relationships/hyperlink" Target="https://au.indeed.com/viewjob?from=iaBackPress&amp;jk=6646a11a906e5847&amp;vjs=3" TargetMode="External"/><Relationship Id="rId185" Type="http://schemas.openxmlformats.org/officeDocument/2006/relationships/hyperlink" Target="https://au.indeed.com/viewjob?from=iaBackPress&amp;jk=6646a11a906e5847&amp;vjs=3" TargetMode="External"/><Relationship Id="rId49" Type="http://schemas.openxmlformats.org/officeDocument/2006/relationships/hyperlink" Target="https://au.indeed.com/viewjob?from=iaBackPress&amp;jk=f409160b8d1ee990&amp;vjs=3" TargetMode="External"/><Relationship Id="rId184" Type="http://schemas.openxmlformats.org/officeDocument/2006/relationships/hyperlink" Target="https://au.indeed.com/viewjob?from=iaBackPress&amp;jk=6646a11a906e5847&amp;vjs=3" TargetMode="External"/><Relationship Id="rId189" Type="http://schemas.openxmlformats.org/officeDocument/2006/relationships/hyperlink" Target="https://au.indeed.com/viewjob?from=iaBackPress&amp;jk=6646a11a906e5847&amp;vjs=3" TargetMode="External"/><Relationship Id="rId188" Type="http://schemas.openxmlformats.org/officeDocument/2006/relationships/hyperlink" Target="https://au.indeed.com/viewjob?from=iaBackPress&amp;jk=6646a11a906e5847&amp;vjs=3" TargetMode="External"/><Relationship Id="rId31" Type="http://schemas.openxmlformats.org/officeDocument/2006/relationships/hyperlink" Target="https://au.indeed.com/viewjob?from=iaBackPress&amp;jk=8700996372bcb34b&amp;vjs=3" TargetMode="External"/><Relationship Id="rId30" Type="http://schemas.openxmlformats.org/officeDocument/2006/relationships/hyperlink" Target="https://au.indeed.com/viewjob?from=iaBackPress&amp;jk=8700996372bcb34b&amp;vjs=3" TargetMode="External"/><Relationship Id="rId33" Type="http://schemas.openxmlformats.org/officeDocument/2006/relationships/hyperlink" Target="https://au.indeed.com/viewjob?from=iaBackPress&amp;jk=1f06a3fa302b76a2&amp;vjs=3" TargetMode="External"/><Relationship Id="rId183" Type="http://schemas.openxmlformats.org/officeDocument/2006/relationships/hyperlink" Target="https://au.indeed.com/viewjob?from=iaBackPress&amp;jk=6646a11a906e5847&amp;vjs=3" TargetMode="External"/><Relationship Id="rId32" Type="http://schemas.openxmlformats.org/officeDocument/2006/relationships/hyperlink" Target="https://au.indeed.com/viewjob?from=iaBackPress&amp;jk=8700996372bcb34b&amp;vjs=3" TargetMode="External"/><Relationship Id="rId182" Type="http://schemas.openxmlformats.org/officeDocument/2006/relationships/hyperlink" Target="https://au.indeed.com/viewjob?from=iaBackPress&amp;jk=6646a11a906e5847&amp;vjs=3" TargetMode="External"/><Relationship Id="rId35" Type="http://schemas.openxmlformats.org/officeDocument/2006/relationships/hyperlink" Target="https://au.indeed.com/viewjob?from=iaBackPress&amp;jk=1f06a3fa302b76a2&amp;vjs=3" TargetMode="External"/><Relationship Id="rId181" Type="http://schemas.openxmlformats.org/officeDocument/2006/relationships/hyperlink" Target="https://au.indeed.com/viewjob?from=iaBackPress&amp;jk=6646a11a906e5847&amp;vjs=3" TargetMode="External"/><Relationship Id="rId34" Type="http://schemas.openxmlformats.org/officeDocument/2006/relationships/hyperlink" Target="https://au.indeed.com/viewjob?from=iaBackPress&amp;jk=1f06a3fa302b76a2&amp;vjs=3" TargetMode="External"/><Relationship Id="rId180" Type="http://schemas.openxmlformats.org/officeDocument/2006/relationships/hyperlink" Target="https://au.indeed.com/viewjob?from=iaBackPress&amp;jk=6646a11a906e5847&amp;vjs=3" TargetMode="External"/><Relationship Id="rId37" Type="http://schemas.openxmlformats.org/officeDocument/2006/relationships/hyperlink" Target="https://au.indeed.com/viewjob?from=iaBackPress&amp;jk=8700996372bcb34b&amp;vjs=3" TargetMode="External"/><Relationship Id="rId176" Type="http://schemas.openxmlformats.org/officeDocument/2006/relationships/hyperlink" Target="https://au.indeed.com/viewjob?from=iaBackPress&amp;jk=6646a11a906e5847&amp;vjs=3" TargetMode="External"/><Relationship Id="rId36" Type="http://schemas.openxmlformats.org/officeDocument/2006/relationships/hyperlink" Target="https://au.indeed.com/viewjob?from=iaBackPress&amp;jk=8700996372bcb34b&amp;vjs=3" TargetMode="External"/><Relationship Id="rId175" Type="http://schemas.openxmlformats.org/officeDocument/2006/relationships/hyperlink" Target="https://au.indeed.com/viewjob?from=iaBackPress&amp;jk=6646a11a906e5847&amp;vjs=3" TargetMode="External"/><Relationship Id="rId39" Type="http://schemas.openxmlformats.org/officeDocument/2006/relationships/hyperlink" Target="https://au.indeed.com/viewjob?from=iaBackPress&amp;jk=8700996372bcb34b&amp;vjs=3" TargetMode="External"/><Relationship Id="rId174" Type="http://schemas.openxmlformats.org/officeDocument/2006/relationships/hyperlink" Target="https://au.indeed.com/viewjob?from=iaBackPress&amp;jk=6646a11a906e5847&amp;vjs=3" TargetMode="External"/><Relationship Id="rId38" Type="http://schemas.openxmlformats.org/officeDocument/2006/relationships/hyperlink" Target="https://au.indeed.com/viewjob?from=iaBackPress&amp;jk=8700996372bcb34b&amp;vjs=3" TargetMode="External"/><Relationship Id="rId173" Type="http://schemas.openxmlformats.org/officeDocument/2006/relationships/hyperlink" Target="https://au.indeed.com/viewjob?from=iaBackPress&amp;jk=6646a11a906e5847&amp;vjs=3" TargetMode="External"/><Relationship Id="rId179" Type="http://schemas.openxmlformats.org/officeDocument/2006/relationships/hyperlink" Target="https://au.indeed.com/viewjob?from=iaBackPress&amp;jk=6646a11a906e5847&amp;vjs=3" TargetMode="External"/><Relationship Id="rId178" Type="http://schemas.openxmlformats.org/officeDocument/2006/relationships/hyperlink" Target="https://au.indeed.com/viewjob?from=iaBackPress&amp;jk=6646a11a906e5847&amp;vjs=3" TargetMode="External"/><Relationship Id="rId177" Type="http://schemas.openxmlformats.org/officeDocument/2006/relationships/hyperlink" Target="https://au.indeed.com/viewjob?from=iaBackPress&amp;jk=6646a11a906e5847&amp;vjs=3" TargetMode="External"/><Relationship Id="rId20" Type="http://schemas.openxmlformats.org/officeDocument/2006/relationships/hyperlink" Target="https://au.indeed.com/viewjob?from=iaBackPress&amp;jk=8700996372bcb34b&amp;vjs=3" TargetMode="External"/><Relationship Id="rId22" Type="http://schemas.openxmlformats.org/officeDocument/2006/relationships/hyperlink" Target="https://au.indeed.com/viewjob?from=iaBackPress&amp;jk=8700996372bcb34b&amp;vjs=3" TargetMode="External"/><Relationship Id="rId21" Type="http://schemas.openxmlformats.org/officeDocument/2006/relationships/hyperlink" Target="https://au.indeed.com/viewjob?from=iaBackPress&amp;jk=8700996372bcb34b&amp;vjs=3" TargetMode="External"/><Relationship Id="rId24" Type="http://schemas.openxmlformats.org/officeDocument/2006/relationships/hyperlink" Target="https://au.indeed.com/viewjob?from=iaBackPress&amp;jk=1f06a3fa302b76a2&amp;vjs=3" TargetMode="External"/><Relationship Id="rId23" Type="http://schemas.openxmlformats.org/officeDocument/2006/relationships/hyperlink" Target="https://au.indeed.com/viewjob?from=iaBackPress&amp;jk=8700996372bcb34b&amp;vjs=3" TargetMode="External"/><Relationship Id="rId26" Type="http://schemas.openxmlformats.org/officeDocument/2006/relationships/hyperlink" Target="https://au.indeed.com/viewjob?from=iaBackPress&amp;jk=1f06a3fa302b76a2&amp;vjs=3" TargetMode="External"/><Relationship Id="rId25" Type="http://schemas.openxmlformats.org/officeDocument/2006/relationships/hyperlink" Target="https://au.indeed.com/viewjob?from=iaBackPress&amp;jk=1f06a3fa302b76a2&amp;vjs=3" TargetMode="External"/><Relationship Id="rId28" Type="http://schemas.openxmlformats.org/officeDocument/2006/relationships/hyperlink" Target="https://au.indeed.com/viewjob?from=iaBackPress&amp;jk=8700996372bcb34b&amp;vjs=3" TargetMode="External"/><Relationship Id="rId27" Type="http://schemas.openxmlformats.org/officeDocument/2006/relationships/hyperlink" Target="https://au.indeed.com/viewjob?from=iaBackPress&amp;jk=8700996372bcb34b&amp;vjs=3" TargetMode="External"/><Relationship Id="rId29" Type="http://schemas.openxmlformats.org/officeDocument/2006/relationships/hyperlink" Target="https://au.indeed.com/viewjob?from=iaBackPress&amp;jk=8700996372bcb34b&amp;vjs=3" TargetMode="External"/><Relationship Id="rId11" Type="http://schemas.openxmlformats.org/officeDocument/2006/relationships/hyperlink" Target="https://au.indeed.com/viewjob?from=iaBackPress&amp;jk=8700996372bcb34b&amp;vjs=3" TargetMode="External"/><Relationship Id="rId10" Type="http://schemas.openxmlformats.org/officeDocument/2006/relationships/hyperlink" Target="https://au.indeed.com/viewjob?from=iaBackPress&amp;jk=8700996372bcb34b&amp;vjs=3" TargetMode="External"/><Relationship Id="rId13" Type="http://schemas.openxmlformats.org/officeDocument/2006/relationships/hyperlink" Target="https://au.indeed.com/viewjob?from=iaBackPress&amp;jk=8700996372bcb34b&amp;vjs=3" TargetMode="External"/><Relationship Id="rId12" Type="http://schemas.openxmlformats.org/officeDocument/2006/relationships/hyperlink" Target="https://au.indeed.com/viewjob?from=iaBackPress&amp;jk=8700996372bcb34b&amp;vjs=3" TargetMode="External"/><Relationship Id="rId15" Type="http://schemas.openxmlformats.org/officeDocument/2006/relationships/hyperlink" Target="https://au.indeed.com/viewjob?from=iaBackPress&amp;jk=1f06a3fa302b76a2&amp;vjs=3" TargetMode="External"/><Relationship Id="rId198" Type="http://schemas.openxmlformats.org/officeDocument/2006/relationships/hyperlink" Target="https://au.indeed.com/viewjob?from=iaBackPress&amp;jk=29f65e39b9473cab&amp;vjs=3" TargetMode="External"/><Relationship Id="rId14" Type="http://schemas.openxmlformats.org/officeDocument/2006/relationships/hyperlink" Target="https://au.indeed.com/viewjob?from=iaBackPress&amp;jk=8700996372bcb34b&amp;vjs=3" TargetMode="External"/><Relationship Id="rId197" Type="http://schemas.openxmlformats.org/officeDocument/2006/relationships/hyperlink" Target="https://au.indeed.com/viewjob?from=iaBackPress&amp;jk=6646a11a906e5847&amp;vjs=3" TargetMode="External"/><Relationship Id="rId17" Type="http://schemas.openxmlformats.org/officeDocument/2006/relationships/hyperlink" Target="https://au.indeed.com/viewjob?from=iaBackPress&amp;jk=1f06a3fa302b76a2&amp;vjs=3" TargetMode="External"/><Relationship Id="rId196" Type="http://schemas.openxmlformats.org/officeDocument/2006/relationships/hyperlink" Target="https://au.indeed.com/viewjob?from=iaBackPress&amp;jk=6646a11a906e5847&amp;vjs=3" TargetMode="External"/><Relationship Id="rId16" Type="http://schemas.openxmlformats.org/officeDocument/2006/relationships/hyperlink" Target="https://au.indeed.com/viewjob?from=iaBackPress&amp;jk=1f06a3fa302b76a2&amp;vjs=3" TargetMode="External"/><Relationship Id="rId195" Type="http://schemas.openxmlformats.org/officeDocument/2006/relationships/hyperlink" Target="https://au.indeed.com/viewjob?from=iaBackPress&amp;jk=6646a11a906e5847&amp;vjs=3" TargetMode="External"/><Relationship Id="rId19" Type="http://schemas.openxmlformats.org/officeDocument/2006/relationships/hyperlink" Target="https://au.indeed.com/viewjob?from=iaBackPress&amp;jk=8700996372bcb34b&amp;vjs=3" TargetMode="External"/><Relationship Id="rId18" Type="http://schemas.openxmlformats.org/officeDocument/2006/relationships/hyperlink" Target="https://au.indeed.com/viewjob?from=iaBackPress&amp;jk=8700996372bcb34b&amp;vjs=3" TargetMode="External"/><Relationship Id="rId199" Type="http://schemas.openxmlformats.org/officeDocument/2006/relationships/hyperlink" Target="https://au.indeed.com/viewjob?from=iaBackPress&amp;jk=29f65e39b9473cab&amp;vjs=3" TargetMode="External"/><Relationship Id="rId84" Type="http://schemas.openxmlformats.org/officeDocument/2006/relationships/hyperlink" Target="https://au.indeed.com/viewjob?from=iaBackPress&amp;jk=6646a11a906e5847&amp;vjs=3" TargetMode="External"/><Relationship Id="rId83" Type="http://schemas.openxmlformats.org/officeDocument/2006/relationships/hyperlink" Target="https://au.indeed.com/viewjob?from=iaBackPress&amp;jk=6646a11a906e5847&amp;vjs=3" TargetMode="External"/><Relationship Id="rId86" Type="http://schemas.openxmlformats.org/officeDocument/2006/relationships/hyperlink" Target="https://au.indeed.com/viewjob?from=iaBackPress&amp;jk=6646a11a906e5847&amp;vjs=3" TargetMode="External"/><Relationship Id="rId85" Type="http://schemas.openxmlformats.org/officeDocument/2006/relationships/hyperlink" Target="https://au.indeed.com/viewjob?from=iaBackPress&amp;jk=6646a11a906e5847&amp;vjs=3" TargetMode="External"/><Relationship Id="rId88" Type="http://schemas.openxmlformats.org/officeDocument/2006/relationships/hyperlink" Target="https://au.indeed.com/viewjob?from=iaBackPress&amp;jk=6646a11a906e5847&amp;vjs=3" TargetMode="External"/><Relationship Id="rId150" Type="http://schemas.openxmlformats.org/officeDocument/2006/relationships/hyperlink" Target="https://au.indeed.com/viewjob?from=iaBackPress&amp;jk=a01cd9a8819fdb6d&amp;vjs=3" TargetMode="External"/><Relationship Id="rId87" Type="http://schemas.openxmlformats.org/officeDocument/2006/relationships/hyperlink" Target="https://au.indeed.com/viewjob?from=iaBackPress&amp;jk=6646a11a906e5847&amp;vjs=3" TargetMode="External"/><Relationship Id="rId89" Type="http://schemas.openxmlformats.org/officeDocument/2006/relationships/hyperlink" Target="https://au.indeed.com/viewjob?from=iaBackPress&amp;jk=6646a11a906e5847&amp;vjs=3" TargetMode="External"/><Relationship Id="rId80" Type="http://schemas.openxmlformats.org/officeDocument/2006/relationships/hyperlink" Target="https://au.indeed.com/viewjob?from=iaBackPress&amp;jk=6646a11a906e5847&amp;vjs=3" TargetMode="External"/><Relationship Id="rId82" Type="http://schemas.openxmlformats.org/officeDocument/2006/relationships/hyperlink" Target="https://au.indeed.com/viewjob?from=iaBackPress&amp;jk=6646a11a906e5847&amp;vjs=3" TargetMode="External"/><Relationship Id="rId81" Type="http://schemas.openxmlformats.org/officeDocument/2006/relationships/hyperlink" Target="https://au.indeed.com/viewjob?from=iaBackPress&amp;jk=6646a11a906e5847&amp;vjs=3" TargetMode="External"/><Relationship Id="rId1" Type="http://schemas.openxmlformats.org/officeDocument/2006/relationships/hyperlink" Target="https://au.indeed.com/viewjob?from=iaBackPress&amp;jk=8700996372bcb34b&amp;vjs=3" TargetMode="External"/><Relationship Id="rId2" Type="http://schemas.openxmlformats.org/officeDocument/2006/relationships/hyperlink" Target="https://au.indeed.com/viewjob?from=iaBackPress&amp;jk=25d5284efda09e68&amp;vjs=3" TargetMode="External"/><Relationship Id="rId3" Type="http://schemas.openxmlformats.org/officeDocument/2006/relationships/hyperlink" Target="https://au.indeed.com/viewjob?from=iaBackPress&amp;jk=8700996372bcb34b&amp;vjs=3" TargetMode="External"/><Relationship Id="rId149" Type="http://schemas.openxmlformats.org/officeDocument/2006/relationships/hyperlink" Target="https://au.indeed.com/viewjob?from=iaBackPress&amp;jk=78d9624fe7590315&amp;vjs=3" TargetMode="External"/><Relationship Id="rId4" Type="http://schemas.openxmlformats.org/officeDocument/2006/relationships/hyperlink" Target="https://au.indeed.com/viewjob?from=iaBackPress&amp;jk=8700996372bcb34b&amp;vjs=3" TargetMode="External"/><Relationship Id="rId148" Type="http://schemas.openxmlformats.org/officeDocument/2006/relationships/hyperlink" Target="https://au.indeed.com/viewjob?from=iaBackPress&amp;jk=78d9624fe7590315&amp;vjs=3" TargetMode="External"/><Relationship Id="rId9" Type="http://schemas.openxmlformats.org/officeDocument/2006/relationships/hyperlink" Target="https://au.indeed.com/viewjob?from=iaBackPress&amp;jk=8700996372bcb34b&amp;vjs=3" TargetMode="External"/><Relationship Id="rId143" Type="http://schemas.openxmlformats.org/officeDocument/2006/relationships/hyperlink" Target="https://au.indeed.com/viewjob?from=iaBackPress&amp;jk=aa4829ec40db55a0&amp;vjs=3" TargetMode="External"/><Relationship Id="rId142" Type="http://schemas.openxmlformats.org/officeDocument/2006/relationships/hyperlink" Target="https://au.indeed.com/viewjob?from=iaBackPress&amp;jk=aa4829ec40db55a0&amp;vjs=3" TargetMode="External"/><Relationship Id="rId141" Type="http://schemas.openxmlformats.org/officeDocument/2006/relationships/hyperlink" Target="https://au.indeed.com/viewjob?from=iaBackPress&amp;jk=aa4829ec40db55a0&amp;vjs=3" TargetMode="External"/><Relationship Id="rId140" Type="http://schemas.openxmlformats.org/officeDocument/2006/relationships/hyperlink" Target="https://au.indeed.com/viewjob?from=iaBackPress&amp;jk=aa4829ec40db55a0&amp;vjs=3" TargetMode="External"/><Relationship Id="rId5" Type="http://schemas.openxmlformats.org/officeDocument/2006/relationships/hyperlink" Target="https://au.indeed.com/viewjob?from=iaBackPress&amp;jk=8700996372bcb34b&amp;vjs=3" TargetMode="External"/><Relationship Id="rId147" Type="http://schemas.openxmlformats.org/officeDocument/2006/relationships/hyperlink" Target="https://au.indeed.com/viewjob?from=iaBackPress&amp;jk=59748a463b6f36ae&amp;vjs=3" TargetMode="External"/><Relationship Id="rId6" Type="http://schemas.openxmlformats.org/officeDocument/2006/relationships/hyperlink" Target="https://au.indeed.com/viewjob?from=iaBackPress&amp;jk=8700996372bcb34b&amp;vjs=3" TargetMode="External"/><Relationship Id="rId146" Type="http://schemas.openxmlformats.org/officeDocument/2006/relationships/hyperlink" Target="https://au.indeed.com/viewjob?from=iaBackPress&amp;jk=aa4829ec40db55a0&amp;vjs=3" TargetMode="External"/><Relationship Id="rId7" Type="http://schemas.openxmlformats.org/officeDocument/2006/relationships/hyperlink" Target="https://au.indeed.com/viewjob?from=iaBackPress&amp;jk=8700996372bcb34b&amp;vjs=3" TargetMode="External"/><Relationship Id="rId145" Type="http://schemas.openxmlformats.org/officeDocument/2006/relationships/hyperlink" Target="https://au.indeed.com/viewjob?from=iaBackPress&amp;jk=aa4829ec40db55a0&amp;vjs=3" TargetMode="External"/><Relationship Id="rId8" Type="http://schemas.openxmlformats.org/officeDocument/2006/relationships/hyperlink" Target="https://au.indeed.com/viewjob?from=iaBackPress&amp;jk=8700996372bcb34b&amp;vjs=3" TargetMode="External"/><Relationship Id="rId144" Type="http://schemas.openxmlformats.org/officeDocument/2006/relationships/hyperlink" Target="https://au.indeed.com/viewjob?from=iaBackPress&amp;jk=aa4829ec40db55a0&amp;vjs=3" TargetMode="External"/><Relationship Id="rId73" Type="http://schemas.openxmlformats.org/officeDocument/2006/relationships/hyperlink" Target="https://au.indeed.com/viewjob?from=iaBackPress&amp;jk=6646a11a906e5847&amp;vjs=3" TargetMode="External"/><Relationship Id="rId72" Type="http://schemas.openxmlformats.org/officeDocument/2006/relationships/hyperlink" Target="https://au.indeed.com/viewjob?from=iaBackPress&amp;jk=6646a11a906e5847&amp;vjs=3" TargetMode="External"/><Relationship Id="rId75" Type="http://schemas.openxmlformats.org/officeDocument/2006/relationships/hyperlink" Target="https://au.indeed.com/viewjob?from=iaBackPress&amp;jk=6646a11a906e5847&amp;vjs=3" TargetMode="External"/><Relationship Id="rId74" Type="http://schemas.openxmlformats.org/officeDocument/2006/relationships/hyperlink" Target="https://au.indeed.com/viewjob?from=iaBackPress&amp;jk=6646a11a906e5847&amp;vjs=3" TargetMode="External"/><Relationship Id="rId77" Type="http://schemas.openxmlformats.org/officeDocument/2006/relationships/hyperlink" Target="https://au.indeed.com/viewjob?from=iaBackPress&amp;jk=6646a11a906e5847&amp;vjs=3" TargetMode="External"/><Relationship Id="rId76" Type="http://schemas.openxmlformats.org/officeDocument/2006/relationships/hyperlink" Target="https://au.indeed.com/viewjob?from=iaBackPress&amp;jk=6646a11a906e5847&amp;vjs=3" TargetMode="External"/><Relationship Id="rId79" Type="http://schemas.openxmlformats.org/officeDocument/2006/relationships/hyperlink" Target="https://au.indeed.com/viewjob?from=iaBackPress&amp;jk=6646a11a906e5847&amp;vjs=3" TargetMode="External"/><Relationship Id="rId78" Type="http://schemas.openxmlformats.org/officeDocument/2006/relationships/hyperlink" Target="https://au.indeed.com/viewjob?from=iaBackPress&amp;jk=6646a11a906e5847&amp;vjs=3" TargetMode="External"/><Relationship Id="rId71" Type="http://schemas.openxmlformats.org/officeDocument/2006/relationships/hyperlink" Target="https://au.indeed.com/viewjob?from=iaBackPress&amp;jk=6646a11a906e5847&amp;vjs=3" TargetMode="External"/><Relationship Id="rId70" Type="http://schemas.openxmlformats.org/officeDocument/2006/relationships/hyperlink" Target="https://au.indeed.com/viewjob?from=iaBackPress&amp;jk=6646a11a906e5847&amp;vjs=3" TargetMode="External"/><Relationship Id="rId139" Type="http://schemas.openxmlformats.org/officeDocument/2006/relationships/hyperlink" Target="https://au.indeed.com/viewjob?from=iaBackPress&amp;jk=aa4829ec40db55a0&amp;vjs=3" TargetMode="External"/><Relationship Id="rId138" Type="http://schemas.openxmlformats.org/officeDocument/2006/relationships/hyperlink" Target="https://au.indeed.com/viewjob?from=iaBackPress&amp;jk=aa4829ec40db55a0&amp;vjs=3" TargetMode="External"/><Relationship Id="rId137" Type="http://schemas.openxmlformats.org/officeDocument/2006/relationships/hyperlink" Target="https://au.indeed.com/viewjob?from=iaBackPress&amp;jk=627c606995cd76ec&amp;vjs=3" TargetMode="External"/><Relationship Id="rId132" Type="http://schemas.openxmlformats.org/officeDocument/2006/relationships/hyperlink" Target="https://au.indeed.com/viewjob?from=iaBackPress&amp;jk=c4e076f51cd11864&amp;vjs=3" TargetMode="External"/><Relationship Id="rId131" Type="http://schemas.openxmlformats.org/officeDocument/2006/relationships/hyperlink" Target="https://au.indeed.com/viewjob?from=iaBackPress&amp;jk=b3a323a3b47fca8d&amp;vjs=3" TargetMode="External"/><Relationship Id="rId130" Type="http://schemas.openxmlformats.org/officeDocument/2006/relationships/hyperlink" Target="https://au.indeed.com/viewjob?from=iaBackPress&amp;jk=97b87860f90a1eaf&amp;vjs=3" TargetMode="External"/><Relationship Id="rId136" Type="http://schemas.openxmlformats.org/officeDocument/2006/relationships/hyperlink" Target="https://au.indeed.com/viewjob?from=iaBackPress&amp;jk=627c606995cd76ec&amp;vjs=3" TargetMode="External"/><Relationship Id="rId135" Type="http://schemas.openxmlformats.org/officeDocument/2006/relationships/hyperlink" Target="https://au.indeed.com/viewjob?from=iaBackPress&amp;jk=627c606995cd76ec&amp;vjs=3" TargetMode="External"/><Relationship Id="rId134" Type="http://schemas.openxmlformats.org/officeDocument/2006/relationships/hyperlink" Target="https://au.indeed.com/viewjob?from=iaBackPress&amp;jk=627c606995cd76ec&amp;vjs=3" TargetMode="External"/><Relationship Id="rId133" Type="http://schemas.openxmlformats.org/officeDocument/2006/relationships/hyperlink" Target="https://au.indeed.com/viewjob?from=iaBackPress&amp;jk=627c606995cd76ec&amp;vjs=3" TargetMode="External"/><Relationship Id="rId62" Type="http://schemas.openxmlformats.org/officeDocument/2006/relationships/hyperlink" Target="https://au.indeed.com/viewjob?from=iaBackPress&amp;jk=6646a11a906e5847&amp;vjs=3" TargetMode="External"/><Relationship Id="rId61" Type="http://schemas.openxmlformats.org/officeDocument/2006/relationships/hyperlink" Target="https://au.indeed.com/viewjob?from=iaBackPress&amp;jk=f409160b8d1ee990&amp;vjs=3" TargetMode="External"/><Relationship Id="rId64" Type="http://schemas.openxmlformats.org/officeDocument/2006/relationships/hyperlink" Target="https://au.indeed.com/viewjob?from=iaBackPress&amp;jk=6646a11a906e5847&amp;vjs=3" TargetMode="External"/><Relationship Id="rId63" Type="http://schemas.openxmlformats.org/officeDocument/2006/relationships/hyperlink" Target="https://au.indeed.com/viewjob?from=iaBackPress&amp;jk=6646a11a906e5847&amp;vjs=3" TargetMode="External"/><Relationship Id="rId66" Type="http://schemas.openxmlformats.org/officeDocument/2006/relationships/hyperlink" Target="https://au.indeed.com/viewjob?from=iaBackPress&amp;jk=6646a11a906e5847&amp;vjs=3" TargetMode="External"/><Relationship Id="rId172" Type="http://schemas.openxmlformats.org/officeDocument/2006/relationships/hyperlink" Target="https://au.indeed.com/viewjob?from=iaBackPress&amp;jk=6646a11a906e5847&amp;vjs=3" TargetMode="External"/><Relationship Id="rId65" Type="http://schemas.openxmlformats.org/officeDocument/2006/relationships/hyperlink" Target="https://au.indeed.com/viewjob?from=iaBackPress&amp;jk=6646a11a906e5847&amp;vjs=3" TargetMode="External"/><Relationship Id="rId171" Type="http://schemas.openxmlformats.org/officeDocument/2006/relationships/hyperlink" Target="https://au.indeed.com/viewjob?from=iaBackPress&amp;jk=6646a11a906e5847&amp;vjs=3" TargetMode="External"/><Relationship Id="rId68" Type="http://schemas.openxmlformats.org/officeDocument/2006/relationships/hyperlink" Target="https://au.indeed.com/viewjob?from=iaBackPress&amp;jk=6646a11a906e5847&amp;vjs=3" TargetMode="External"/><Relationship Id="rId170" Type="http://schemas.openxmlformats.org/officeDocument/2006/relationships/hyperlink" Target="https://au.indeed.com/viewjob?from=iaBackPress&amp;jk=6646a11a906e5847&amp;vjs=3" TargetMode="External"/><Relationship Id="rId67" Type="http://schemas.openxmlformats.org/officeDocument/2006/relationships/hyperlink" Target="https://au.indeed.com/viewjob?from=iaBackPress&amp;jk=6646a11a906e5847&amp;vjs=3" TargetMode="External"/><Relationship Id="rId60" Type="http://schemas.openxmlformats.org/officeDocument/2006/relationships/hyperlink" Target="https://au.indeed.com/viewjob?from=iaBackPress&amp;jk=f409160b8d1ee990&amp;vjs=3" TargetMode="External"/><Relationship Id="rId165" Type="http://schemas.openxmlformats.org/officeDocument/2006/relationships/hyperlink" Target="https://au.indeed.com/viewjob?from=iaBackPress&amp;jk=68c5d8270bd11ecf&amp;vjs=3" TargetMode="External"/><Relationship Id="rId69" Type="http://schemas.openxmlformats.org/officeDocument/2006/relationships/hyperlink" Target="https://au.indeed.com/viewjob?from=iaBackPress&amp;jk=6646a11a906e5847&amp;vjs=3" TargetMode="External"/><Relationship Id="rId164" Type="http://schemas.openxmlformats.org/officeDocument/2006/relationships/hyperlink" Target="https://au.indeed.com/viewjob?from=iaBackPress&amp;jk=68c5d8270bd11ecf&amp;vjs=3" TargetMode="External"/><Relationship Id="rId163" Type="http://schemas.openxmlformats.org/officeDocument/2006/relationships/hyperlink" Target="https://au.indeed.com/viewjob?from=iaBackPress&amp;jk=f409160b8d1ee990&amp;vjs=3" TargetMode="External"/><Relationship Id="rId162" Type="http://schemas.openxmlformats.org/officeDocument/2006/relationships/hyperlink" Target="https://au.indeed.com/viewjob?from=iaBackPress&amp;jk=f409160b8d1ee990&amp;vjs=3" TargetMode="External"/><Relationship Id="rId169" Type="http://schemas.openxmlformats.org/officeDocument/2006/relationships/hyperlink" Target="https://au.indeed.com/viewjob?from=iaBackPress&amp;jk=49eae43bb03955d4&amp;vjs=3" TargetMode="External"/><Relationship Id="rId168" Type="http://schemas.openxmlformats.org/officeDocument/2006/relationships/hyperlink" Target="https://au.indeed.com/viewjob?from=iaBackPress&amp;jk=97b87860f90a1eaf&amp;vjs=3" TargetMode="External"/><Relationship Id="rId167" Type="http://schemas.openxmlformats.org/officeDocument/2006/relationships/hyperlink" Target="https://au.indeed.com/viewjob?from=iaBackPress&amp;jk=68c5d8270bd11ecf&amp;vjs=3" TargetMode="External"/><Relationship Id="rId166" Type="http://schemas.openxmlformats.org/officeDocument/2006/relationships/hyperlink" Target="https://au.indeed.com/viewjob?from=iaBackPress&amp;jk=68c5d8270bd11ecf&amp;vjs=3" TargetMode="External"/><Relationship Id="rId51" Type="http://schemas.openxmlformats.org/officeDocument/2006/relationships/hyperlink" Target="https://au.indeed.com/viewjob?from=iaBackPress&amp;jk=f409160b8d1ee990&amp;vjs=3" TargetMode="External"/><Relationship Id="rId50" Type="http://schemas.openxmlformats.org/officeDocument/2006/relationships/hyperlink" Target="https://au.indeed.com/viewjob?from=iaBackPress&amp;jk=f409160b8d1ee990&amp;vjs=3" TargetMode="External"/><Relationship Id="rId53" Type="http://schemas.openxmlformats.org/officeDocument/2006/relationships/hyperlink" Target="https://au.indeed.com/viewjob?from=iaBackPress&amp;jk=f409160b8d1ee990&amp;vjs=3" TargetMode="External"/><Relationship Id="rId52" Type="http://schemas.openxmlformats.org/officeDocument/2006/relationships/hyperlink" Target="https://au.indeed.com/viewjob?from=iaBackPress&amp;jk=f409160b8d1ee990&amp;vjs=3" TargetMode="External"/><Relationship Id="rId55" Type="http://schemas.openxmlformats.org/officeDocument/2006/relationships/hyperlink" Target="https://au.indeed.com/viewjob?from=iaBackPress&amp;jk=f409160b8d1ee990&amp;vjs=3" TargetMode="External"/><Relationship Id="rId161" Type="http://schemas.openxmlformats.org/officeDocument/2006/relationships/hyperlink" Target="https://au.indeed.com/viewjob?from=iaBackPress&amp;jk=f409160b8d1ee990&amp;vjs=3" TargetMode="External"/><Relationship Id="rId54" Type="http://schemas.openxmlformats.org/officeDocument/2006/relationships/hyperlink" Target="https://au.indeed.com/viewjob?from=iaBackPress&amp;jk=f409160b8d1ee990&amp;vjs=3" TargetMode="External"/><Relationship Id="rId160" Type="http://schemas.openxmlformats.org/officeDocument/2006/relationships/hyperlink" Target="https://au.indeed.com/viewjob?from=iaBackPress&amp;jk=f409160b8d1ee990&amp;vjs=3" TargetMode="External"/><Relationship Id="rId57" Type="http://schemas.openxmlformats.org/officeDocument/2006/relationships/hyperlink" Target="https://au.indeed.com/viewjob?from=iaBackPress&amp;jk=f409160b8d1ee990&amp;vjs=3" TargetMode="External"/><Relationship Id="rId56" Type="http://schemas.openxmlformats.org/officeDocument/2006/relationships/hyperlink" Target="https://au.indeed.com/viewjob?from=iaBackPress&amp;jk=f409160b8d1ee990&amp;vjs=3" TargetMode="External"/><Relationship Id="rId159" Type="http://schemas.openxmlformats.org/officeDocument/2006/relationships/hyperlink" Target="https://au.indeed.com/viewjob?from=iaBackPress&amp;jk=f409160b8d1ee990&amp;vjs=3" TargetMode="External"/><Relationship Id="rId59" Type="http://schemas.openxmlformats.org/officeDocument/2006/relationships/hyperlink" Target="https://au.indeed.com/viewjob?from=iaBackPress&amp;jk=f409160b8d1ee990&amp;vjs=3" TargetMode="External"/><Relationship Id="rId154" Type="http://schemas.openxmlformats.org/officeDocument/2006/relationships/hyperlink" Target="https://au.indeed.com/viewjob?from=iaBackPress&amp;jk=f409160b8d1ee990&amp;vjs=3" TargetMode="External"/><Relationship Id="rId58" Type="http://schemas.openxmlformats.org/officeDocument/2006/relationships/hyperlink" Target="https://au.indeed.com/viewjob?from=iaBackPress&amp;jk=f409160b8d1ee990&amp;vjs=3" TargetMode="External"/><Relationship Id="rId153" Type="http://schemas.openxmlformats.org/officeDocument/2006/relationships/hyperlink" Target="https://au.indeed.com/viewjob?from=iaBackPress&amp;jk=f409160b8d1ee990&amp;vjs=3" TargetMode="External"/><Relationship Id="rId152" Type="http://schemas.openxmlformats.org/officeDocument/2006/relationships/hyperlink" Target="https://au.indeed.com/viewjob?from=iaBackPress&amp;jk=f409160b8d1ee990&amp;vjs=3" TargetMode="External"/><Relationship Id="rId151" Type="http://schemas.openxmlformats.org/officeDocument/2006/relationships/hyperlink" Target="https://au.indeed.com/viewjob?from=iaBackPress&amp;jk=f409160b8d1ee990&amp;vjs=3" TargetMode="External"/><Relationship Id="rId158" Type="http://schemas.openxmlformats.org/officeDocument/2006/relationships/hyperlink" Target="https://au.indeed.com/viewjob?from=iaBackPress&amp;jk=f409160b8d1ee990&amp;vjs=3" TargetMode="External"/><Relationship Id="rId157" Type="http://schemas.openxmlformats.org/officeDocument/2006/relationships/hyperlink" Target="https://au.indeed.com/viewjob?from=iaBackPress&amp;jk=f409160b8d1ee990&amp;vjs=3" TargetMode="External"/><Relationship Id="rId156" Type="http://schemas.openxmlformats.org/officeDocument/2006/relationships/hyperlink" Target="https://au.indeed.com/viewjob?from=iaBackPress&amp;jk=f409160b8d1ee990&amp;vjs=3" TargetMode="External"/><Relationship Id="rId155" Type="http://schemas.openxmlformats.org/officeDocument/2006/relationships/hyperlink" Target="https://au.indeed.com/viewjob?from=iaBackPress&amp;jk=f409160b8d1ee990&amp;vjs=3" TargetMode="External"/><Relationship Id="rId107" Type="http://schemas.openxmlformats.org/officeDocument/2006/relationships/hyperlink" Target="https://au.indeed.com/viewjob?from=iaBackPress&amp;jk=71d8b9a3a9a93bb2&amp;vjs=3" TargetMode="External"/><Relationship Id="rId228" Type="http://schemas.openxmlformats.org/officeDocument/2006/relationships/hyperlink" Target="https://au.indeed.com/viewjob?from=iaBackPress&amp;jk=254c6be9b6aae7cf&amp;vjs=3" TargetMode="External"/><Relationship Id="rId106" Type="http://schemas.openxmlformats.org/officeDocument/2006/relationships/hyperlink" Target="https://au.indeed.com/viewjob?from=iaBackPress&amp;jk=71d8b9a3a9a93bb2&amp;vjs=3" TargetMode="External"/><Relationship Id="rId227" Type="http://schemas.openxmlformats.org/officeDocument/2006/relationships/hyperlink" Target="https://au.indeed.com/viewjob?from=iaBackPress&amp;jk=254c6be9b6aae7cf&amp;vjs=3" TargetMode="External"/><Relationship Id="rId105" Type="http://schemas.openxmlformats.org/officeDocument/2006/relationships/hyperlink" Target="https://au.indeed.com/viewjob?from=iaBackPress&amp;jk=71d8b9a3a9a93bb2&amp;vjs=3" TargetMode="External"/><Relationship Id="rId226" Type="http://schemas.openxmlformats.org/officeDocument/2006/relationships/hyperlink" Target="https://au.indeed.com/viewjob?from=iaBackPress&amp;jk=ceec5a6ecb88e0d8&amp;vjs=3" TargetMode="External"/><Relationship Id="rId104" Type="http://schemas.openxmlformats.org/officeDocument/2006/relationships/hyperlink" Target="https://au.indeed.com/viewjob?from=iaBackPress&amp;jk=71d8b9a3a9a93bb2&amp;vjs=3" TargetMode="External"/><Relationship Id="rId225" Type="http://schemas.openxmlformats.org/officeDocument/2006/relationships/hyperlink" Target="https://au.indeed.com/viewjob?from=iaBackPress&amp;jk=ceec5a6ecb88e0d8&amp;vjs=3" TargetMode="External"/><Relationship Id="rId109" Type="http://schemas.openxmlformats.org/officeDocument/2006/relationships/hyperlink" Target="https://au.indeed.com/viewjob?from=iaBackPress&amp;jk=71d8b9a3a9a93bb2&amp;vjs=3" TargetMode="External"/><Relationship Id="rId108" Type="http://schemas.openxmlformats.org/officeDocument/2006/relationships/hyperlink" Target="https://au.indeed.com/viewjob?from=iaBackPress&amp;jk=71d8b9a3a9a93bb2&amp;vjs=3" TargetMode="External"/><Relationship Id="rId229" Type="http://schemas.openxmlformats.org/officeDocument/2006/relationships/drawing" Target="../drawings/drawing8.xml"/><Relationship Id="rId220" Type="http://schemas.openxmlformats.org/officeDocument/2006/relationships/hyperlink" Target="https://au.indeed.com/viewjob?from=iaBackPress&amp;jk=3d25f3e08b934c81&amp;vjs=3" TargetMode="External"/><Relationship Id="rId103" Type="http://schemas.openxmlformats.org/officeDocument/2006/relationships/hyperlink" Target="https://au.indeed.com/viewjob?from=iaBackPress&amp;jk=71d8b9a3a9a93bb2&amp;vjs=3" TargetMode="External"/><Relationship Id="rId224" Type="http://schemas.openxmlformats.org/officeDocument/2006/relationships/hyperlink" Target="https://au.indeed.com/viewjob?from=iaBackPress&amp;jk=f5b8921533ff29af&amp;vjs=3" TargetMode="External"/><Relationship Id="rId102" Type="http://schemas.openxmlformats.org/officeDocument/2006/relationships/hyperlink" Target="https://au.indeed.com/viewjob?from=iaBackPress&amp;jk=71d8b9a3a9a93bb2&amp;vjs=3" TargetMode="External"/><Relationship Id="rId223" Type="http://schemas.openxmlformats.org/officeDocument/2006/relationships/hyperlink" Target="https://au.indeed.com/viewjob?from=iaBackPress&amp;jk=3da80f9020d632f3&amp;vjs=3" TargetMode="External"/><Relationship Id="rId101" Type="http://schemas.openxmlformats.org/officeDocument/2006/relationships/hyperlink" Target="https://au.indeed.com/viewjob?from=iaBackPress&amp;jk=71d8b9a3a9a93bb2&amp;vjs=3" TargetMode="External"/><Relationship Id="rId222" Type="http://schemas.openxmlformats.org/officeDocument/2006/relationships/hyperlink" Target="https://au.indeed.com/viewjob?from=iaBackPress&amp;jk=3d25f3e08b934c81&amp;vjs=3" TargetMode="External"/><Relationship Id="rId100" Type="http://schemas.openxmlformats.org/officeDocument/2006/relationships/hyperlink" Target="https://au.indeed.com/viewjob?from=iaBackPress&amp;jk=71d8b9a3a9a93bb2&amp;vjs=3" TargetMode="External"/><Relationship Id="rId221" Type="http://schemas.openxmlformats.org/officeDocument/2006/relationships/hyperlink" Target="https://au.indeed.com/viewjob?from=iaBackPress&amp;jk=3d25f3e08b934c81&amp;vjs=3" TargetMode="External"/><Relationship Id="rId217" Type="http://schemas.openxmlformats.org/officeDocument/2006/relationships/hyperlink" Target="https://au.indeed.com/viewjob?from=iaBackPress&amp;jk=3d25f3e08b934c81&amp;vjs=3" TargetMode="External"/><Relationship Id="rId216" Type="http://schemas.openxmlformats.org/officeDocument/2006/relationships/hyperlink" Target="https://au.indeed.com/viewjob?from=iaBackPress&amp;jk=3d25f3e08b934c81&amp;vjs=3" TargetMode="External"/><Relationship Id="rId215" Type="http://schemas.openxmlformats.org/officeDocument/2006/relationships/hyperlink" Target="https://au.indeed.com/viewjob?from=iaBackPress&amp;jk=3d25f3e08b934c81&amp;vjs=3" TargetMode="External"/><Relationship Id="rId214" Type="http://schemas.openxmlformats.org/officeDocument/2006/relationships/hyperlink" Target="https://au.indeed.com/viewjob?from=iaBackPress&amp;jk=3d25f3e08b934c81&amp;vjs=3" TargetMode="External"/><Relationship Id="rId219" Type="http://schemas.openxmlformats.org/officeDocument/2006/relationships/hyperlink" Target="https://au.indeed.com/viewjob?from=iaBackPress&amp;jk=3d25f3e08b934c81&amp;vjs=3" TargetMode="External"/><Relationship Id="rId218" Type="http://schemas.openxmlformats.org/officeDocument/2006/relationships/hyperlink" Target="https://au.indeed.com/viewjob?from=iaBackPress&amp;jk=3d25f3e08b934c81&amp;vjs=3" TargetMode="External"/><Relationship Id="rId213" Type="http://schemas.openxmlformats.org/officeDocument/2006/relationships/hyperlink" Target="https://au.indeed.com/viewjob?from=iaBackPress&amp;jk=c9a5d49c9357af07&amp;vjs=3" TargetMode="External"/><Relationship Id="rId212" Type="http://schemas.openxmlformats.org/officeDocument/2006/relationships/hyperlink" Target="https://au.indeed.com/viewjob?from=iaBackPress&amp;jk=02edf59ddb1a3d78&amp;vjs=3" TargetMode="External"/><Relationship Id="rId211" Type="http://schemas.openxmlformats.org/officeDocument/2006/relationships/hyperlink" Target="https://au.indeed.com/viewjob?from=iaBackPress&amp;jk=02edf59ddb1a3d78&amp;vjs=3" TargetMode="External"/><Relationship Id="rId210" Type="http://schemas.openxmlformats.org/officeDocument/2006/relationships/hyperlink" Target="https://au.indeed.com/viewjob?from=iaBackPress&amp;jk=02edf59ddb1a3d78&amp;vjs=3" TargetMode="External"/><Relationship Id="rId129" Type="http://schemas.openxmlformats.org/officeDocument/2006/relationships/hyperlink" Target="https://au.indeed.com/viewjob?from=iaBackPress&amp;jk=b3a323a3b47fca8d&amp;vjs=3" TargetMode="External"/><Relationship Id="rId128" Type="http://schemas.openxmlformats.org/officeDocument/2006/relationships/hyperlink" Target="https://au.indeed.com/viewjob?from=iaBackPress&amp;jk=97b87860f90a1eaf&amp;vjs=3" TargetMode="External"/><Relationship Id="rId127" Type="http://schemas.openxmlformats.org/officeDocument/2006/relationships/hyperlink" Target="https://au.indeed.com/viewjob?from=iaBackPress&amp;jk=49a18049f1e9c651&amp;vjs=3" TargetMode="External"/><Relationship Id="rId126" Type="http://schemas.openxmlformats.org/officeDocument/2006/relationships/hyperlink" Target="https://au.indeed.com/viewjob?from=iaBackPress&amp;jk=49a18049f1e9c651&amp;vjs=3" TargetMode="External"/><Relationship Id="rId121" Type="http://schemas.openxmlformats.org/officeDocument/2006/relationships/hyperlink" Target="https://au.indeed.com/viewjob?from=iaBackPress&amp;jk=e5e09919549d735a&amp;vjs=3" TargetMode="External"/><Relationship Id="rId120" Type="http://schemas.openxmlformats.org/officeDocument/2006/relationships/hyperlink" Target="https://au.indeed.com/viewjob?from=iaBackPress&amp;jk=e5e09919549d735a&amp;vjs=3" TargetMode="External"/><Relationship Id="rId125" Type="http://schemas.openxmlformats.org/officeDocument/2006/relationships/hyperlink" Target="https://au.indeed.com/viewjob?from=iaBackPress&amp;jk=49a18049f1e9c651&amp;vjs=3" TargetMode="External"/><Relationship Id="rId124" Type="http://schemas.openxmlformats.org/officeDocument/2006/relationships/hyperlink" Target="https://au.indeed.com/viewjob?from=iaBackPress&amp;jk=49a18049f1e9c651&amp;vjs=3" TargetMode="External"/><Relationship Id="rId123" Type="http://schemas.openxmlformats.org/officeDocument/2006/relationships/hyperlink" Target="https://au.indeed.com/viewjob?from=iaBackPress&amp;jk=49a18049f1e9c651&amp;vjs=3" TargetMode="External"/><Relationship Id="rId122" Type="http://schemas.openxmlformats.org/officeDocument/2006/relationships/hyperlink" Target="https://au.indeed.com/viewjob?from=iaBackPress&amp;jk=f5b8921533ff29af&amp;vjs=3" TargetMode="External"/><Relationship Id="rId95" Type="http://schemas.openxmlformats.org/officeDocument/2006/relationships/hyperlink" Target="https://au.indeed.com/viewjob?from=iaBackPress&amp;jk=71d8b9a3a9a93bb2&amp;vjs=3" TargetMode="External"/><Relationship Id="rId94" Type="http://schemas.openxmlformats.org/officeDocument/2006/relationships/hyperlink" Target="https://au.indeed.com/viewjob?from=iaBackPress&amp;jk=71d8b9a3a9a93bb2&amp;vjs=3" TargetMode="External"/><Relationship Id="rId97" Type="http://schemas.openxmlformats.org/officeDocument/2006/relationships/hyperlink" Target="https://au.indeed.com/viewjob?from=iaBackPress&amp;jk=71d8b9a3a9a93bb2&amp;vjs=3" TargetMode="External"/><Relationship Id="rId96" Type="http://schemas.openxmlformats.org/officeDocument/2006/relationships/hyperlink" Target="https://au.indeed.com/viewjob?from=iaBackPress&amp;jk=71d8b9a3a9a93bb2&amp;vjs=3" TargetMode="External"/><Relationship Id="rId99" Type="http://schemas.openxmlformats.org/officeDocument/2006/relationships/hyperlink" Target="https://au.indeed.com/viewjob?from=iaBackPress&amp;jk=71d8b9a3a9a93bb2&amp;vjs=3" TargetMode="External"/><Relationship Id="rId98" Type="http://schemas.openxmlformats.org/officeDocument/2006/relationships/hyperlink" Target="https://au.indeed.com/viewjob?from=iaBackPress&amp;jk=71d8b9a3a9a93bb2&amp;vjs=3" TargetMode="External"/><Relationship Id="rId91" Type="http://schemas.openxmlformats.org/officeDocument/2006/relationships/hyperlink" Target="https://au.indeed.com/viewjob?from=iaBackPress&amp;jk=71d8b9a3a9a93bb2&amp;vjs=3" TargetMode="External"/><Relationship Id="rId90" Type="http://schemas.openxmlformats.org/officeDocument/2006/relationships/hyperlink" Target="https://au.indeed.com/viewjob?from=iaBackPress&amp;jk=71d8b9a3a9a93bb2&amp;vjs=3" TargetMode="External"/><Relationship Id="rId93" Type="http://schemas.openxmlformats.org/officeDocument/2006/relationships/hyperlink" Target="https://au.indeed.com/viewjob?from=iaBackPress&amp;jk=71d8b9a3a9a93bb2&amp;vjs=3" TargetMode="External"/><Relationship Id="rId92" Type="http://schemas.openxmlformats.org/officeDocument/2006/relationships/hyperlink" Target="https://au.indeed.com/viewjob?from=iaBackPress&amp;jk=71d8b9a3a9a93bb2&amp;vjs=3" TargetMode="External"/><Relationship Id="rId118" Type="http://schemas.openxmlformats.org/officeDocument/2006/relationships/hyperlink" Target="https://au.indeed.com/viewjob?from=iaBackPress&amp;jk=49eae43bb03955d4&amp;vjs=3" TargetMode="External"/><Relationship Id="rId117" Type="http://schemas.openxmlformats.org/officeDocument/2006/relationships/hyperlink" Target="https://au.indeed.com/viewjob?from=iaBackPress&amp;jk=71d8b9a3a9a93bb2&amp;vjs=3" TargetMode="External"/><Relationship Id="rId116" Type="http://schemas.openxmlformats.org/officeDocument/2006/relationships/hyperlink" Target="https://au.indeed.com/viewjob?from=iaBackPress&amp;jk=71d8b9a3a9a93bb2&amp;vjs=3" TargetMode="External"/><Relationship Id="rId115" Type="http://schemas.openxmlformats.org/officeDocument/2006/relationships/hyperlink" Target="https://au.indeed.com/viewjob?from=iaBackPress&amp;jk=71d8b9a3a9a93bb2&amp;vjs=3" TargetMode="External"/><Relationship Id="rId119" Type="http://schemas.openxmlformats.org/officeDocument/2006/relationships/hyperlink" Target="https://au.indeed.com/viewjob?from=iaBackPress&amp;jk=e5e09919549d735a&amp;vjs=3" TargetMode="External"/><Relationship Id="rId110" Type="http://schemas.openxmlformats.org/officeDocument/2006/relationships/hyperlink" Target="https://au.indeed.com/viewjob?from=iaBackPress&amp;jk=71d8b9a3a9a93bb2&amp;vjs=3" TargetMode="External"/><Relationship Id="rId114" Type="http://schemas.openxmlformats.org/officeDocument/2006/relationships/hyperlink" Target="https://au.indeed.com/viewjob?from=iaBackPress&amp;jk=71d8b9a3a9a93bb2&amp;vjs=3" TargetMode="External"/><Relationship Id="rId113" Type="http://schemas.openxmlformats.org/officeDocument/2006/relationships/hyperlink" Target="https://au.indeed.com/viewjob?from=iaBackPress&amp;jk=71d8b9a3a9a93bb2&amp;vjs=3" TargetMode="External"/><Relationship Id="rId112" Type="http://schemas.openxmlformats.org/officeDocument/2006/relationships/hyperlink" Target="https://au.indeed.com/viewjob?from=iaBackPress&amp;jk=71d8b9a3a9a93bb2&amp;vjs=3" TargetMode="External"/><Relationship Id="rId111" Type="http://schemas.openxmlformats.org/officeDocument/2006/relationships/hyperlink" Target="https://au.indeed.com/viewjob?from=iaBackPress&amp;jk=71d8b9a3a9a93bb2&amp;vjs=3" TargetMode="External"/><Relationship Id="rId206" Type="http://schemas.openxmlformats.org/officeDocument/2006/relationships/hyperlink" Target="https://au.indeed.com/viewjob?from=iaBackPress&amp;jk=02edf59ddb1a3d78&amp;vjs=3" TargetMode="External"/><Relationship Id="rId205" Type="http://schemas.openxmlformats.org/officeDocument/2006/relationships/hyperlink" Target="https://au.indeed.com/viewjob?from=iaBackPress&amp;jk=02edf59ddb1a3d78&amp;vjs=3" TargetMode="External"/><Relationship Id="rId204" Type="http://schemas.openxmlformats.org/officeDocument/2006/relationships/hyperlink" Target="https://au.indeed.com/viewjob?from=iaBackPress&amp;jk=02edf59ddb1a3d78&amp;vjs=3" TargetMode="External"/><Relationship Id="rId203" Type="http://schemas.openxmlformats.org/officeDocument/2006/relationships/hyperlink" Target="https://au.indeed.com/viewjob?from=iaBackPress&amp;jk=02edf59ddb1a3d78&amp;vjs=3" TargetMode="External"/><Relationship Id="rId209" Type="http://schemas.openxmlformats.org/officeDocument/2006/relationships/hyperlink" Target="https://au.indeed.com/viewjob?from=iaBackPress&amp;jk=02edf59ddb1a3d78&amp;vjs=3" TargetMode="External"/><Relationship Id="rId208" Type="http://schemas.openxmlformats.org/officeDocument/2006/relationships/hyperlink" Target="https://au.indeed.com/viewjob?from=iaBackPress&amp;jk=02edf59ddb1a3d78&amp;vjs=3" TargetMode="External"/><Relationship Id="rId207" Type="http://schemas.openxmlformats.org/officeDocument/2006/relationships/hyperlink" Target="https://au.indeed.com/viewjob?from=iaBackPress&amp;jk=02edf59ddb1a3d78&amp;vjs=3" TargetMode="External"/><Relationship Id="rId202" Type="http://schemas.openxmlformats.org/officeDocument/2006/relationships/hyperlink" Target="https://au.indeed.com/viewjob?from=iaBackPress&amp;jk=02edf59ddb1a3d78&amp;vjs=3" TargetMode="External"/><Relationship Id="rId201" Type="http://schemas.openxmlformats.org/officeDocument/2006/relationships/hyperlink" Target="https://au.indeed.com/viewjob?from=iaBackPress&amp;jk=02edf59ddb1a3d78&amp;vjs=3" TargetMode="External"/><Relationship Id="rId200" Type="http://schemas.openxmlformats.org/officeDocument/2006/relationships/hyperlink" Target="https://au.indeed.com/viewjob?from=iaBackPress&amp;jk=02edf59ddb1a3d78&amp;vjs=3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au.indeed.com/viewjob?from=iaBackPress&amp;jk=7aec29d2c741923a&amp;vjs=3" TargetMode="External"/><Relationship Id="rId22" Type="http://schemas.openxmlformats.org/officeDocument/2006/relationships/hyperlink" Target="https://au.indeed.com/viewjob?from=iaBackPress&amp;jk=4c2d8cf0d15aca77&amp;vjs=3" TargetMode="External"/><Relationship Id="rId21" Type="http://schemas.openxmlformats.org/officeDocument/2006/relationships/hyperlink" Target="https://au.indeed.com/viewjob?from=iaBackPress&amp;jk=a5c3625418ff39a4&amp;vjs=3" TargetMode="External"/><Relationship Id="rId24" Type="http://schemas.openxmlformats.org/officeDocument/2006/relationships/hyperlink" Target="https://au.indeed.com/viewjob?from=iaBackPress&amp;jk=97b87860f90a1eaf&amp;vjs=3" TargetMode="External"/><Relationship Id="rId23" Type="http://schemas.openxmlformats.org/officeDocument/2006/relationships/hyperlink" Target="https://au.indeed.com/viewjob?from=iaBackPress&amp;jk=453e1064f40b155a&amp;vjs=3" TargetMode="External"/><Relationship Id="rId26" Type="http://schemas.openxmlformats.org/officeDocument/2006/relationships/drawing" Target="../drawings/drawing9.xml"/><Relationship Id="rId25" Type="http://schemas.openxmlformats.org/officeDocument/2006/relationships/hyperlink" Target="https://au.indeed.com/viewjob?from=iaBackPress&amp;jk=97b87860f90a1eaf&amp;vjs=3" TargetMode="External"/><Relationship Id="rId11" Type="http://schemas.openxmlformats.org/officeDocument/2006/relationships/hyperlink" Target="https://au.indeed.com/viewjob?from=iaBackPress&amp;jk=f409160b8d1ee990&amp;vjs=3" TargetMode="External"/><Relationship Id="rId10" Type="http://schemas.openxmlformats.org/officeDocument/2006/relationships/hyperlink" Target="https://au.indeed.com/viewjob?from=iaBackPress&amp;jk=a01cd9a8819fdb6d&amp;vjs=3" TargetMode="External"/><Relationship Id="rId13" Type="http://schemas.openxmlformats.org/officeDocument/2006/relationships/hyperlink" Target="https://au.indeed.com/viewjob?from=iaBackPress&amp;jk=49eae43bb03955d4&amp;vjs=3" TargetMode="External"/><Relationship Id="rId12" Type="http://schemas.openxmlformats.org/officeDocument/2006/relationships/hyperlink" Target="https://au.indeed.com/viewjob?from=iaBackPress&amp;jk=68c5d8270bd11ecf&amp;vjs=3" TargetMode="External"/><Relationship Id="rId15" Type="http://schemas.openxmlformats.org/officeDocument/2006/relationships/hyperlink" Target="https://au.indeed.com/viewjob?from=iaBackPress&amp;jk=29f65e39b9473cab&amp;vjs=3" TargetMode="External"/><Relationship Id="rId14" Type="http://schemas.openxmlformats.org/officeDocument/2006/relationships/hyperlink" Target="https://au.indeed.com/viewjob?from=iaBackPress&amp;jk=6646a11a906e5847&amp;vjs=3" TargetMode="External"/><Relationship Id="rId17" Type="http://schemas.openxmlformats.org/officeDocument/2006/relationships/hyperlink" Target="https://au.indeed.com/viewjob?from=iaBackPress&amp;jk=c9a5d49c9357af07&amp;vjs=3" TargetMode="External"/><Relationship Id="rId16" Type="http://schemas.openxmlformats.org/officeDocument/2006/relationships/hyperlink" Target="https://au.indeed.com/viewjob?from=iaBackPress&amp;jk=02edf59ddb1a3d78&amp;vjs=3" TargetMode="External"/><Relationship Id="rId19" Type="http://schemas.openxmlformats.org/officeDocument/2006/relationships/hyperlink" Target="https://au.indeed.com/viewjob?from=iaBackPress&amp;jk=f5b8921533ff29af&amp;vjs=3" TargetMode="External"/><Relationship Id="rId18" Type="http://schemas.openxmlformats.org/officeDocument/2006/relationships/hyperlink" Target="https://au.indeed.com/viewjob?from=iaBackPress&amp;jk=3da80f9020d632f3&amp;vjs=3" TargetMode="External"/><Relationship Id="rId1" Type="http://schemas.openxmlformats.org/officeDocument/2006/relationships/hyperlink" Target="https://au.indeed.com/viewjob?from=iaBackPress&amp;jk=97b87860f90a1eaf&amp;vjs=3" TargetMode="External"/><Relationship Id="rId2" Type="http://schemas.openxmlformats.org/officeDocument/2006/relationships/hyperlink" Target="https://au.indeed.com/viewjob?from=iaBackPress&amp;jk=b3a323a3b47fca8d&amp;vjs=3" TargetMode="External"/><Relationship Id="rId3" Type="http://schemas.openxmlformats.org/officeDocument/2006/relationships/hyperlink" Target="https://au.indeed.com/viewjob?from=iaBackPress&amp;jk=97b87860f90a1eaf&amp;vjs=3" TargetMode="External"/><Relationship Id="rId4" Type="http://schemas.openxmlformats.org/officeDocument/2006/relationships/hyperlink" Target="https://au.indeed.com/viewjob?from=iaBackPress&amp;jk=b3a323a3b47fca8d&amp;vjs=3" TargetMode="External"/><Relationship Id="rId9" Type="http://schemas.openxmlformats.org/officeDocument/2006/relationships/hyperlink" Target="https://au.indeed.com/viewjob?from=iaBackPress&amp;jk=78d9624fe7590315&amp;vjs=3" TargetMode="External"/><Relationship Id="rId5" Type="http://schemas.openxmlformats.org/officeDocument/2006/relationships/hyperlink" Target="https://au.indeed.com/viewjob?from=iaBackPress&amp;jk=c4e076f51cd11864&amp;vjs=3" TargetMode="External"/><Relationship Id="rId6" Type="http://schemas.openxmlformats.org/officeDocument/2006/relationships/hyperlink" Target="https://au.indeed.com/viewjob?from=iaBackPress&amp;jk=627c606995cd76ec&amp;vjs=3" TargetMode="External"/><Relationship Id="rId7" Type="http://schemas.openxmlformats.org/officeDocument/2006/relationships/hyperlink" Target="https://au.indeed.com/viewjob?from=iaBackPress&amp;jk=aa4829ec40db55a0&amp;vjs=3" TargetMode="External"/><Relationship Id="rId8" Type="http://schemas.openxmlformats.org/officeDocument/2006/relationships/hyperlink" Target="https://au.indeed.com/viewjob?from=iaBackPress&amp;jk=59748a463b6f36ae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9.14"/>
    <col customWidth="1" min="3" max="3" width="5.71"/>
    <col customWidth="1" min="4" max="8" width="4.29"/>
    <col customWidth="1" min="9" max="9" width="6.14"/>
    <col customWidth="1" min="10" max="11" width="4.29"/>
    <col customWidth="1" min="12" max="12" width="7.57"/>
    <col customWidth="1" min="13" max="13" width="32.0"/>
    <col customWidth="1" min="14" max="16" width="4.29"/>
    <col customWidth="1" min="17" max="17" width="29.14"/>
    <col customWidth="1" min="18" max="18" width="4.29"/>
    <col customWidth="1" min="19" max="19" width="6.14"/>
    <col customWidth="1" min="20" max="22" width="4.29"/>
    <col customWidth="1" min="23" max="23" width="7.29"/>
    <col customWidth="1" min="24" max="24" width="6.29"/>
    <col customWidth="1" min="25" max="25" width="4.29"/>
    <col customWidth="1" min="26" max="26" width="30.57"/>
    <col customWidth="1" min="27" max="28" width="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10</v>
      </c>
      <c r="S1" s="4" t="s">
        <v>8</v>
      </c>
      <c r="T1" s="5" t="s">
        <v>17</v>
      </c>
      <c r="U1" s="5" t="s">
        <v>18</v>
      </c>
      <c r="V1" s="4" t="s">
        <v>19</v>
      </c>
      <c r="W1" s="5" t="s">
        <v>20</v>
      </c>
      <c r="X1" s="5" t="s">
        <v>21</v>
      </c>
      <c r="Y1" s="6" t="s">
        <v>22</v>
      </c>
      <c r="Z1" s="7" t="s">
        <v>23</v>
      </c>
      <c r="AA1" s="7" t="s">
        <v>24</v>
      </c>
      <c r="AB1" s="8" t="s">
        <v>25</v>
      </c>
    </row>
    <row r="2">
      <c r="A2" s="9" t="b">
        <v>1</v>
      </c>
      <c r="B2" s="10" t="s">
        <v>26</v>
      </c>
      <c r="C2" s="11" t="s">
        <v>27</v>
      </c>
      <c r="D2" s="12"/>
      <c r="E2" s="12"/>
      <c r="F2" s="13"/>
      <c r="G2" s="12"/>
      <c r="H2" s="13"/>
      <c r="I2" s="11" t="s">
        <v>28</v>
      </c>
      <c r="J2" s="14"/>
      <c r="K2" s="13"/>
      <c r="L2" s="11">
        <v>100.0</v>
      </c>
      <c r="M2" s="15" t="s">
        <v>26</v>
      </c>
      <c r="N2" s="12"/>
      <c r="O2" s="12"/>
      <c r="P2" s="12"/>
      <c r="Q2" s="10" t="s">
        <v>26</v>
      </c>
      <c r="R2" s="16"/>
      <c r="S2" s="12"/>
      <c r="T2" s="12"/>
      <c r="U2" s="12"/>
      <c r="V2" s="16"/>
      <c r="W2" s="11" t="s">
        <v>29</v>
      </c>
      <c r="X2" s="11">
        <v>50.0</v>
      </c>
      <c r="Y2" s="17"/>
      <c r="Z2" s="18" t="s">
        <v>30</v>
      </c>
      <c r="AA2" s="16" t="s">
        <v>31</v>
      </c>
      <c r="AB2" s="16"/>
    </row>
    <row r="3">
      <c r="A3" s="9" t="b">
        <v>1</v>
      </c>
      <c r="B3" s="19" t="s">
        <v>32</v>
      </c>
      <c r="C3" s="11" t="s">
        <v>27</v>
      </c>
      <c r="F3" s="13"/>
      <c r="G3" s="19"/>
      <c r="H3" s="13"/>
      <c r="I3" s="11" t="s">
        <v>28</v>
      </c>
      <c r="J3" s="14"/>
      <c r="K3" s="13"/>
      <c r="L3" s="11">
        <v>100.0</v>
      </c>
      <c r="M3" s="20" t="s">
        <v>32</v>
      </c>
      <c r="N3" s="12"/>
      <c r="O3" s="12"/>
      <c r="P3" s="12"/>
      <c r="Q3" s="19" t="s">
        <v>32</v>
      </c>
      <c r="R3" s="16"/>
      <c r="S3" s="16"/>
      <c r="T3" s="16"/>
      <c r="U3" s="16"/>
      <c r="V3" s="16"/>
      <c r="W3" s="11" t="s">
        <v>29</v>
      </c>
      <c r="X3" s="11">
        <v>50.0</v>
      </c>
      <c r="Y3" s="17"/>
      <c r="Z3" s="18"/>
      <c r="AA3" s="16"/>
      <c r="AB3" s="16"/>
    </row>
    <row r="4">
      <c r="A4" s="9" t="b">
        <v>1</v>
      </c>
      <c r="B4" s="10" t="s">
        <v>33</v>
      </c>
      <c r="C4" s="11" t="s">
        <v>27</v>
      </c>
      <c r="F4" s="13"/>
      <c r="G4" s="10"/>
      <c r="H4" s="13"/>
      <c r="I4" s="11" t="s">
        <v>28</v>
      </c>
      <c r="J4" s="14"/>
      <c r="K4" s="13"/>
      <c r="L4" s="11">
        <v>100.0</v>
      </c>
      <c r="M4" s="15" t="s">
        <v>33</v>
      </c>
      <c r="N4" s="12"/>
      <c r="O4" s="12"/>
      <c r="P4" s="12"/>
      <c r="Q4" s="10" t="s">
        <v>33</v>
      </c>
      <c r="R4" s="16"/>
      <c r="S4" s="16"/>
      <c r="T4" s="16"/>
      <c r="U4" s="16"/>
      <c r="V4" s="16"/>
      <c r="W4" s="11" t="s">
        <v>29</v>
      </c>
      <c r="X4" s="11">
        <v>50.0</v>
      </c>
      <c r="Y4" s="17"/>
      <c r="Z4" s="17"/>
      <c r="AA4" s="16"/>
      <c r="AB4" s="16"/>
    </row>
    <row r="5">
      <c r="A5" s="9" t="b">
        <v>1</v>
      </c>
      <c r="B5" s="10" t="s">
        <v>34</v>
      </c>
      <c r="C5" s="11" t="s">
        <v>27</v>
      </c>
      <c r="F5" s="13"/>
      <c r="G5" s="10"/>
      <c r="H5" s="13"/>
      <c r="I5" s="11" t="s">
        <v>28</v>
      </c>
      <c r="J5" s="14"/>
      <c r="K5" s="13"/>
      <c r="L5" s="11">
        <v>100.0</v>
      </c>
      <c r="M5" s="15" t="s">
        <v>34</v>
      </c>
      <c r="N5" s="12"/>
      <c r="O5" s="12"/>
      <c r="P5" s="12"/>
      <c r="Q5" s="10" t="s">
        <v>34</v>
      </c>
      <c r="R5" s="16"/>
      <c r="S5" s="16"/>
      <c r="T5" s="16"/>
      <c r="U5" s="16"/>
      <c r="V5" s="16"/>
      <c r="W5" s="11" t="s">
        <v>29</v>
      </c>
      <c r="X5" s="11">
        <v>50.0</v>
      </c>
      <c r="Y5" s="17"/>
      <c r="Z5" s="17"/>
      <c r="AA5" s="16"/>
      <c r="AB5" s="16"/>
    </row>
    <row r="6">
      <c r="A6" s="9" t="b">
        <v>1</v>
      </c>
      <c r="B6" s="10" t="s">
        <v>35</v>
      </c>
      <c r="C6" s="11" t="s">
        <v>27</v>
      </c>
      <c r="F6" s="13"/>
      <c r="G6" s="10"/>
      <c r="H6" s="13"/>
      <c r="I6" s="11" t="s">
        <v>28</v>
      </c>
      <c r="J6" s="14"/>
      <c r="K6" s="13"/>
      <c r="L6" s="11">
        <v>100.0</v>
      </c>
      <c r="M6" s="15" t="s">
        <v>35</v>
      </c>
      <c r="N6" s="12"/>
      <c r="O6" s="12"/>
      <c r="P6" s="12"/>
      <c r="Q6" s="10" t="s">
        <v>35</v>
      </c>
      <c r="R6" s="16"/>
      <c r="S6" s="16"/>
      <c r="T6" s="16"/>
      <c r="U6" s="16"/>
      <c r="V6" s="16"/>
      <c r="W6" s="11" t="s">
        <v>29</v>
      </c>
      <c r="X6" s="11">
        <v>50.0</v>
      </c>
      <c r="Y6" s="17"/>
      <c r="Z6" s="17"/>
      <c r="AA6" s="16"/>
      <c r="AB6" s="16"/>
    </row>
    <row r="7">
      <c r="A7" s="9" t="b">
        <v>1</v>
      </c>
      <c r="B7" s="10" t="s">
        <v>36</v>
      </c>
      <c r="C7" s="11" t="s">
        <v>27</v>
      </c>
      <c r="F7" s="13"/>
      <c r="G7" s="10"/>
      <c r="H7" s="13"/>
      <c r="I7" s="11" t="s">
        <v>28</v>
      </c>
      <c r="J7" s="14"/>
      <c r="K7" s="13"/>
      <c r="L7" s="11">
        <v>100.0</v>
      </c>
      <c r="M7" s="15" t="s">
        <v>36</v>
      </c>
      <c r="N7" s="12"/>
      <c r="O7" s="12"/>
      <c r="P7" s="12"/>
      <c r="Q7" s="10" t="s">
        <v>36</v>
      </c>
      <c r="R7" s="16"/>
      <c r="S7" s="16"/>
      <c r="T7" s="16"/>
      <c r="U7" s="16"/>
      <c r="V7" s="16"/>
      <c r="W7" s="11" t="s">
        <v>29</v>
      </c>
      <c r="X7" s="11">
        <v>50.0</v>
      </c>
      <c r="Y7" s="17"/>
      <c r="Z7" s="17"/>
      <c r="AA7" s="16"/>
      <c r="AB7" s="16"/>
    </row>
    <row r="8">
      <c r="A8" s="9" t="b">
        <v>1</v>
      </c>
      <c r="B8" s="19" t="s">
        <v>37</v>
      </c>
      <c r="C8" s="11" t="s">
        <v>27</v>
      </c>
      <c r="F8" s="13"/>
      <c r="G8" s="19"/>
      <c r="H8" s="13"/>
      <c r="I8" s="11" t="s">
        <v>28</v>
      </c>
      <c r="J8" s="14"/>
      <c r="K8" s="13"/>
      <c r="L8" s="11">
        <v>100.0</v>
      </c>
      <c r="M8" s="20" t="s">
        <v>37</v>
      </c>
      <c r="N8" s="12"/>
      <c r="O8" s="12"/>
      <c r="P8" s="12"/>
      <c r="Q8" s="19" t="s">
        <v>37</v>
      </c>
      <c r="R8" s="16"/>
      <c r="S8" s="16"/>
      <c r="T8" s="16"/>
      <c r="U8" s="16"/>
      <c r="V8" s="16"/>
      <c r="W8" s="11" t="s">
        <v>29</v>
      </c>
      <c r="X8" s="11">
        <v>50.0</v>
      </c>
      <c r="Y8" s="17"/>
      <c r="Z8" s="17"/>
      <c r="AA8" s="16"/>
      <c r="AB8" s="16"/>
    </row>
    <row r="9">
      <c r="A9" s="9" t="b">
        <v>1</v>
      </c>
      <c r="B9" s="19" t="s">
        <v>38</v>
      </c>
      <c r="C9" s="11" t="s">
        <v>27</v>
      </c>
      <c r="F9" s="13"/>
      <c r="G9" s="19"/>
      <c r="H9" s="13"/>
      <c r="I9" s="11" t="s">
        <v>28</v>
      </c>
      <c r="J9" s="14"/>
      <c r="K9" s="13"/>
      <c r="L9" s="11">
        <v>100.0</v>
      </c>
      <c r="M9" s="20" t="s">
        <v>38</v>
      </c>
      <c r="N9" s="12"/>
      <c r="O9" s="12"/>
      <c r="P9" s="12"/>
      <c r="Q9" s="19" t="s">
        <v>38</v>
      </c>
      <c r="R9" s="16"/>
      <c r="S9" s="16"/>
      <c r="T9" s="16"/>
      <c r="U9" s="16"/>
      <c r="V9" s="16"/>
      <c r="W9" s="11" t="s">
        <v>29</v>
      </c>
      <c r="X9" s="11">
        <v>50.0</v>
      </c>
      <c r="Y9" s="17"/>
      <c r="Z9" s="17"/>
      <c r="AA9" s="16"/>
      <c r="AB9" s="16"/>
    </row>
    <row r="10">
      <c r="A10" s="9" t="b">
        <v>0</v>
      </c>
      <c r="B10" s="10" t="s">
        <v>39</v>
      </c>
      <c r="C10" s="11" t="s">
        <v>27</v>
      </c>
      <c r="F10" s="13"/>
      <c r="G10" s="10"/>
      <c r="H10" s="13"/>
      <c r="I10" s="11" t="s">
        <v>28</v>
      </c>
      <c r="J10" s="14"/>
      <c r="K10" s="13"/>
      <c r="L10" s="11">
        <v>100.0</v>
      </c>
      <c r="M10" s="15" t="s">
        <v>39</v>
      </c>
      <c r="N10" s="12"/>
      <c r="O10" s="12"/>
      <c r="P10" s="12"/>
      <c r="Q10" s="10" t="s">
        <v>39</v>
      </c>
      <c r="R10" s="16"/>
      <c r="S10" s="16"/>
      <c r="T10" s="16"/>
      <c r="U10" s="16"/>
      <c r="V10" s="16"/>
      <c r="W10" s="11" t="s">
        <v>29</v>
      </c>
      <c r="X10" s="11">
        <v>50.0</v>
      </c>
      <c r="Y10" s="17"/>
      <c r="Z10" s="17"/>
      <c r="AA10" s="16"/>
      <c r="AB10" s="16"/>
    </row>
    <row r="11">
      <c r="A11" s="9" t="b">
        <v>0</v>
      </c>
      <c r="B11" s="10" t="s">
        <v>40</v>
      </c>
      <c r="C11" s="11" t="s">
        <v>27</v>
      </c>
      <c r="F11" s="13"/>
      <c r="G11" s="10"/>
      <c r="H11" s="13"/>
      <c r="I11" s="11" t="s">
        <v>28</v>
      </c>
      <c r="J11" s="14"/>
      <c r="K11" s="13"/>
      <c r="L11" s="11">
        <v>100.0</v>
      </c>
      <c r="M11" s="15" t="s">
        <v>40</v>
      </c>
      <c r="N11" s="12"/>
      <c r="O11" s="12"/>
      <c r="P11" s="12"/>
      <c r="Q11" s="10" t="s">
        <v>40</v>
      </c>
      <c r="R11" s="16"/>
      <c r="S11" s="16"/>
      <c r="T11" s="16"/>
      <c r="U11" s="16"/>
      <c r="V11" s="16"/>
      <c r="W11" s="11" t="s">
        <v>29</v>
      </c>
      <c r="X11" s="11">
        <v>50.0</v>
      </c>
      <c r="Y11" s="17"/>
      <c r="Z11" s="17"/>
      <c r="AA11" s="16"/>
      <c r="AB11" s="16"/>
    </row>
    <row r="12">
      <c r="A12" s="9" t="b">
        <v>0</v>
      </c>
      <c r="B12" s="10" t="s">
        <v>41</v>
      </c>
      <c r="C12" s="11" t="s">
        <v>27</v>
      </c>
      <c r="F12" s="13"/>
      <c r="G12" s="10"/>
      <c r="H12" s="13"/>
      <c r="I12" s="11" t="s">
        <v>28</v>
      </c>
      <c r="J12" s="14"/>
      <c r="K12" s="13"/>
      <c r="L12" s="11">
        <v>100.0</v>
      </c>
      <c r="M12" s="15" t="s">
        <v>41</v>
      </c>
      <c r="N12" s="12"/>
      <c r="O12" s="12"/>
      <c r="P12" s="12"/>
      <c r="Q12" s="10" t="s">
        <v>41</v>
      </c>
      <c r="R12" s="16"/>
      <c r="S12" s="16"/>
      <c r="T12" s="16"/>
      <c r="U12" s="16"/>
      <c r="V12" s="16"/>
      <c r="W12" s="11" t="s">
        <v>29</v>
      </c>
      <c r="X12" s="11">
        <v>50.0</v>
      </c>
      <c r="Y12" s="17"/>
      <c r="Z12" s="17"/>
      <c r="AA12" s="16"/>
      <c r="AB12" s="16"/>
    </row>
    <row r="13">
      <c r="A13" s="9" t="b">
        <v>0</v>
      </c>
      <c r="B13" s="19" t="s">
        <v>42</v>
      </c>
      <c r="C13" s="11" t="s">
        <v>27</v>
      </c>
      <c r="F13" s="13"/>
      <c r="G13" s="19"/>
      <c r="H13" s="13"/>
      <c r="I13" s="11" t="s">
        <v>28</v>
      </c>
      <c r="J13" s="14"/>
      <c r="K13" s="13"/>
      <c r="L13" s="11">
        <v>100.0</v>
      </c>
      <c r="M13" s="20" t="s">
        <v>42</v>
      </c>
      <c r="N13" s="12"/>
      <c r="O13" s="12"/>
      <c r="P13" s="12"/>
      <c r="Q13" s="19" t="s">
        <v>42</v>
      </c>
      <c r="R13" s="16"/>
      <c r="S13" s="16"/>
      <c r="T13" s="16"/>
      <c r="U13" s="16"/>
      <c r="V13" s="16"/>
      <c r="W13" s="11" t="s">
        <v>29</v>
      </c>
      <c r="X13" s="11">
        <v>50.0</v>
      </c>
      <c r="Y13" s="17"/>
      <c r="Z13" s="17"/>
      <c r="AA13" s="16"/>
      <c r="AB13" s="16"/>
    </row>
    <row r="14">
      <c r="A14" s="9" t="b">
        <v>0</v>
      </c>
      <c r="B14" s="10" t="s">
        <v>43</v>
      </c>
      <c r="C14" s="11" t="s">
        <v>27</v>
      </c>
      <c r="F14" s="13"/>
      <c r="G14" s="10"/>
      <c r="H14" s="13"/>
      <c r="I14" s="11" t="s">
        <v>28</v>
      </c>
      <c r="J14" s="14"/>
      <c r="K14" s="13"/>
      <c r="L14" s="11">
        <v>100.0</v>
      </c>
      <c r="M14" s="15" t="s">
        <v>43</v>
      </c>
      <c r="N14" s="12"/>
      <c r="O14" s="12"/>
      <c r="P14" s="12"/>
      <c r="Q14" s="10" t="s">
        <v>43</v>
      </c>
      <c r="R14" s="16"/>
      <c r="S14" s="16"/>
      <c r="T14" s="16"/>
      <c r="U14" s="16"/>
      <c r="V14" s="16"/>
      <c r="W14" s="11" t="s">
        <v>29</v>
      </c>
      <c r="X14" s="11">
        <v>50.0</v>
      </c>
      <c r="Y14" s="17"/>
      <c r="Z14" s="17"/>
      <c r="AA14" s="16"/>
      <c r="AB14" s="16"/>
    </row>
    <row r="15">
      <c r="A15" s="9" t="b">
        <v>0</v>
      </c>
      <c r="B15" s="10" t="s">
        <v>44</v>
      </c>
      <c r="C15" s="11" t="s">
        <v>27</v>
      </c>
      <c r="F15" s="13"/>
      <c r="G15" s="10"/>
      <c r="H15" s="13"/>
      <c r="I15" s="11" t="s">
        <v>28</v>
      </c>
      <c r="J15" s="14"/>
      <c r="K15" s="13"/>
      <c r="L15" s="11">
        <v>100.0</v>
      </c>
      <c r="M15" s="15" t="s">
        <v>44</v>
      </c>
      <c r="N15" s="12"/>
      <c r="O15" s="12"/>
      <c r="P15" s="12"/>
      <c r="Q15" s="10" t="s">
        <v>44</v>
      </c>
      <c r="R15" s="16"/>
      <c r="S15" s="16"/>
      <c r="T15" s="16"/>
      <c r="U15" s="16"/>
      <c r="V15" s="16"/>
      <c r="W15" s="11" t="s">
        <v>29</v>
      </c>
      <c r="X15" s="11">
        <v>50.0</v>
      </c>
      <c r="Y15" s="17"/>
      <c r="Z15" s="17"/>
      <c r="AA15" s="16"/>
      <c r="AB15" s="16"/>
    </row>
    <row r="16">
      <c r="A16" s="9" t="b">
        <v>0</v>
      </c>
      <c r="B16" s="19" t="s">
        <v>45</v>
      </c>
      <c r="C16" s="11" t="s">
        <v>27</v>
      </c>
      <c r="F16" s="13"/>
      <c r="G16" s="19"/>
      <c r="H16" s="13"/>
      <c r="I16" s="11" t="s">
        <v>28</v>
      </c>
      <c r="J16" s="14"/>
      <c r="K16" s="13"/>
      <c r="L16" s="11">
        <v>100.0</v>
      </c>
      <c r="M16" s="20" t="s">
        <v>45</v>
      </c>
      <c r="N16" s="12"/>
      <c r="O16" s="12"/>
      <c r="P16" s="12"/>
      <c r="Q16" s="19" t="s">
        <v>45</v>
      </c>
      <c r="R16" s="16"/>
      <c r="S16" s="16"/>
      <c r="T16" s="16"/>
      <c r="U16" s="16"/>
      <c r="V16" s="16"/>
      <c r="W16" s="11" t="s">
        <v>29</v>
      </c>
      <c r="X16" s="11">
        <v>50.0</v>
      </c>
      <c r="Y16" s="17"/>
      <c r="Z16" s="17"/>
      <c r="AA16" s="16"/>
      <c r="AB16" s="16"/>
    </row>
    <row r="17">
      <c r="A17" s="9" t="b">
        <v>0</v>
      </c>
      <c r="B17" s="10" t="s">
        <v>46</v>
      </c>
      <c r="C17" s="11" t="s">
        <v>27</v>
      </c>
      <c r="F17" s="13"/>
      <c r="G17" s="10"/>
      <c r="H17" s="13"/>
      <c r="I17" s="11" t="s">
        <v>28</v>
      </c>
      <c r="J17" s="14"/>
      <c r="K17" s="13"/>
      <c r="L17" s="11">
        <v>100.0</v>
      </c>
      <c r="M17" s="15" t="s">
        <v>46</v>
      </c>
      <c r="N17" s="12"/>
      <c r="O17" s="12"/>
      <c r="P17" s="12"/>
      <c r="Q17" s="10" t="s">
        <v>46</v>
      </c>
      <c r="R17" s="16"/>
      <c r="S17" s="16"/>
      <c r="T17" s="16"/>
      <c r="U17" s="16"/>
      <c r="V17" s="16"/>
      <c r="W17" s="11" t="s">
        <v>29</v>
      </c>
      <c r="X17" s="11">
        <v>50.0</v>
      </c>
      <c r="Y17" s="17"/>
      <c r="Z17" s="17"/>
      <c r="AA17" s="16"/>
      <c r="AB17" s="16"/>
    </row>
    <row r="18">
      <c r="A18" s="9" t="b">
        <v>0</v>
      </c>
      <c r="B18" s="19" t="s">
        <v>47</v>
      </c>
      <c r="C18" s="11" t="s">
        <v>27</v>
      </c>
      <c r="F18" s="13"/>
      <c r="G18" s="19"/>
      <c r="H18" s="13"/>
      <c r="I18" s="11" t="s">
        <v>28</v>
      </c>
      <c r="J18" s="14"/>
      <c r="K18" s="13"/>
      <c r="L18" s="11">
        <v>100.0</v>
      </c>
      <c r="M18" s="20" t="s">
        <v>47</v>
      </c>
      <c r="N18" s="12"/>
      <c r="O18" s="12"/>
      <c r="P18" s="12"/>
      <c r="Q18" s="19" t="s">
        <v>47</v>
      </c>
      <c r="R18" s="16"/>
      <c r="S18" s="16"/>
      <c r="T18" s="16"/>
      <c r="U18" s="16"/>
      <c r="V18" s="16"/>
      <c r="W18" s="11" t="s">
        <v>29</v>
      </c>
      <c r="X18" s="11">
        <v>50.0</v>
      </c>
      <c r="Y18" s="17"/>
      <c r="Z18" s="17"/>
      <c r="AA18" s="16"/>
      <c r="AB18" s="16"/>
    </row>
    <row r="19">
      <c r="A19" s="9" t="b">
        <v>0</v>
      </c>
      <c r="B19" s="19" t="s">
        <v>48</v>
      </c>
      <c r="C19" s="11" t="s">
        <v>27</v>
      </c>
      <c r="F19" s="13"/>
      <c r="G19" s="19"/>
      <c r="H19" s="13"/>
      <c r="I19" s="11" t="s">
        <v>28</v>
      </c>
      <c r="J19" s="14"/>
      <c r="K19" s="13"/>
      <c r="L19" s="11">
        <v>100.0</v>
      </c>
      <c r="M19" s="20" t="s">
        <v>48</v>
      </c>
      <c r="N19" s="12"/>
      <c r="O19" s="12"/>
      <c r="P19" s="12"/>
      <c r="Q19" s="19" t="s">
        <v>48</v>
      </c>
      <c r="R19" s="16"/>
      <c r="S19" s="16"/>
      <c r="T19" s="16"/>
      <c r="U19" s="16"/>
      <c r="V19" s="16"/>
      <c r="W19" s="11" t="s">
        <v>29</v>
      </c>
      <c r="X19" s="11">
        <v>50.0</v>
      </c>
      <c r="Y19" s="17"/>
      <c r="Z19" s="17"/>
      <c r="AA19" s="16"/>
      <c r="AB19" s="16"/>
    </row>
    <row r="20">
      <c r="A20" s="9" t="b">
        <v>0</v>
      </c>
      <c r="B20" s="19" t="s">
        <v>49</v>
      </c>
      <c r="C20" s="11" t="s">
        <v>27</v>
      </c>
      <c r="F20" s="13"/>
      <c r="G20" s="19"/>
      <c r="H20" s="13"/>
      <c r="I20" s="11" t="s">
        <v>28</v>
      </c>
      <c r="J20" s="14"/>
      <c r="K20" s="13"/>
      <c r="L20" s="11">
        <v>100.0</v>
      </c>
      <c r="M20" s="20" t="s">
        <v>49</v>
      </c>
      <c r="N20" s="12"/>
      <c r="O20" s="12"/>
      <c r="P20" s="12"/>
      <c r="Q20" s="19" t="s">
        <v>49</v>
      </c>
      <c r="R20" s="16"/>
      <c r="S20" s="16"/>
      <c r="T20" s="16"/>
      <c r="U20" s="16"/>
      <c r="V20" s="16"/>
      <c r="W20" s="11" t="s">
        <v>29</v>
      </c>
      <c r="X20" s="11">
        <v>50.0</v>
      </c>
      <c r="Y20" s="17"/>
      <c r="Z20" s="17"/>
      <c r="AA20" s="16"/>
      <c r="AB20" s="16"/>
    </row>
    <row r="21">
      <c r="A21" s="9" t="b">
        <v>0</v>
      </c>
      <c r="B21" s="10" t="s">
        <v>50</v>
      </c>
      <c r="C21" s="11" t="s">
        <v>27</v>
      </c>
      <c r="F21" s="13"/>
      <c r="G21" s="10"/>
      <c r="H21" s="13"/>
      <c r="I21" s="11" t="s">
        <v>28</v>
      </c>
      <c r="J21" s="14"/>
      <c r="K21" s="13"/>
      <c r="L21" s="11">
        <v>100.0</v>
      </c>
      <c r="M21" s="15" t="s">
        <v>50</v>
      </c>
      <c r="N21" s="12"/>
      <c r="O21" s="12"/>
      <c r="P21" s="12"/>
      <c r="Q21" s="10" t="s">
        <v>50</v>
      </c>
      <c r="R21" s="16"/>
      <c r="S21" s="16"/>
      <c r="T21" s="16"/>
      <c r="U21" s="16"/>
      <c r="V21" s="16"/>
      <c r="W21" s="11" t="s">
        <v>29</v>
      </c>
      <c r="X21" s="11">
        <v>50.0</v>
      </c>
      <c r="Y21" s="17"/>
      <c r="Z21" s="17"/>
      <c r="AA21" s="16"/>
      <c r="AB21" s="16"/>
    </row>
    <row r="22">
      <c r="A22" s="9" t="b">
        <v>0</v>
      </c>
      <c r="B22" s="19" t="s">
        <v>51</v>
      </c>
      <c r="C22" s="11" t="s">
        <v>27</v>
      </c>
      <c r="F22" s="13"/>
      <c r="G22" s="19"/>
      <c r="H22" s="13"/>
      <c r="I22" s="11" t="s">
        <v>28</v>
      </c>
      <c r="J22" s="14"/>
      <c r="K22" s="13"/>
      <c r="L22" s="11">
        <v>100.0</v>
      </c>
      <c r="M22" s="20" t="s">
        <v>51</v>
      </c>
      <c r="N22" s="12"/>
      <c r="O22" s="12"/>
      <c r="P22" s="12"/>
      <c r="Q22" s="19" t="s">
        <v>51</v>
      </c>
      <c r="R22" s="16"/>
      <c r="S22" s="16"/>
      <c r="T22" s="16"/>
      <c r="U22" s="16"/>
      <c r="V22" s="16"/>
      <c r="W22" s="11" t="s">
        <v>29</v>
      </c>
      <c r="X22" s="11">
        <v>50.0</v>
      </c>
      <c r="Y22" s="17"/>
      <c r="Z22" s="17"/>
      <c r="AA22" s="16"/>
      <c r="AB22" s="16"/>
    </row>
    <row r="23">
      <c r="A23" s="9" t="b">
        <v>0</v>
      </c>
      <c r="B23" s="19" t="s">
        <v>52</v>
      </c>
      <c r="C23" s="11" t="s">
        <v>27</v>
      </c>
      <c r="F23" s="13"/>
      <c r="G23" s="19"/>
      <c r="H23" s="13"/>
      <c r="I23" s="11" t="s">
        <v>28</v>
      </c>
      <c r="J23" s="14"/>
      <c r="K23" s="13"/>
      <c r="L23" s="11">
        <v>100.0</v>
      </c>
      <c r="M23" s="20" t="s">
        <v>52</v>
      </c>
      <c r="N23" s="12"/>
      <c r="O23" s="12"/>
      <c r="P23" s="12"/>
      <c r="Q23" s="19" t="s">
        <v>52</v>
      </c>
      <c r="R23" s="16"/>
      <c r="S23" s="16"/>
      <c r="T23" s="16"/>
      <c r="U23" s="16"/>
      <c r="V23" s="16"/>
      <c r="W23" s="11" t="s">
        <v>29</v>
      </c>
      <c r="X23" s="11">
        <v>50.0</v>
      </c>
      <c r="Y23" s="17"/>
      <c r="Z23" s="17"/>
      <c r="AA23" s="16"/>
      <c r="AB23" s="16"/>
    </row>
    <row r="24">
      <c r="A24" s="9" t="b">
        <v>0</v>
      </c>
      <c r="B24" s="10" t="s">
        <v>53</v>
      </c>
      <c r="C24" s="11" t="s">
        <v>27</v>
      </c>
      <c r="F24" s="13"/>
      <c r="G24" s="10"/>
      <c r="H24" s="13"/>
      <c r="I24" s="11" t="s">
        <v>28</v>
      </c>
      <c r="J24" s="14"/>
      <c r="K24" s="13"/>
      <c r="L24" s="11">
        <v>100.0</v>
      </c>
      <c r="M24" s="15" t="s">
        <v>53</v>
      </c>
      <c r="N24" s="12"/>
      <c r="O24" s="12"/>
      <c r="P24" s="12"/>
      <c r="Q24" s="10" t="s">
        <v>53</v>
      </c>
      <c r="R24" s="16"/>
      <c r="S24" s="16"/>
      <c r="T24" s="16"/>
      <c r="U24" s="16"/>
      <c r="V24" s="16"/>
      <c r="W24" s="11" t="s">
        <v>29</v>
      </c>
      <c r="X24" s="11">
        <v>50.0</v>
      </c>
      <c r="Y24" s="17"/>
      <c r="Z24" s="17"/>
      <c r="AA24" s="16"/>
      <c r="AB24" s="16"/>
    </row>
    <row r="25">
      <c r="A25" s="9" t="b">
        <v>0</v>
      </c>
      <c r="B25" s="10" t="s">
        <v>54</v>
      </c>
      <c r="C25" s="11" t="s">
        <v>27</v>
      </c>
      <c r="F25" s="13"/>
      <c r="G25" s="10"/>
      <c r="H25" s="13"/>
      <c r="I25" s="11" t="s">
        <v>28</v>
      </c>
      <c r="J25" s="14"/>
      <c r="K25" s="13"/>
      <c r="L25" s="11">
        <v>100.0</v>
      </c>
      <c r="M25" s="15" t="s">
        <v>54</v>
      </c>
      <c r="N25" s="12"/>
      <c r="O25" s="12"/>
      <c r="P25" s="12"/>
      <c r="Q25" s="10" t="s">
        <v>54</v>
      </c>
      <c r="R25" s="16"/>
      <c r="S25" s="16"/>
      <c r="T25" s="16"/>
      <c r="U25" s="16"/>
      <c r="V25" s="16"/>
      <c r="W25" s="11" t="s">
        <v>29</v>
      </c>
      <c r="X25" s="11">
        <v>50.0</v>
      </c>
      <c r="Y25" s="17"/>
      <c r="Z25" s="17"/>
      <c r="AA25" s="16"/>
      <c r="AB25" s="16"/>
    </row>
  </sheetData>
  <dataValidations>
    <dataValidation type="list" allowBlank="1" sqref="D2:E2 G2 S2:U2 M2:P25 Y2:Z25">
      <formula1>"date"</formula1>
    </dataValidation>
    <dataValidation type="list" allowBlank="1" sqref="I2:I25">
      <formula1>"all,permanent,apprenticeship,fulltime,subcontract,flyin_flyout,parttime,internship,commission,temporary,volunteer,casual,contract"</formula1>
    </dataValidation>
    <dataValidation type="list" allowBlank="1" sqref="W2:W25">
      <formula1>"any,15,7,3,1,last"</formula1>
    </dataValidation>
    <dataValidation type="list" allowBlank="1" sqref="X2:X25">
      <formula1>"10,20,30,50"</formula1>
    </dataValidation>
    <dataValidation type="list" allowBlank="1" sqref="L2:L25">
      <formula1>"0,5,10,15,25,50,100"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2" width="19.71"/>
  </cols>
  <sheetData>
    <row r="1">
      <c r="A1" s="22" t="s">
        <v>9</v>
      </c>
      <c r="B1" s="23" t="s">
        <v>1</v>
      </c>
      <c r="C1" s="23" t="s">
        <v>56</v>
      </c>
      <c r="D1" s="23" t="s">
        <v>57</v>
      </c>
      <c r="E1" s="24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29"/>
    <col customWidth="1" min="3" max="3" width="22.29"/>
    <col customWidth="1" min="5" max="5" width="14.29"/>
  </cols>
  <sheetData>
    <row r="1">
      <c r="A1" s="25" t="s">
        <v>59</v>
      </c>
      <c r="B1" s="25" t="s">
        <v>60</v>
      </c>
      <c r="C1" s="25" t="s">
        <v>61</v>
      </c>
      <c r="D1" s="25" t="s">
        <v>62</v>
      </c>
      <c r="E1" s="26" t="s">
        <v>63</v>
      </c>
    </row>
    <row r="2">
      <c r="A2" s="27" t="s">
        <v>64</v>
      </c>
      <c r="B2" s="28" t="s">
        <v>65</v>
      </c>
      <c r="C2" s="28" t="s">
        <v>65</v>
      </c>
      <c r="D2" s="28" t="s">
        <v>65</v>
      </c>
      <c r="E2" s="28"/>
    </row>
    <row r="3">
      <c r="A3" s="27" t="s">
        <v>66</v>
      </c>
      <c r="B3" s="28" t="s">
        <v>65</v>
      </c>
      <c r="C3" s="28" t="s">
        <v>65</v>
      </c>
      <c r="D3" s="28" t="s">
        <v>65</v>
      </c>
      <c r="E3" s="28"/>
    </row>
    <row r="4">
      <c r="A4" s="27" t="s">
        <v>67</v>
      </c>
      <c r="B4" s="28" t="s">
        <v>65</v>
      </c>
      <c r="C4" s="28" t="s">
        <v>65</v>
      </c>
      <c r="D4" s="28" t="s">
        <v>65</v>
      </c>
      <c r="E4" s="28"/>
    </row>
    <row r="5">
      <c r="A5" s="27" t="s">
        <v>68</v>
      </c>
      <c r="B5" s="28">
        <v>5.0</v>
      </c>
      <c r="C5" s="28">
        <v>5.0</v>
      </c>
      <c r="D5" s="28">
        <v>5.0</v>
      </c>
      <c r="E5" s="28"/>
    </row>
    <row r="6">
      <c r="A6" s="27" t="s">
        <v>69</v>
      </c>
      <c r="B6" s="28">
        <v>5.0</v>
      </c>
      <c r="C6" s="28">
        <v>5.0</v>
      </c>
      <c r="D6" s="28">
        <v>5.0</v>
      </c>
      <c r="E6" s="28"/>
    </row>
    <row r="7">
      <c r="A7" s="27" t="s">
        <v>70</v>
      </c>
      <c r="B7" s="28">
        <v>10.0</v>
      </c>
      <c r="C7" s="28">
        <v>10.0</v>
      </c>
      <c r="D7" s="28">
        <v>10.0</v>
      </c>
      <c r="E7" s="28"/>
    </row>
    <row r="8">
      <c r="A8" s="27" t="s">
        <v>71</v>
      </c>
      <c r="B8" s="28" t="s">
        <v>72</v>
      </c>
      <c r="C8" s="28" t="s">
        <v>72</v>
      </c>
      <c r="D8" s="28" t="s">
        <v>72</v>
      </c>
      <c r="E8" s="28"/>
    </row>
    <row r="9">
      <c r="A9" s="27" t="s">
        <v>66</v>
      </c>
      <c r="B9" s="27" t="s">
        <v>65</v>
      </c>
      <c r="C9" s="27" t="s">
        <v>65</v>
      </c>
      <c r="D9" s="27" t="s">
        <v>65</v>
      </c>
      <c r="E9" s="27"/>
    </row>
    <row r="10">
      <c r="A10" s="27" t="s">
        <v>73</v>
      </c>
      <c r="B10" s="27" t="s">
        <v>65</v>
      </c>
      <c r="C10" s="27" t="s">
        <v>65</v>
      </c>
      <c r="D10" s="27" t="s">
        <v>65</v>
      </c>
      <c r="E10" s="27"/>
    </row>
    <row r="11">
      <c r="A11" s="27" t="s">
        <v>74</v>
      </c>
      <c r="B11" s="28">
        <v>5.0</v>
      </c>
      <c r="C11" s="28">
        <v>5.0</v>
      </c>
      <c r="D11" s="28">
        <v>5.0</v>
      </c>
      <c r="E11" s="28"/>
    </row>
    <row r="12">
      <c r="A12" s="27" t="s">
        <v>75</v>
      </c>
      <c r="B12" s="28">
        <v>5.0</v>
      </c>
      <c r="C12" s="28">
        <v>5.0</v>
      </c>
      <c r="D12" s="28">
        <v>5.0</v>
      </c>
      <c r="E12" s="28"/>
    </row>
    <row r="13">
      <c r="A13" s="29" t="s">
        <v>76</v>
      </c>
      <c r="B13" s="28">
        <v>5.0</v>
      </c>
      <c r="C13" s="28">
        <v>5.0</v>
      </c>
      <c r="D13" s="28">
        <v>5.0</v>
      </c>
      <c r="E13" s="28"/>
    </row>
    <row r="14">
      <c r="A14" s="27" t="s">
        <v>77</v>
      </c>
      <c r="B14" s="28">
        <v>5.0</v>
      </c>
      <c r="C14" s="28">
        <v>5.0</v>
      </c>
      <c r="D14" s="28">
        <v>5.0</v>
      </c>
      <c r="E14" s="28"/>
    </row>
    <row r="15">
      <c r="A15" s="27" t="s">
        <v>78</v>
      </c>
      <c r="B15" s="28" t="s">
        <v>79</v>
      </c>
      <c r="C15" s="28" t="s">
        <v>79</v>
      </c>
      <c r="D15" s="28" t="s">
        <v>79</v>
      </c>
      <c r="E15" s="28"/>
    </row>
    <row r="16">
      <c r="A16" s="27" t="s">
        <v>80</v>
      </c>
      <c r="B16" s="28" t="s">
        <v>79</v>
      </c>
      <c r="C16" s="28" t="s">
        <v>79</v>
      </c>
      <c r="D16" s="28" t="s">
        <v>79</v>
      </c>
      <c r="E16" s="28"/>
    </row>
    <row r="17">
      <c r="A17" s="27" t="s">
        <v>81</v>
      </c>
      <c r="B17" s="28" t="s">
        <v>79</v>
      </c>
      <c r="C17" s="28" t="s">
        <v>79</v>
      </c>
      <c r="D17" s="28" t="s">
        <v>79</v>
      </c>
      <c r="E17" s="28"/>
    </row>
    <row r="18">
      <c r="A18" s="27" t="s">
        <v>82</v>
      </c>
      <c r="B18" s="28" t="s">
        <v>79</v>
      </c>
      <c r="C18" s="28" t="s">
        <v>79</v>
      </c>
      <c r="D18" s="28" t="s">
        <v>79</v>
      </c>
      <c r="E18" s="28"/>
    </row>
    <row r="19">
      <c r="A19" s="30" t="s">
        <v>83</v>
      </c>
      <c r="B19" s="31" t="s">
        <v>84</v>
      </c>
      <c r="C19" s="31" t="s">
        <v>84</v>
      </c>
      <c r="D19" s="31" t="s">
        <v>84</v>
      </c>
      <c r="E19" s="31"/>
    </row>
    <row r="20">
      <c r="A20" s="30" t="s">
        <v>85</v>
      </c>
      <c r="B20" s="31" t="s">
        <v>86</v>
      </c>
      <c r="C20" s="31" t="s">
        <v>86</v>
      </c>
      <c r="D20" s="31" t="s">
        <v>86</v>
      </c>
      <c r="E20" s="31"/>
    </row>
    <row r="21">
      <c r="A21" s="30" t="s">
        <v>87</v>
      </c>
      <c r="B21" s="31" t="s">
        <v>88</v>
      </c>
      <c r="C21" s="31" t="s">
        <v>88</v>
      </c>
      <c r="D21" s="31" t="s">
        <v>88</v>
      </c>
      <c r="E21" s="31"/>
    </row>
    <row r="22">
      <c r="A22" s="30" t="s">
        <v>89</v>
      </c>
      <c r="B22" s="31" t="s">
        <v>90</v>
      </c>
      <c r="C22" s="31" t="s">
        <v>90</v>
      </c>
      <c r="D22" s="31" t="s">
        <v>90</v>
      </c>
      <c r="E22" s="31"/>
    </row>
    <row r="23">
      <c r="A23" s="30" t="s">
        <v>91</v>
      </c>
      <c r="B23" s="31" t="s">
        <v>92</v>
      </c>
      <c r="C23" s="31" t="s">
        <v>92</v>
      </c>
      <c r="D23" s="31" t="s">
        <v>92</v>
      </c>
      <c r="E23" s="31"/>
    </row>
    <row r="24">
      <c r="A24" s="30" t="s">
        <v>93</v>
      </c>
      <c r="B24" s="31" t="s">
        <v>92</v>
      </c>
      <c r="C24" s="31" t="s">
        <v>92</v>
      </c>
      <c r="D24" s="31" t="s">
        <v>92</v>
      </c>
      <c r="E24" s="31"/>
    </row>
    <row r="25">
      <c r="A25" s="30" t="s">
        <v>94</v>
      </c>
      <c r="B25" s="31" t="s">
        <v>65</v>
      </c>
      <c r="C25" s="31" t="s">
        <v>65</v>
      </c>
      <c r="D25" s="31" t="s">
        <v>65</v>
      </c>
      <c r="E25" s="31"/>
    </row>
    <row r="26">
      <c r="A26" s="30" t="s">
        <v>95</v>
      </c>
      <c r="B26" s="31" t="s">
        <v>96</v>
      </c>
      <c r="C26" s="31" t="s">
        <v>96</v>
      </c>
      <c r="D26" s="31" t="s">
        <v>96</v>
      </c>
      <c r="E26" s="31"/>
    </row>
    <row r="27">
      <c r="A27" s="30" t="s">
        <v>97</v>
      </c>
      <c r="B27" s="31" t="s">
        <v>65</v>
      </c>
      <c r="C27" s="31" t="s">
        <v>65</v>
      </c>
      <c r="D27" s="31" t="s">
        <v>65</v>
      </c>
      <c r="E27" s="31"/>
    </row>
    <row r="28">
      <c r="A28" s="30" t="s">
        <v>98</v>
      </c>
      <c r="B28" s="31" t="s">
        <v>65</v>
      </c>
      <c r="C28" s="31" t="s">
        <v>65</v>
      </c>
      <c r="D28" s="31" t="s">
        <v>65</v>
      </c>
      <c r="E28" s="31"/>
    </row>
    <row r="29">
      <c r="A29" s="30" t="s">
        <v>99</v>
      </c>
      <c r="B29" s="31" t="s">
        <v>65</v>
      </c>
      <c r="C29" s="31" t="s">
        <v>65</v>
      </c>
      <c r="D29" s="31" t="s">
        <v>65</v>
      </c>
      <c r="E29" s="31"/>
    </row>
    <row r="30">
      <c r="A30" s="30" t="s">
        <v>100</v>
      </c>
      <c r="B30" s="31" t="s">
        <v>65</v>
      </c>
      <c r="C30" s="31" t="s">
        <v>65</v>
      </c>
      <c r="D30" s="31" t="s">
        <v>65</v>
      </c>
      <c r="E30" s="31"/>
    </row>
    <row r="31">
      <c r="A31" s="30" t="s">
        <v>101</v>
      </c>
      <c r="B31" s="31" t="s">
        <v>65</v>
      </c>
      <c r="C31" s="31" t="s">
        <v>65</v>
      </c>
      <c r="D31" s="31" t="s">
        <v>65</v>
      </c>
      <c r="E31" s="31"/>
    </row>
    <row r="32">
      <c r="A32" s="30" t="s">
        <v>102</v>
      </c>
      <c r="B32" s="31" t="s">
        <v>65</v>
      </c>
      <c r="C32" s="31" t="s">
        <v>65</v>
      </c>
      <c r="D32" s="31" t="s">
        <v>65</v>
      </c>
      <c r="E32" s="31"/>
    </row>
    <row r="33">
      <c r="A33" s="30" t="s">
        <v>73</v>
      </c>
      <c r="B33" s="31" t="s">
        <v>65</v>
      </c>
      <c r="C33" s="31" t="s">
        <v>65</v>
      </c>
      <c r="D33" s="31" t="s">
        <v>65</v>
      </c>
      <c r="E33" s="31"/>
    </row>
    <row r="34">
      <c r="A34" s="18" t="s">
        <v>103</v>
      </c>
      <c r="B34" s="32"/>
      <c r="C34" s="32"/>
      <c r="D34" s="28" t="s">
        <v>104</v>
      </c>
      <c r="E34" s="32"/>
    </row>
    <row r="35">
      <c r="A35" s="18" t="s">
        <v>105</v>
      </c>
      <c r="B35" s="32"/>
      <c r="C35" s="28" t="s">
        <v>106</v>
      </c>
      <c r="D35" s="32"/>
      <c r="E35" s="32"/>
    </row>
    <row r="36">
      <c r="A36" s="18" t="s">
        <v>107</v>
      </c>
      <c r="B36" s="32"/>
      <c r="C36" s="28" t="s">
        <v>108</v>
      </c>
      <c r="D36" s="32"/>
      <c r="E36" s="32"/>
    </row>
    <row r="37">
      <c r="A37" s="33" t="s">
        <v>83</v>
      </c>
      <c r="B37" s="34" t="s">
        <v>65</v>
      </c>
      <c r="C37" s="34" t="s">
        <v>65</v>
      </c>
      <c r="D37" s="34" t="s">
        <v>65</v>
      </c>
      <c r="E37" s="35"/>
    </row>
    <row r="38">
      <c r="A38" s="35" t="s">
        <v>109</v>
      </c>
      <c r="B38" s="35" t="s">
        <v>65</v>
      </c>
      <c r="C38" s="35" t="s">
        <v>65</v>
      </c>
      <c r="D38" s="35" t="s">
        <v>65</v>
      </c>
      <c r="E38" s="35"/>
    </row>
    <row r="39">
      <c r="A39" s="35" t="s">
        <v>110</v>
      </c>
      <c r="B39" s="35" t="s">
        <v>65</v>
      </c>
      <c r="C39" s="35" t="s">
        <v>65</v>
      </c>
      <c r="D39" s="35" t="s">
        <v>65</v>
      </c>
      <c r="E39" s="35"/>
    </row>
    <row r="40">
      <c r="A40" s="35" t="s">
        <v>111</v>
      </c>
      <c r="B40" s="35" t="s">
        <v>65</v>
      </c>
      <c r="C40" s="35" t="s">
        <v>65</v>
      </c>
      <c r="D40" s="35" t="s">
        <v>65</v>
      </c>
      <c r="E40" s="35"/>
    </row>
    <row r="41">
      <c r="A41" s="35" t="s">
        <v>91</v>
      </c>
      <c r="B41" s="35" t="s">
        <v>92</v>
      </c>
      <c r="C41" s="35" t="s">
        <v>92</v>
      </c>
      <c r="D41" s="35" t="s">
        <v>92</v>
      </c>
      <c r="E41" s="35"/>
    </row>
    <row r="42">
      <c r="A42" s="35" t="s">
        <v>112</v>
      </c>
      <c r="B42" s="35" t="s">
        <v>92</v>
      </c>
      <c r="C42" s="35" t="s">
        <v>92</v>
      </c>
      <c r="D42" s="35" t="s">
        <v>92</v>
      </c>
      <c r="E42" s="35"/>
    </row>
    <row r="43">
      <c r="A43" s="35" t="s">
        <v>113</v>
      </c>
      <c r="B43" s="35" t="s">
        <v>65</v>
      </c>
      <c r="C43" s="35" t="s">
        <v>65</v>
      </c>
      <c r="D43" s="35" t="s">
        <v>65</v>
      </c>
      <c r="E43" s="35"/>
    </row>
    <row r="44">
      <c r="A44" s="35" t="s">
        <v>100</v>
      </c>
      <c r="B44" s="35" t="s">
        <v>92</v>
      </c>
      <c r="C44" s="35" t="s">
        <v>92</v>
      </c>
      <c r="D44" s="35" t="s">
        <v>92</v>
      </c>
      <c r="E44" s="35"/>
    </row>
    <row r="45">
      <c r="A45" s="35" t="s">
        <v>114</v>
      </c>
      <c r="B45" s="35" t="s">
        <v>115</v>
      </c>
      <c r="C45" s="35" t="s">
        <v>115</v>
      </c>
      <c r="D45" s="35" t="s">
        <v>115</v>
      </c>
      <c r="E45" s="35"/>
    </row>
    <row r="46">
      <c r="A46" s="35" t="s">
        <v>116</v>
      </c>
      <c r="B46" s="35" t="s">
        <v>65</v>
      </c>
      <c r="C46" s="35" t="s">
        <v>65</v>
      </c>
      <c r="D46" s="35" t="s">
        <v>65</v>
      </c>
      <c r="E46" s="35"/>
    </row>
    <row r="47">
      <c r="A47" s="36" t="s">
        <v>117</v>
      </c>
      <c r="B47" s="37" t="s">
        <v>118</v>
      </c>
      <c r="C47" s="37" t="s">
        <v>118</v>
      </c>
      <c r="D47" s="37" t="s">
        <v>118</v>
      </c>
      <c r="E47" s="35"/>
    </row>
    <row r="48">
      <c r="A48" s="37" t="s">
        <v>119</v>
      </c>
      <c r="B48" s="37" t="s">
        <v>118</v>
      </c>
      <c r="C48" s="37" t="s">
        <v>118</v>
      </c>
      <c r="D48" s="37" t="s">
        <v>118</v>
      </c>
      <c r="E48" s="35"/>
    </row>
    <row r="49">
      <c r="A49" s="37" t="s">
        <v>120</v>
      </c>
      <c r="B49" s="37" t="s">
        <v>65</v>
      </c>
      <c r="C49" s="37" t="s">
        <v>65</v>
      </c>
      <c r="D49" s="37" t="s">
        <v>65</v>
      </c>
      <c r="E49" s="35"/>
    </row>
    <row r="50">
      <c r="A50" s="35" t="s">
        <v>121</v>
      </c>
      <c r="B50" s="35" t="s">
        <v>118</v>
      </c>
      <c r="C50" s="35" t="s">
        <v>118</v>
      </c>
      <c r="D50" s="35" t="s">
        <v>118</v>
      </c>
      <c r="E50" s="35"/>
    </row>
    <row r="51">
      <c r="A51" s="35" t="s">
        <v>122</v>
      </c>
      <c r="B51" s="35" t="s">
        <v>79</v>
      </c>
      <c r="C51" s="35" t="s">
        <v>79</v>
      </c>
      <c r="D51" s="35" t="s">
        <v>79</v>
      </c>
      <c r="E51" s="35"/>
    </row>
    <row r="52">
      <c r="A52" s="35" t="s">
        <v>123</v>
      </c>
      <c r="B52" s="35" t="s">
        <v>124</v>
      </c>
      <c r="C52" s="35" t="s">
        <v>124</v>
      </c>
      <c r="D52" s="35" t="s">
        <v>124</v>
      </c>
      <c r="E52" s="35"/>
    </row>
    <row r="53">
      <c r="A53" s="36" t="s">
        <v>125</v>
      </c>
      <c r="B53" s="36" t="s">
        <v>79</v>
      </c>
      <c r="C53" s="36" t="s">
        <v>79</v>
      </c>
      <c r="D53" s="36" t="s">
        <v>79</v>
      </c>
      <c r="E53" s="35"/>
    </row>
    <row r="54">
      <c r="A54" s="35" t="s">
        <v>126</v>
      </c>
      <c r="B54" s="35" t="s">
        <v>127</v>
      </c>
      <c r="C54" s="35" t="s">
        <v>127</v>
      </c>
      <c r="D54" s="35" t="s">
        <v>127</v>
      </c>
      <c r="E54" s="35"/>
    </row>
    <row r="55">
      <c r="A55" s="35" t="s">
        <v>93</v>
      </c>
      <c r="B55" s="35" t="s">
        <v>92</v>
      </c>
      <c r="C55" s="35" t="s">
        <v>92</v>
      </c>
      <c r="D55" s="35" t="s">
        <v>92</v>
      </c>
      <c r="E55" s="35"/>
    </row>
    <row r="56">
      <c r="A56" s="35" t="s">
        <v>128</v>
      </c>
      <c r="B56" s="35" t="s">
        <v>65</v>
      </c>
      <c r="C56" s="35" t="s">
        <v>65</v>
      </c>
      <c r="D56" s="35" t="s">
        <v>65</v>
      </c>
      <c r="E56" s="35"/>
    </row>
    <row r="57">
      <c r="A57" s="35" t="s">
        <v>129</v>
      </c>
      <c r="B57" s="35" t="s">
        <v>65</v>
      </c>
      <c r="C57" s="35" t="s">
        <v>65</v>
      </c>
      <c r="D57" s="35" t="s">
        <v>65</v>
      </c>
      <c r="E57" s="35"/>
    </row>
    <row r="58">
      <c r="A58" s="35" t="s">
        <v>101</v>
      </c>
      <c r="B58" s="35" t="s">
        <v>65</v>
      </c>
      <c r="C58" s="35" t="s">
        <v>65</v>
      </c>
      <c r="D58" s="35" t="s">
        <v>65</v>
      </c>
      <c r="E58" s="35"/>
    </row>
    <row r="59">
      <c r="A59" s="37" t="s">
        <v>130</v>
      </c>
      <c r="B59" s="33" t="s">
        <v>65</v>
      </c>
      <c r="C59" s="33" t="s">
        <v>65</v>
      </c>
      <c r="D59" s="33" t="s">
        <v>65</v>
      </c>
      <c r="E59" s="35"/>
    </row>
    <row r="60">
      <c r="A60" s="35" t="s">
        <v>64</v>
      </c>
      <c r="B60" s="35" t="s">
        <v>65</v>
      </c>
      <c r="C60" s="35" t="s">
        <v>65</v>
      </c>
      <c r="D60" s="35" t="s">
        <v>65</v>
      </c>
      <c r="E60" s="35"/>
    </row>
    <row r="61">
      <c r="A61" s="33" t="s">
        <v>131</v>
      </c>
      <c r="B61" s="33" t="s">
        <v>132</v>
      </c>
      <c r="C61" s="33" t="s">
        <v>132</v>
      </c>
      <c r="D61" s="38" t="s">
        <v>132</v>
      </c>
      <c r="E61" s="35"/>
    </row>
    <row r="62">
      <c r="A62" s="35" t="s">
        <v>66</v>
      </c>
      <c r="B62" s="35" t="s">
        <v>65</v>
      </c>
      <c r="C62" s="35" t="s">
        <v>65</v>
      </c>
      <c r="D62" s="35" t="s">
        <v>65</v>
      </c>
      <c r="E62" s="35"/>
    </row>
    <row r="63">
      <c r="A63" s="35" t="s">
        <v>102</v>
      </c>
      <c r="B63" s="35" t="s">
        <v>65</v>
      </c>
      <c r="C63" s="35" t="s">
        <v>65</v>
      </c>
      <c r="D63" s="35" t="s">
        <v>65</v>
      </c>
      <c r="E63" s="35"/>
    </row>
    <row r="64">
      <c r="A64" s="35" t="s">
        <v>67</v>
      </c>
      <c r="B64" s="35" t="s">
        <v>65</v>
      </c>
      <c r="C64" s="35" t="s">
        <v>65</v>
      </c>
      <c r="D64" s="35" t="s">
        <v>65</v>
      </c>
      <c r="E64" s="35"/>
    </row>
    <row r="65">
      <c r="A65" s="37" t="s">
        <v>133</v>
      </c>
      <c r="B65" s="37" t="s">
        <v>134</v>
      </c>
      <c r="C65" s="37" t="s">
        <v>134</v>
      </c>
      <c r="D65" s="37" t="s">
        <v>134</v>
      </c>
      <c r="E65" s="35"/>
    </row>
    <row r="66">
      <c r="A66" s="37" t="s">
        <v>87</v>
      </c>
      <c r="B66" s="37" t="s">
        <v>88</v>
      </c>
      <c r="C66" s="37" t="s">
        <v>88</v>
      </c>
      <c r="D66" s="37" t="s">
        <v>88</v>
      </c>
      <c r="E66" s="36"/>
    </row>
    <row r="67">
      <c r="A67" s="37" t="s">
        <v>135</v>
      </c>
      <c r="B67" s="37" t="s">
        <v>88</v>
      </c>
      <c r="C67" s="37" t="s">
        <v>88</v>
      </c>
      <c r="D67" s="37" t="s">
        <v>88</v>
      </c>
      <c r="E67" s="36"/>
    </row>
    <row r="68">
      <c r="A68" s="35" t="s">
        <v>136</v>
      </c>
      <c r="B68" s="35" t="s">
        <v>92</v>
      </c>
      <c r="C68" s="35" t="s">
        <v>92</v>
      </c>
      <c r="D68" s="35" t="s">
        <v>92</v>
      </c>
      <c r="E68" s="36"/>
    </row>
    <row r="69">
      <c r="A69" s="35" t="s">
        <v>97</v>
      </c>
      <c r="B69" s="35" t="s">
        <v>65</v>
      </c>
      <c r="C69" s="35" t="s">
        <v>65</v>
      </c>
      <c r="D69" s="35" t="s">
        <v>65</v>
      </c>
      <c r="E69" s="36"/>
    </row>
    <row r="70">
      <c r="A70" s="35" t="s">
        <v>137</v>
      </c>
      <c r="B70" s="35" t="s">
        <v>92</v>
      </c>
      <c r="C70" s="35" t="s">
        <v>92</v>
      </c>
      <c r="D70" s="35" t="s">
        <v>92</v>
      </c>
      <c r="E70" s="36"/>
    </row>
    <row r="71">
      <c r="A71" s="35" t="s">
        <v>138</v>
      </c>
      <c r="B71" s="35" t="s">
        <v>139</v>
      </c>
      <c r="C71" s="35" t="s">
        <v>139</v>
      </c>
      <c r="D71" s="35" t="s">
        <v>139</v>
      </c>
      <c r="E71" s="36"/>
    </row>
    <row r="72">
      <c r="A72" s="35" t="s">
        <v>140</v>
      </c>
      <c r="B72" s="35" t="s">
        <v>139</v>
      </c>
      <c r="C72" s="35" t="s">
        <v>139</v>
      </c>
      <c r="D72" s="35" t="s">
        <v>139</v>
      </c>
      <c r="E72" s="36"/>
    </row>
    <row r="73">
      <c r="A73" s="37" t="s">
        <v>141</v>
      </c>
      <c r="B73" s="37" t="s">
        <v>118</v>
      </c>
      <c r="C73" s="37" t="s">
        <v>118</v>
      </c>
      <c r="D73" s="37" t="s">
        <v>118</v>
      </c>
      <c r="E73" s="36"/>
    </row>
    <row r="74">
      <c r="A74" s="35" t="s">
        <v>142</v>
      </c>
      <c r="B74" s="35" t="s">
        <v>143</v>
      </c>
      <c r="C74" s="35" t="s">
        <v>143</v>
      </c>
      <c r="D74" s="35" t="s">
        <v>143</v>
      </c>
      <c r="E74" s="36"/>
    </row>
    <row r="75">
      <c r="A75" s="36" t="s">
        <v>144</v>
      </c>
      <c r="B75" s="36" t="s">
        <v>79</v>
      </c>
      <c r="C75" s="36" t="s">
        <v>79</v>
      </c>
      <c r="D75" s="36" t="s">
        <v>79</v>
      </c>
      <c r="E75" s="36"/>
    </row>
    <row r="76">
      <c r="A76" s="35" t="s">
        <v>74</v>
      </c>
      <c r="B76" s="35">
        <v>5.0</v>
      </c>
      <c r="C76" s="35">
        <v>5.0</v>
      </c>
      <c r="D76" s="35">
        <v>5.0</v>
      </c>
      <c r="E76" s="36"/>
    </row>
    <row r="77">
      <c r="A77" s="35" t="s">
        <v>145</v>
      </c>
      <c r="B77" s="35">
        <v>5.0</v>
      </c>
      <c r="C77" s="35">
        <v>5.0</v>
      </c>
      <c r="D77" s="35">
        <v>5.0</v>
      </c>
      <c r="E77" s="36"/>
    </row>
    <row r="78">
      <c r="A78" s="35" t="s">
        <v>68</v>
      </c>
      <c r="B78" s="35">
        <v>5.0</v>
      </c>
      <c r="C78" s="35">
        <v>5.0</v>
      </c>
      <c r="D78" s="35">
        <v>5.0</v>
      </c>
      <c r="E78" s="36"/>
    </row>
    <row r="79">
      <c r="A79" s="37" t="s">
        <v>146</v>
      </c>
      <c r="B79" s="37" t="s">
        <v>147</v>
      </c>
      <c r="C79" s="37" t="s">
        <v>147</v>
      </c>
      <c r="D79" s="39" t="s">
        <v>147</v>
      </c>
      <c r="E79" s="36"/>
    </row>
    <row r="80">
      <c r="A80" s="37" t="s">
        <v>148</v>
      </c>
      <c r="B80" s="37" t="s">
        <v>147</v>
      </c>
      <c r="C80" s="37" t="s">
        <v>147</v>
      </c>
      <c r="D80" s="39" t="s">
        <v>147</v>
      </c>
      <c r="E80" s="36"/>
    </row>
    <row r="81">
      <c r="A81" s="35" t="s">
        <v>75</v>
      </c>
      <c r="B81" s="35">
        <v>5.0</v>
      </c>
      <c r="C81" s="35">
        <v>5.0</v>
      </c>
      <c r="D81" s="35">
        <v>5.0</v>
      </c>
      <c r="E81" s="36"/>
    </row>
    <row r="82">
      <c r="A82" s="35" t="s">
        <v>69</v>
      </c>
      <c r="B82" s="35">
        <v>5.0</v>
      </c>
      <c r="C82" s="35">
        <v>5.0</v>
      </c>
      <c r="D82" s="35">
        <v>5.0</v>
      </c>
      <c r="E82" s="36"/>
    </row>
    <row r="83">
      <c r="A83" s="40" t="s">
        <v>76</v>
      </c>
      <c r="B83" s="35">
        <v>5.0</v>
      </c>
      <c r="C83" s="35">
        <v>5.0</v>
      </c>
      <c r="D83" s="35">
        <v>5.0</v>
      </c>
      <c r="E83" s="36"/>
    </row>
    <row r="84">
      <c r="A84" s="35" t="s">
        <v>149</v>
      </c>
      <c r="B84" s="35">
        <v>5.0</v>
      </c>
      <c r="C84" s="35">
        <v>5.0</v>
      </c>
      <c r="D84" s="35">
        <v>5.0</v>
      </c>
      <c r="E84" s="36"/>
    </row>
    <row r="85">
      <c r="A85" s="37" t="s">
        <v>150</v>
      </c>
      <c r="B85" s="37" t="s">
        <v>147</v>
      </c>
      <c r="C85" s="37" t="s">
        <v>147</v>
      </c>
      <c r="D85" s="39" t="s">
        <v>147</v>
      </c>
      <c r="E85" s="36"/>
    </row>
    <row r="86">
      <c r="A86" s="35" t="s">
        <v>151</v>
      </c>
      <c r="B86" s="35">
        <v>5.0</v>
      </c>
      <c r="C86" s="35">
        <v>5.0</v>
      </c>
      <c r="D86" s="35">
        <v>5.0</v>
      </c>
      <c r="E86" s="36"/>
    </row>
    <row r="87">
      <c r="A87" s="35" t="s">
        <v>77</v>
      </c>
      <c r="B87" s="35">
        <v>5.0</v>
      </c>
      <c r="C87" s="35">
        <v>5.0</v>
      </c>
      <c r="D87" s="35">
        <v>5.0</v>
      </c>
      <c r="E87" s="36"/>
    </row>
    <row r="88">
      <c r="A88" s="35" t="s">
        <v>152</v>
      </c>
      <c r="B88" s="35">
        <v>5.0</v>
      </c>
      <c r="C88" s="35">
        <v>5.0</v>
      </c>
      <c r="D88" s="35">
        <v>5.0</v>
      </c>
      <c r="E88" s="36"/>
    </row>
    <row r="89">
      <c r="A89" s="37" t="s">
        <v>153</v>
      </c>
      <c r="B89" s="37" t="s">
        <v>147</v>
      </c>
      <c r="C89" s="37" t="s">
        <v>147</v>
      </c>
      <c r="D89" s="39" t="s">
        <v>147</v>
      </c>
      <c r="E89" s="36"/>
    </row>
    <row r="90">
      <c r="A90" s="35" t="s">
        <v>154</v>
      </c>
      <c r="B90" s="35">
        <v>5.0</v>
      </c>
      <c r="C90" s="35">
        <v>5.0</v>
      </c>
      <c r="D90" s="35">
        <v>5.0</v>
      </c>
      <c r="E90" s="36"/>
    </row>
    <row r="91">
      <c r="A91" s="35" t="s">
        <v>70</v>
      </c>
      <c r="B91" s="35">
        <v>10.0</v>
      </c>
      <c r="C91" s="35">
        <v>10.0</v>
      </c>
      <c r="D91" s="35">
        <v>10.0</v>
      </c>
      <c r="E91" s="36"/>
    </row>
    <row r="92">
      <c r="A92" s="33" t="s">
        <v>155</v>
      </c>
      <c r="B92" s="36" t="s">
        <v>156</v>
      </c>
      <c r="C92" s="36" t="s">
        <v>156</v>
      </c>
      <c r="D92" s="36" t="s">
        <v>156</v>
      </c>
      <c r="E92" s="36"/>
    </row>
    <row r="93">
      <c r="A93" s="35" t="s">
        <v>157</v>
      </c>
      <c r="B93" s="35" t="s">
        <v>65</v>
      </c>
      <c r="C93" s="35" t="s">
        <v>65</v>
      </c>
      <c r="D93" s="35" t="s">
        <v>65</v>
      </c>
      <c r="E93" s="36"/>
    </row>
    <row r="94">
      <c r="A94" s="37" t="s">
        <v>158</v>
      </c>
      <c r="B94" s="37" t="s">
        <v>65</v>
      </c>
      <c r="C94" s="37" t="s">
        <v>65</v>
      </c>
      <c r="D94" s="37" t="s">
        <v>65</v>
      </c>
      <c r="E94" s="36"/>
    </row>
    <row r="95">
      <c r="A95" s="35" t="s">
        <v>159</v>
      </c>
      <c r="B95" s="35" t="s">
        <v>124</v>
      </c>
      <c r="C95" s="35" t="s">
        <v>124</v>
      </c>
      <c r="D95" s="35" t="s">
        <v>124</v>
      </c>
      <c r="E95" s="36"/>
    </row>
    <row r="96">
      <c r="A96" s="36" t="s">
        <v>160</v>
      </c>
      <c r="B96" s="36" t="s">
        <v>79</v>
      </c>
      <c r="C96" s="36" t="s">
        <v>79</v>
      </c>
      <c r="D96" s="36" t="s">
        <v>79</v>
      </c>
      <c r="E96" s="36"/>
    </row>
    <row r="97">
      <c r="A97" s="36" t="s">
        <v>161</v>
      </c>
      <c r="B97" s="36" t="s">
        <v>79</v>
      </c>
      <c r="C97" s="36" t="s">
        <v>79</v>
      </c>
      <c r="D97" s="36" t="s">
        <v>79</v>
      </c>
      <c r="E97" s="36"/>
    </row>
    <row r="98">
      <c r="A98" s="36" t="s">
        <v>162</v>
      </c>
      <c r="B98" s="36" t="s">
        <v>79</v>
      </c>
      <c r="C98" s="36" t="s">
        <v>79</v>
      </c>
      <c r="D98" s="36" t="s">
        <v>79</v>
      </c>
      <c r="E98" s="36"/>
    </row>
    <row r="99">
      <c r="A99" s="36" t="s">
        <v>163</v>
      </c>
      <c r="B99" s="36" t="s">
        <v>79</v>
      </c>
      <c r="C99" s="36" t="s">
        <v>79</v>
      </c>
      <c r="D99" s="36" t="s">
        <v>79</v>
      </c>
      <c r="E99" s="36"/>
    </row>
    <row r="100">
      <c r="A100" s="36" t="s">
        <v>164</v>
      </c>
      <c r="B100" s="36" t="s">
        <v>79</v>
      </c>
      <c r="C100" s="36" t="s">
        <v>79</v>
      </c>
      <c r="D100" s="36" t="s">
        <v>79</v>
      </c>
      <c r="E100" s="36"/>
    </row>
    <row r="101">
      <c r="A101" s="35" t="s">
        <v>80</v>
      </c>
      <c r="B101" s="35" t="s">
        <v>79</v>
      </c>
      <c r="C101" s="35" t="s">
        <v>79</v>
      </c>
      <c r="D101" s="35" t="s">
        <v>79</v>
      </c>
      <c r="E101" s="36"/>
    </row>
    <row r="102">
      <c r="A102" s="35" t="s">
        <v>81</v>
      </c>
      <c r="B102" s="35" t="s">
        <v>79</v>
      </c>
      <c r="C102" s="35" t="s">
        <v>79</v>
      </c>
      <c r="D102" s="35" t="s">
        <v>79</v>
      </c>
      <c r="E102" s="36"/>
    </row>
    <row r="103">
      <c r="A103" s="35" t="s">
        <v>89</v>
      </c>
      <c r="B103" s="35" t="s">
        <v>90</v>
      </c>
      <c r="C103" s="35" t="s">
        <v>90</v>
      </c>
      <c r="D103" s="35" t="s">
        <v>90</v>
      </c>
      <c r="E103" s="36"/>
    </row>
    <row r="104">
      <c r="A104" s="37" t="s">
        <v>165</v>
      </c>
      <c r="B104" s="33" t="s">
        <v>79</v>
      </c>
      <c r="C104" s="33" t="s">
        <v>79</v>
      </c>
      <c r="D104" s="33" t="s">
        <v>79</v>
      </c>
      <c r="E104" s="36"/>
    </row>
    <row r="105">
      <c r="A105" s="37" t="s">
        <v>166</v>
      </c>
      <c r="B105" s="37" t="s">
        <v>65</v>
      </c>
      <c r="C105" s="37" t="s">
        <v>65</v>
      </c>
      <c r="D105" s="37" t="s">
        <v>65</v>
      </c>
      <c r="E105" s="36"/>
    </row>
    <row r="106">
      <c r="A106" s="36" t="s">
        <v>167</v>
      </c>
      <c r="B106" s="36" t="s">
        <v>79</v>
      </c>
      <c r="C106" s="36" t="s">
        <v>79</v>
      </c>
      <c r="D106" s="36" t="s">
        <v>79</v>
      </c>
      <c r="E106" s="36"/>
    </row>
    <row r="107">
      <c r="A107" s="37" t="s">
        <v>168</v>
      </c>
      <c r="B107" s="33" t="s">
        <v>79</v>
      </c>
      <c r="C107" s="33" t="s">
        <v>79</v>
      </c>
      <c r="D107" s="33" t="s">
        <v>79</v>
      </c>
      <c r="E107" s="36"/>
    </row>
    <row r="108">
      <c r="A108" s="36" t="s">
        <v>169</v>
      </c>
      <c r="B108" s="36" t="s">
        <v>79</v>
      </c>
      <c r="C108" s="36" t="s">
        <v>79</v>
      </c>
      <c r="D108" s="36" t="s">
        <v>79</v>
      </c>
      <c r="E108" s="36"/>
    </row>
    <row r="109">
      <c r="A109" s="37" t="s">
        <v>170</v>
      </c>
      <c r="B109" s="33" t="s">
        <v>79</v>
      </c>
      <c r="C109" s="33" t="s">
        <v>79</v>
      </c>
      <c r="D109" s="33" t="s">
        <v>79</v>
      </c>
      <c r="E109" s="36"/>
    </row>
    <row r="110">
      <c r="A110" s="36" t="s">
        <v>171</v>
      </c>
      <c r="B110" s="36" t="s">
        <v>79</v>
      </c>
      <c r="C110" s="36" t="s">
        <v>79</v>
      </c>
      <c r="D110" s="36" t="s">
        <v>79</v>
      </c>
      <c r="E110" s="36"/>
    </row>
    <row r="111">
      <c r="A111" s="35" t="s">
        <v>172</v>
      </c>
      <c r="B111" s="35" t="s">
        <v>92</v>
      </c>
      <c r="C111" s="35" t="s">
        <v>92</v>
      </c>
      <c r="D111" s="35" t="s">
        <v>92</v>
      </c>
      <c r="E111" s="36"/>
    </row>
    <row r="112">
      <c r="A112" s="37" t="s">
        <v>173</v>
      </c>
      <c r="B112" s="33" t="s">
        <v>79</v>
      </c>
      <c r="C112" s="33" t="s">
        <v>79</v>
      </c>
      <c r="D112" s="33" t="s">
        <v>79</v>
      </c>
      <c r="E112" s="36"/>
    </row>
    <row r="113">
      <c r="A113" s="35" t="s">
        <v>82</v>
      </c>
      <c r="B113" s="35" t="s">
        <v>79</v>
      </c>
      <c r="C113" s="35" t="s">
        <v>79</v>
      </c>
      <c r="D113" s="35" t="s">
        <v>79</v>
      </c>
      <c r="E113" s="36"/>
    </row>
    <row r="114">
      <c r="A114" s="36" t="s">
        <v>174</v>
      </c>
      <c r="B114" s="36" t="s">
        <v>79</v>
      </c>
      <c r="C114" s="36" t="s">
        <v>79</v>
      </c>
      <c r="D114" s="36" t="s">
        <v>79</v>
      </c>
      <c r="E114" s="36"/>
    </row>
    <row r="115">
      <c r="A115" s="35" t="s">
        <v>175</v>
      </c>
      <c r="B115" s="35" t="s">
        <v>176</v>
      </c>
      <c r="C115" s="35" t="s">
        <v>176</v>
      </c>
      <c r="D115" s="41" t="s">
        <v>176</v>
      </c>
      <c r="E115" s="36"/>
    </row>
    <row r="116">
      <c r="A116" s="36" t="s">
        <v>177</v>
      </c>
      <c r="B116" s="36" t="s">
        <v>79</v>
      </c>
      <c r="C116" s="36" t="s">
        <v>79</v>
      </c>
      <c r="D116" s="36" t="s">
        <v>79</v>
      </c>
      <c r="E116" s="36"/>
    </row>
    <row r="117">
      <c r="A117" s="37" t="s">
        <v>178</v>
      </c>
      <c r="B117" s="37" t="s">
        <v>179</v>
      </c>
      <c r="C117" s="37" t="s">
        <v>179</v>
      </c>
      <c r="D117" s="37" t="s">
        <v>179</v>
      </c>
      <c r="E117" s="36"/>
    </row>
    <row r="118">
      <c r="A118" s="37" t="s">
        <v>180</v>
      </c>
      <c r="B118" s="37" t="s">
        <v>181</v>
      </c>
      <c r="C118" s="37" t="s">
        <v>181</v>
      </c>
      <c r="D118" s="37" t="s">
        <v>181</v>
      </c>
      <c r="E118" s="36"/>
    </row>
    <row r="119">
      <c r="A119" s="36" t="s">
        <v>105</v>
      </c>
      <c r="B119" s="36" t="s">
        <v>79</v>
      </c>
      <c r="C119" s="36" t="s">
        <v>79</v>
      </c>
      <c r="D119" s="36" t="s">
        <v>79</v>
      </c>
      <c r="E119" s="36"/>
    </row>
    <row r="120">
      <c r="A120" s="37" t="s">
        <v>182</v>
      </c>
      <c r="B120" s="33" t="s">
        <v>183</v>
      </c>
      <c r="C120" s="33" t="s">
        <v>183</v>
      </c>
      <c r="D120" s="33" t="s">
        <v>183</v>
      </c>
      <c r="E120" s="36"/>
    </row>
    <row r="121">
      <c r="A121" s="36" t="s">
        <v>184</v>
      </c>
      <c r="B121" s="36" t="s">
        <v>79</v>
      </c>
      <c r="C121" s="36" t="s">
        <v>79</v>
      </c>
      <c r="D121" s="36" t="s">
        <v>79</v>
      </c>
      <c r="E121" s="36"/>
    </row>
    <row r="122">
      <c r="A122" s="36" t="s">
        <v>61</v>
      </c>
      <c r="B122" s="36" t="s">
        <v>79</v>
      </c>
      <c r="C122" s="36" t="s">
        <v>79</v>
      </c>
      <c r="D122" s="36" t="s">
        <v>79</v>
      </c>
      <c r="E122" s="36"/>
    </row>
    <row r="123">
      <c r="A123" s="36" t="s">
        <v>185</v>
      </c>
      <c r="B123" s="36" t="s">
        <v>79</v>
      </c>
      <c r="C123" s="36" t="s">
        <v>79</v>
      </c>
      <c r="D123" s="36" t="s">
        <v>79</v>
      </c>
      <c r="E123" s="36"/>
    </row>
    <row r="124">
      <c r="A124" s="36" t="s">
        <v>186</v>
      </c>
      <c r="B124" s="36" t="s">
        <v>79</v>
      </c>
      <c r="C124" s="36" t="s">
        <v>79</v>
      </c>
      <c r="D124" s="36" t="s">
        <v>79</v>
      </c>
      <c r="E124" s="36"/>
    </row>
    <row r="125">
      <c r="A125" s="36" t="s">
        <v>187</v>
      </c>
      <c r="B125" s="36" t="s">
        <v>79</v>
      </c>
      <c r="C125" s="36" t="s">
        <v>79</v>
      </c>
      <c r="D125" s="36" t="s">
        <v>79</v>
      </c>
      <c r="E125" s="36"/>
    </row>
    <row r="126">
      <c r="A126" s="36" t="s">
        <v>188</v>
      </c>
      <c r="B126" s="36" t="s">
        <v>79</v>
      </c>
      <c r="C126" s="36" t="s">
        <v>79</v>
      </c>
      <c r="D126" s="36" t="s">
        <v>79</v>
      </c>
      <c r="E126" s="36"/>
    </row>
    <row r="127">
      <c r="A127" s="35" t="s">
        <v>94</v>
      </c>
      <c r="B127" s="35" t="s">
        <v>65</v>
      </c>
      <c r="C127" s="35" t="s">
        <v>65</v>
      </c>
      <c r="D127" s="35" t="s">
        <v>65</v>
      </c>
      <c r="E127" s="36"/>
    </row>
    <row r="128">
      <c r="A128" s="36" t="s">
        <v>189</v>
      </c>
      <c r="B128" s="36" t="s">
        <v>79</v>
      </c>
      <c r="C128" s="36" t="s">
        <v>79</v>
      </c>
      <c r="D128" s="36" t="s">
        <v>79</v>
      </c>
      <c r="E128" s="36"/>
    </row>
    <row r="129">
      <c r="A129" s="36" t="s">
        <v>190</v>
      </c>
      <c r="B129" s="36" t="s">
        <v>79</v>
      </c>
      <c r="C129" s="36" t="s">
        <v>79</v>
      </c>
      <c r="D129" s="36" t="s">
        <v>79</v>
      </c>
      <c r="E129" s="36"/>
    </row>
    <row r="130">
      <c r="A130" s="37" t="s">
        <v>191</v>
      </c>
      <c r="B130" s="37" t="s">
        <v>192</v>
      </c>
      <c r="C130" s="37" t="s">
        <v>192</v>
      </c>
      <c r="D130" s="37" t="s">
        <v>192</v>
      </c>
      <c r="E130" s="36"/>
    </row>
    <row r="131">
      <c r="A131" s="36" t="s">
        <v>193</v>
      </c>
      <c r="B131" s="36" t="s">
        <v>79</v>
      </c>
      <c r="C131" s="36" t="s">
        <v>79</v>
      </c>
      <c r="D131" s="36" t="s">
        <v>79</v>
      </c>
      <c r="E131" s="36"/>
    </row>
    <row r="132">
      <c r="A132" s="36" t="s">
        <v>194</v>
      </c>
      <c r="B132" s="36" t="s">
        <v>139</v>
      </c>
      <c r="C132" s="36" t="s">
        <v>139</v>
      </c>
      <c r="D132" s="36" t="s">
        <v>139</v>
      </c>
      <c r="E132" s="36"/>
    </row>
    <row r="133">
      <c r="A133" s="36" t="s">
        <v>195</v>
      </c>
      <c r="B133" s="36" t="s">
        <v>139</v>
      </c>
      <c r="C133" s="36" t="s">
        <v>139</v>
      </c>
      <c r="D133" s="36" t="s">
        <v>139</v>
      </c>
      <c r="E133" s="36"/>
    </row>
    <row r="134">
      <c r="A134" s="35" t="s">
        <v>95</v>
      </c>
      <c r="B134" s="35" t="s">
        <v>139</v>
      </c>
      <c r="C134" s="35" t="s">
        <v>139</v>
      </c>
      <c r="D134" s="35" t="s">
        <v>139</v>
      </c>
      <c r="E134" s="36"/>
    </row>
    <row r="135">
      <c r="A135" s="37" t="s">
        <v>196</v>
      </c>
      <c r="B135" s="33" t="s">
        <v>124</v>
      </c>
      <c r="C135" s="33" t="s">
        <v>124</v>
      </c>
      <c r="D135" s="33" t="s">
        <v>124</v>
      </c>
      <c r="E135" s="36"/>
    </row>
    <row r="136">
      <c r="A136" s="37" t="s">
        <v>107</v>
      </c>
      <c r="B136" s="37" t="s">
        <v>197</v>
      </c>
      <c r="C136" s="37" t="s">
        <v>197</v>
      </c>
      <c r="D136" s="37" t="s">
        <v>197</v>
      </c>
      <c r="E136" s="36"/>
    </row>
    <row r="137">
      <c r="A137" s="35" t="s">
        <v>198</v>
      </c>
      <c r="B137" s="35" t="s">
        <v>124</v>
      </c>
      <c r="C137" s="35" t="s">
        <v>124</v>
      </c>
      <c r="D137" s="35" t="s">
        <v>124</v>
      </c>
      <c r="E137" s="36"/>
    </row>
    <row r="138">
      <c r="A138" s="36" t="s">
        <v>199</v>
      </c>
      <c r="B138" s="36" t="s">
        <v>127</v>
      </c>
      <c r="C138" s="36" t="s">
        <v>127</v>
      </c>
      <c r="D138" s="36" t="s">
        <v>127</v>
      </c>
      <c r="E138" s="36"/>
    </row>
    <row r="139">
      <c r="A139" s="37" t="s">
        <v>200</v>
      </c>
      <c r="B139" s="33" t="s">
        <v>201</v>
      </c>
      <c r="C139" s="33" t="s">
        <v>201</v>
      </c>
      <c r="D139" s="33" t="s">
        <v>201</v>
      </c>
      <c r="E139" s="36"/>
    </row>
    <row r="140">
      <c r="A140" s="35" t="s">
        <v>202</v>
      </c>
      <c r="B140" s="35" t="s">
        <v>176</v>
      </c>
      <c r="C140" s="35" t="s">
        <v>176</v>
      </c>
      <c r="D140" s="41" t="s">
        <v>176</v>
      </c>
      <c r="E140" s="36"/>
    </row>
    <row r="141">
      <c r="A141" s="35" t="s">
        <v>85</v>
      </c>
      <c r="B141" s="35" t="s">
        <v>86</v>
      </c>
      <c r="C141" s="35" t="s">
        <v>86</v>
      </c>
      <c r="D141" s="35" t="s">
        <v>86</v>
      </c>
      <c r="E141" s="36"/>
    </row>
    <row r="142">
      <c r="A142" s="35" t="s">
        <v>78</v>
      </c>
      <c r="B142" s="35" t="s">
        <v>79</v>
      </c>
      <c r="C142" s="35" t="s">
        <v>79</v>
      </c>
      <c r="D142" s="35" t="s">
        <v>79</v>
      </c>
      <c r="E142" s="36"/>
    </row>
    <row r="143">
      <c r="A143" s="37" t="s">
        <v>203</v>
      </c>
      <c r="B143" s="37" t="s">
        <v>204</v>
      </c>
      <c r="C143" s="37" t="s">
        <v>204</v>
      </c>
      <c r="D143" s="39" t="s">
        <v>204</v>
      </c>
      <c r="E143" s="36"/>
    </row>
    <row r="144">
      <c r="A144" s="35" t="s">
        <v>71</v>
      </c>
      <c r="B144" s="35" t="s">
        <v>72</v>
      </c>
      <c r="C144" s="35" t="s">
        <v>72</v>
      </c>
      <c r="D144" s="41" t="s">
        <v>72</v>
      </c>
      <c r="E144" s="36"/>
    </row>
    <row r="145">
      <c r="A145" s="36" t="s">
        <v>103</v>
      </c>
      <c r="B145" s="36" t="s">
        <v>79</v>
      </c>
      <c r="C145" s="36" t="s">
        <v>79</v>
      </c>
      <c r="D145" s="36" t="s">
        <v>79</v>
      </c>
      <c r="E145" s="36"/>
    </row>
    <row r="146">
      <c r="A146" s="36" t="s">
        <v>205</v>
      </c>
      <c r="B146" s="36" t="s">
        <v>92</v>
      </c>
      <c r="C146" s="36" t="s">
        <v>92</v>
      </c>
      <c r="D146" s="36" t="s">
        <v>92</v>
      </c>
      <c r="E146" s="36"/>
    </row>
    <row r="147">
      <c r="A147" s="36" t="s">
        <v>206</v>
      </c>
      <c r="B147" s="36" t="s">
        <v>79</v>
      </c>
      <c r="C147" s="36" t="s">
        <v>79</v>
      </c>
      <c r="D147" s="36" t="s">
        <v>79</v>
      </c>
      <c r="E147" s="36"/>
    </row>
    <row r="148">
      <c r="A148" s="36" t="s">
        <v>207</v>
      </c>
      <c r="B148" s="36" t="s">
        <v>79</v>
      </c>
      <c r="C148" s="36" t="s">
        <v>79</v>
      </c>
      <c r="D148" s="36" t="s">
        <v>79</v>
      </c>
      <c r="E148" s="36"/>
    </row>
    <row r="149">
      <c r="A149" s="36" t="s">
        <v>208</v>
      </c>
      <c r="B149" s="36" t="s">
        <v>79</v>
      </c>
      <c r="C149" s="36" t="s">
        <v>79</v>
      </c>
      <c r="D149" s="36" t="s">
        <v>79</v>
      </c>
      <c r="E149" s="36"/>
    </row>
    <row r="150">
      <c r="A150" s="13"/>
      <c r="B150" s="32"/>
      <c r="C150" s="32"/>
      <c r="D150" s="32"/>
      <c r="E150" s="32"/>
    </row>
    <row r="151">
      <c r="A151" s="13"/>
      <c r="B151" s="32"/>
      <c r="C151" s="32"/>
      <c r="D151" s="32"/>
      <c r="E151" s="32"/>
    </row>
    <row r="152">
      <c r="A152" s="13"/>
      <c r="B152" s="32"/>
      <c r="C152" s="32"/>
      <c r="D152" s="32"/>
      <c r="E152" s="32"/>
    </row>
    <row r="153">
      <c r="A153" s="13"/>
      <c r="B153" s="32"/>
      <c r="C153" s="32"/>
      <c r="D153" s="32"/>
      <c r="E153" s="32"/>
    </row>
    <row r="154">
      <c r="A154" s="13"/>
      <c r="B154" s="32"/>
      <c r="C154" s="32"/>
      <c r="D154" s="32"/>
      <c r="E154" s="32"/>
    </row>
    <row r="155">
      <c r="A155" s="13"/>
      <c r="B155" s="32"/>
      <c r="C155" s="32"/>
      <c r="D155" s="32"/>
      <c r="E155" s="32"/>
    </row>
    <row r="156">
      <c r="A156" s="13"/>
      <c r="B156" s="32"/>
      <c r="C156" s="32"/>
      <c r="D156" s="32"/>
      <c r="E156" s="32"/>
    </row>
    <row r="157">
      <c r="A157" s="13"/>
      <c r="B157" s="32"/>
      <c r="C157" s="32"/>
      <c r="D157" s="32"/>
      <c r="E157" s="32"/>
    </row>
    <row r="158">
      <c r="A158" s="13"/>
      <c r="B158" s="32"/>
      <c r="C158" s="32"/>
      <c r="D158" s="32"/>
      <c r="E158" s="32"/>
    </row>
    <row r="159">
      <c r="A159" s="13"/>
      <c r="B159" s="32"/>
      <c r="C159" s="32"/>
      <c r="D159" s="32"/>
      <c r="E159" s="32"/>
    </row>
    <row r="160">
      <c r="A160" s="13"/>
      <c r="B160" s="32"/>
      <c r="C160" s="32"/>
      <c r="D160" s="32"/>
      <c r="E160" s="32"/>
    </row>
    <row r="161">
      <c r="A161" s="13"/>
      <c r="B161" s="32"/>
      <c r="C161" s="32"/>
      <c r="D161" s="32"/>
      <c r="E161" s="32"/>
    </row>
    <row r="162">
      <c r="A162" s="13"/>
      <c r="B162" s="32"/>
      <c r="C162" s="32"/>
      <c r="D162" s="32"/>
      <c r="E162" s="32"/>
    </row>
    <row r="163">
      <c r="A163" s="13"/>
      <c r="B163" s="32"/>
      <c r="C163" s="32"/>
      <c r="D163" s="32"/>
      <c r="E163" s="32"/>
    </row>
    <row r="164">
      <c r="A164" s="13"/>
      <c r="B164" s="32"/>
      <c r="C164" s="32"/>
      <c r="D164" s="32"/>
      <c r="E164" s="32"/>
    </row>
    <row r="165">
      <c r="A165" s="13"/>
      <c r="B165" s="32"/>
      <c r="C165" s="32"/>
      <c r="D165" s="32"/>
      <c r="E165" s="32"/>
    </row>
    <row r="166">
      <c r="A166" s="13"/>
      <c r="B166" s="32"/>
      <c r="C166" s="32"/>
      <c r="D166" s="32"/>
      <c r="E166" s="32"/>
    </row>
    <row r="167">
      <c r="A167" s="13"/>
      <c r="B167" s="32"/>
      <c r="C167" s="32"/>
      <c r="D167" s="32"/>
      <c r="E167" s="32"/>
    </row>
    <row r="168">
      <c r="A168" s="13"/>
      <c r="B168" s="32"/>
      <c r="C168" s="32"/>
      <c r="D168" s="32"/>
      <c r="E168" s="32"/>
    </row>
    <row r="169">
      <c r="A169" s="13"/>
      <c r="B169" s="32"/>
      <c r="C169" s="32"/>
      <c r="D169" s="32"/>
      <c r="E169" s="32"/>
    </row>
    <row r="170">
      <c r="A170" s="13"/>
      <c r="B170" s="32"/>
      <c r="C170" s="32"/>
      <c r="D170" s="32"/>
      <c r="E170" s="32"/>
    </row>
    <row r="171">
      <c r="A171" s="13"/>
      <c r="B171" s="32"/>
      <c r="C171" s="32"/>
      <c r="D171" s="32"/>
      <c r="E171" s="32"/>
    </row>
    <row r="172">
      <c r="A172" s="13"/>
      <c r="B172" s="32"/>
      <c r="C172" s="32"/>
      <c r="D172" s="32"/>
      <c r="E172" s="32"/>
    </row>
    <row r="173">
      <c r="A173" s="13"/>
      <c r="B173" s="32"/>
      <c r="C173" s="32"/>
      <c r="D173" s="32"/>
      <c r="E173" s="32"/>
    </row>
    <row r="174">
      <c r="A174" s="13"/>
      <c r="B174" s="32"/>
      <c r="C174" s="32"/>
      <c r="D174" s="32"/>
      <c r="E174" s="32"/>
    </row>
    <row r="175">
      <c r="A175" s="13"/>
      <c r="B175" s="32"/>
      <c r="C175" s="32"/>
      <c r="D175" s="32"/>
      <c r="E175" s="32"/>
    </row>
    <row r="176">
      <c r="A176" s="13"/>
      <c r="B176" s="32"/>
      <c r="C176" s="32"/>
      <c r="D176" s="32"/>
      <c r="E176" s="32"/>
    </row>
    <row r="177">
      <c r="A177" s="13"/>
      <c r="B177" s="32"/>
      <c r="C177" s="32"/>
      <c r="D177" s="32"/>
      <c r="E177" s="32"/>
    </row>
    <row r="178">
      <c r="A178" s="13"/>
      <c r="B178" s="32"/>
      <c r="C178" s="32"/>
      <c r="D178" s="32"/>
      <c r="E178" s="32"/>
    </row>
    <row r="179">
      <c r="A179" s="13"/>
      <c r="B179" s="32"/>
      <c r="C179" s="32"/>
      <c r="D179" s="32"/>
      <c r="E179" s="32"/>
    </row>
    <row r="180">
      <c r="A180" s="13"/>
      <c r="B180" s="32"/>
      <c r="C180" s="32"/>
      <c r="D180" s="32"/>
      <c r="E180" s="32"/>
    </row>
    <row r="181">
      <c r="A181" s="13"/>
      <c r="B181" s="32"/>
      <c r="C181" s="32"/>
      <c r="D181" s="32"/>
      <c r="E181" s="32"/>
    </row>
    <row r="182">
      <c r="A182" s="13"/>
      <c r="B182" s="32"/>
      <c r="C182" s="32"/>
      <c r="D182" s="32"/>
      <c r="E182" s="32"/>
    </row>
    <row r="183">
      <c r="A183" s="13"/>
      <c r="B183" s="32"/>
      <c r="C183" s="32"/>
      <c r="D183" s="32"/>
      <c r="E183" s="32"/>
    </row>
    <row r="184">
      <c r="A184" s="13"/>
      <c r="B184" s="32"/>
      <c r="C184" s="32"/>
      <c r="D184" s="32"/>
      <c r="E184" s="32"/>
    </row>
    <row r="185">
      <c r="A185" s="13"/>
      <c r="B185" s="32"/>
      <c r="C185" s="32"/>
      <c r="D185" s="32"/>
      <c r="E185" s="32"/>
    </row>
    <row r="186">
      <c r="A186" s="13"/>
      <c r="B186" s="32"/>
      <c r="C186" s="32"/>
      <c r="D186" s="32"/>
      <c r="E186" s="32"/>
    </row>
    <row r="187">
      <c r="A187" s="13"/>
      <c r="B187" s="32"/>
      <c r="C187" s="32"/>
      <c r="D187" s="32"/>
      <c r="E187" s="32"/>
    </row>
    <row r="188">
      <c r="A188" s="13"/>
      <c r="B188" s="32"/>
      <c r="C188" s="32"/>
      <c r="D188" s="32"/>
      <c r="E188" s="32"/>
    </row>
    <row r="189">
      <c r="A189" s="13"/>
      <c r="B189" s="32"/>
      <c r="C189" s="32"/>
      <c r="D189" s="32"/>
      <c r="E189" s="32"/>
    </row>
    <row r="190">
      <c r="A190" s="13"/>
      <c r="B190" s="32"/>
      <c r="C190" s="32"/>
      <c r="D190" s="32"/>
      <c r="E190" s="32"/>
    </row>
    <row r="191">
      <c r="A191" s="13"/>
      <c r="B191" s="32"/>
      <c r="C191" s="32"/>
      <c r="D191" s="32"/>
      <c r="E191" s="32"/>
    </row>
    <row r="192">
      <c r="A192" s="13"/>
      <c r="B192" s="32"/>
      <c r="C192" s="32"/>
      <c r="D192" s="32"/>
      <c r="E192" s="32"/>
    </row>
    <row r="193">
      <c r="A193" s="13"/>
      <c r="B193" s="32"/>
      <c r="C193" s="32"/>
      <c r="D193" s="32"/>
      <c r="E193" s="32"/>
    </row>
    <row r="194">
      <c r="A194" s="13"/>
      <c r="B194" s="32"/>
      <c r="C194" s="32"/>
      <c r="D194" s="32"/>
      <c r="E194" s="32"/>
    </row>
    <row r="195">
      <c r="A195" s="13"/>
      <c r="B195" s="32"/>
      <c r="C195" s="32"/>
      <c r="D195" s="32"/>
      <c r="E195" s="32"/>
    </row>
    <row r="196">
      <c r="A196" s="13"/>
      <c r="B196" s="32"/>
      <c r="C196" s="32"/>
      <c r="D196" s="32"/>
      <c r="E196" s="32"/>
    </row>
    <row r="197">
      <c r="A197" s="13"/>
      <c r="B197" s="32"/>
      <c r="C197" s="32"/>
      <c r="D197" s="32"/>
      <c r="E197" s="32"/>
    </row>
    <row r="198">
      <c r="A198" s="13"/>
      <c r="B198" s="32"/>
      <c r="C198" s="32"/>
      <c r="D198" s="32"/>
      <c r="E198" s="32"/>
    </row>
    <row r="199">
      <c r="A199" s="13"/>
      <c r="B199" s="32"/>
      <c r="C199" s="32"/>
      <c r="D199" s="32"/>
      <c r="E199" s="32"/>
    </row>
    <row r="200">
      <c r="A200" s="13"/>
      <c r="B200" s="32"/>
      <c r="C200" s="32"/>
      <c r="D200" s="32"/>
      <c r="E200" s="32"/>
    </row>
    <row r="201">
      <c r="A201" s="13"/>
      <c r="B201" s="32"/>
      <c r="C201" s="32"/>
      <c r="D201" s="32"/>
      <c r="E201" s="32"/>
    </row>
    <row r="202">
      <c r="A202" s="13"/>
      <c r="B202" s="32"/>
      <c r="C202" s="32"/>
      <c r="D202" s="32"/>
      <c r="E202" s="32"/>
    </row>
    <row r="203">
      <c r="A203" s="13"/>
      <c r="B203" s="32"/>
      <c r="C203" s="32"/>
      <c r="D203" s="32"/>
      <c r="E203" s="32"/>
    </row>
    <row r="204">
      <c r="A204" s="13"/>
      <c r="B204" s="32"/>
      <c r="C204" s="32"/>
      <c r="D204" s="32"/>
      <c r="E204" s="32"/>
    </row>
    <row r="205">
      <c r="A205" s="13"/>
      <c r="B205" s="32"/>
      <c r="C205" s="32"/>
      <c r="D205" s="32"/>
      <c r="E205" s="32"/>
    </row>
    <row r="206">
      <c r="A206" s="13"/>
      <c r="B206" s="32"/>
      <c r="C206" s="32"/>
      <c r="D206" s="32"/>
      <c r="E206" s="32"/>
    </row>
    <row r="207">
      <c r="A207" s="13"/>
      <c r="B207" s="32"/>
      <c r="C207" s="32"/>
      <c r="D207" s="32"/>
      <c r="E207" s="32"/>
    </row>
    <row r="208">
      <c r="A208" s="13"/>
      <c r="B208" s="32"/>
      <c r="C208" s="32"/>
      <c r="D208" s="32"/>
      <c r="E208" s="32"/>
    </row>
    <row r="209">
      <c r="A209" s="13"/>
      <c r="B209" s="32"/>
      <c r="C209" s="32"/>
      <c r="D209" s="32"/>
      <c r="E209" s="32"/>
    </row>
    <row r="210">
      <c r="A210" s="13"/>
      <c r="B210" s="32"/>
      <c r="C210" s="32"/>
      <c r="D210" s="32"/>
      <c r="E210" s="32"/>
    </row>
    <row r="211">
      <c r="A211" s="13"/>
      <c r="B211" s="32"/>
      <c r="C211" s="32"/>
      <c r="D211" s="32"/>
      <c r="E211" s="32"/>
    </row>
    <row r="212">
      <c r="A212" s="13"/>
      <c r="B212" s="32"/>
      <c r="C212" s="32"/>
      <c r="D212" s="32"/>
      <c r="E212" s="32"/>
    </row>
    <row r="213">
      <c r="A213" s="13"/>
      <c r="B213" s="32"/>
      <c r="C213" s="32"/>
      <c r="D213" s="32"/>
      <c r="E213" s="32"/>
    </row>
    <row r="214">
      <c r="A214" s="13"/>
      <c r="B214" s="32"/>
      <c r="C214" s="32"/>
      <c r="D214" s="32"/>
      <c r="E214" s="32"/>
    </row>
    <row r="215">
      <c r="A215" s="13"/>
      <c r="B215" s="32"/>
      <c r="C215" s="32"/>
      <c r="D215" s="32"/>
      <c r="E215" s="32"/>
    </row>
    <row r="216">
      <c r="A216" s="13"/>
      <c r="B216" s="32"/>
      <c r="C216" s="32"/>
      <c r="D216" s="32"/>
      <c r="E216" s="32"/>
    </row>
    <row r="217">
      <c r="A217" s="13"/>
      <c r="B217" s="32"/>
      <c r="C217" s="32"/>
      <c r="D217" s="32"/>
      <c r="E217" s="32"/>
    </row>
    <row r="218">
      <c r="A218" s="13"/>
      <c r="B218" s="32"/>
      <c r="C218" s="32"/>
      <c r="D218" s="32"/>
      <c r="E218" s="32"/>
    </row>
    <row r="219">
      <c r="A219" s="13"/>
      <c r="B219" s="32"/>
      <c r="C219" s="32"/>
      <c r="D219" s="32"/>
      <c r="E219" s="32"/>
    </row>
    <row r="220">
      <c r="A220" s="13"/>
      <c r="B220" s="32"/>
      <c r="C220" s="32"/>
      <c r="D220" s="32"/>
      <c r="E220" s="32"/>
    </row>
    <row r="221">
      <c r="A221" s="13"/>
      <c r="B221" s="32"/>
      <c r="C221" s="32"/>
      <c r="D221" s="32"/>
      <c r="E221" s="32"/>
    </row>
    <row r="222">
      <c r="A222" s="13"/>
      <c r="B222" s="32"/>
      <c r="C222" s="32"/>
      <c r="D222" s="32"/>
      <c r="E222" s="32"/>
    </row>
    <row r="223">
      <c r="A223" s="13"/>
      <c r="B223" s="32"/>
      <c r="C223" s="32"/>
      <c r="D223" s="32"/>
      <c r="E223" s="32"/>
    </row>
    <row r="224">
      <c r="A224" s="13"/>
      <c r="B224" s="32"/>
      <c r="C224" s="32"/>
      <c r="D224" s="32"/>
      <c r="E224" s="32"/>
    </row>
    <row r="225">
      <c r="A225" s="13"/>
      <c r="B225" s="32"/>
      <c r="C225" s="32"/>
      <c r="D225" s="32"/>
      <c r="E225" s="32"/>
    </row>
    <row r="226">
      <c r="A226" s="13"/>
      <c r="B226" s="32"/>
      <c r="C226" s="32"/>
      <c r="D226" s="32"/>
      <c r="E226" s="32"/>
    </row>
    <row r="227">
      <c r="A227" s="13"/>
      <c r="B227" s="32"/>
      <c r="C227" s="32"/>
      <c r="D227" s="32"/>
      <c r="E227" s="32"/>
    </row>
    <row r="228">
      <c r="A228" s="13"/>
      <c r="B228" s="32"/>
      <c r="C228" s="32"/>
      <c r="D228" s="32"/>
      <c r="E228" s="32"/>
    </row>
    <row r="229">
      <c r="A229" s="13"/>
      <c r="B229" s="32"/>
      <c r="C229" s="32"/>
      <c r="D229" s="32"/>
      <c r="E229" s="32"/>
    </row>
    <row r="230">
      <c r="A230" s="13"/>
      <c r="B230" s="32"/>
      <c r="C230" s="32"/>
      <c r="D230" s="32"/>
      <c r="E230" s="32"/>
    </row>
    <row r="231">
      <c r="A231" s="13"/>
      <c r="B231" s="32"/>
      <c r="C231" s="32"/>
      <c r="D231" s="32"/>
      <c r="E231" s="32"/>
    </row>
    <row r="232">
      <c r="A232" s="13"/>
      <c r="B232" s="32"/>
      <c r="C232" s="32"/>
      <c r="D232" s="32"/>
      <c r="E232" s="32"/>
    </row>
    <row r="233">
      <c r="A233" s="13"/>
      <c r="B233" s="32"/>
      <c r="C233" s="32"/>
      <c r="D233" s="32"/>
      <c r="E233" s="32"/>
    </row>
    <row r="234">
      <c r="A234" s="13"/>
      <c r="B234" s="32"/>
      <c r="C234" s="32"/>
      <c r="D234" s="32"/>
      <c r="E234" s="32"/>
    </row>
    <row r="235">
      <c r="A235" s="13"/>
      <c r="B235" s="32"/>
      <c r="C235" s="32"/>
      <c r="D235" s="32"/>
      <c r="E235" s="32"/>
    </row>
    <row r="236">
      <c r="A236" s="13"/>
      <c r="B236" s="32"/>
      <c r="C236" s="32"/>
      <c r="D236" s="32"/>
      <c r="E236" s="32"/>
    </row>
    <row r="237">
      <c r="A237" s="13"/>
      <c r="B237" s="32"/>
      <c r="C237" s="32"/>
      <c r="D237" s="32"/>
      <c r="E237" s="32"/>
    </row>
    <row r="238">
      <c r="A238" s="13"/>
      <c r="B238" s="32"/>
      <c r="C238" s="32"/>
      <c r="D238" s="32"/>
      <c r="E238" s="32"/>
    </row>
    <row r="239">
      <c r="A239" s="13"/>
      <c r="B239" s="32"/>
      <c r="C239" s="32"/>
      <c r="D239" s="32"/>
      <c r="E239" s="32"/>
    </row>
    <row r="240">
      <c r="A240" s="13"/>
      <c r="B240" s="32"/>
      <c r="C240" s="32"/>
      <c r="D240" s="32"/>
      <c r="E240" s="32"/>
    </row>
    <row r="241">
      <c r="A241" s="13"/>
      <c r="B241" s="32"/>
      <c r="C241" s="32"/>
      <c r="D241" s="32"/>
      <c r="E241" s="32"/>
    </row>
    <row r="242">
      <c r="A242" s="13"/>
      <c r="B242" s="32"/>
      <c r="C242" s="32"/>
      <c r="D242" s="32"/>
      <c r="E242" s="32"/>
    </row>
    <row r="243">
      <c r="A243" s="13"/>
      <c r="B243" s="32"/>
      <c r="C243" s="32"/>
      <c r="D243" s="32"/>
      <c r="E243" s="32"/>
    </row>
    <row r="244">
      <c r="A244" s="13"/>
      <c r="B244" s="32"/>
      <c r="C244" s="32"/>
      <c r="D244" s="32"/>
      <c r="E244" s="32"/>
    </row>
    <row r="245">
      <c r="A245" s="13"/>
      <c r="B245" s="32"/>
      <c r="C245" s="32"/>
      <c r="D245" s="32"/>
      <c r="E245" s="32"/>
    </row>
    <row r="246">
      <c r="A246" s="13"/>
      <c r="B246" s="32"/>
      <c r="C246" s="32"/>
      <c r="D246" s="32"/>
      <c r="E246" s="32"/>
    </row>
    <row r="247">
      <c r="A247" s="13"/>
      <c r="B247" s="32"/>
      <c r="C247" s="32"/>
      <c r="D247" s="32"/>
      <c r="E247" s="32"/>
    </row>
    <row r="248">
      <c r="A248" s="13"/>
      <c r="B248" s="32"/>
      <c r="C248" s="32"/>
      <c r="D248" s="32"/>
      <c r="E248" s="32"/>
    </row>
    <row r="249">
      <c r="A249" s="13"/>
      <c r="B249" s="32"/>
      <c r="C249" s="32"/>
      <c r="D249" s="32"/>
      <c r="E249" s="32"/>
    </row>
    <row r="250">
      <c r="A250" s="13"/>
      <c r="B250" s="32"/>
      <c r="C250" s="32"/>
      <c r="D250" s="32"/>
      <c r="E250" s="32"/>
    </row>
    <row r="251">
      <c r="A251" s="13"/>
      <c r="B251" s="32"/>
      <c r="C251" s="32"/>
      <c r="D251" s="32"/>
      <c r="E251" s="32"/>
    </row>
    <row r="252">
      <c r="A252" s="13"/>
      <c r="B252" s="32"/>
      <c r="C252" s="32"/>
      <c r="D252" s="32"/>
      <c r="E252" s="32"/>
    </row>
    <row r="253">
      <c r="A253" s="13"/>
      <c r="B253" s="32"/>
      <c r="C253" s="32"/>
      <c r="D253" s="32"/>
      <c r="E253" s="32"/>
    </row>
    <row r="254">
      <c r="A254" s="13"/>
      <c r="B254" s="32"/>
      <c r="C254" s="32"/>
      <c r="D254" s="32"/>
      <c r="E254" s="32"/>
    </row>
    <row r="255">
      <c r="A255" s="13"/>
      <c r="B255" s="32"/>
      <c r="C255" s="32"/>
      <c r="D255" s="32"/>
      <c r="E255" s="32"/>
    </row>
    <row r="256">
      <c r="A256" s="13"/>
      <c r="B256" s="32"/>
      <c r="C256" s="32"/>
      <c r="D256" s="32"/>
      <c r="E256" s="32"/>
    </row>
    <row r="257">
      <c r="A257" s="13"/>
      <c r="B257" s="32"/>
      <c r="C257" s="32"/>
      <c r="D257" s="32"/>
      <c r="E257" s="32"/>
    </row>
    <row r="258">
      <c r="A258" s="13"/>
      <c r="B258" s="32"/>
      <c r="C258" s="32"/>
      <c r="D258" s="32"/>
      <c r="E258" s="32"/>
    </row>
    <row r="259">
      <c r="A259" s="13"/>
      <c r="B259" s="32"/>
      <c r="C259" s="32"/>
      <c r="D259" s="32"/>
      <c r="E259" s="32"/>
    </row>
    <row r="260">
      <c r="A260" s="13"/>
      <c r="B260" s="32"/>
      <c r="C260" s="32"/>
      <c r="D260" s="32"/>
      <c r="E260" s="32"/>
    </row>
    <row r="261">
      <c r="A261" s="13"/>
      <c r="B261" s="32"/>
      <c r="C261" s="32"/>
      <c r="D261" s="32"/>
      <c r="E261" s="32"/>
    </row>
    <row r="262">
      <c r="A262" s="13"/>
      <c r="B262" s="32"/>
      <c r="C262" s="32"/>
      <c r="D262" s="32"/>
      <c r="E262" s="32"/>
    </row>
    <row r="263">
      <c r="A263" s="13"/>
      <c r="B263" s="32"/>
      <c r="C263" s="32"/>
      <c r="D263" s="32"/>
      <c r="E263" s="32"/>
    </row>
    <row r="264">
      <c r="A264" s="13"/>
      <c r="B264" s="32"/>
      <c r="C264" s="32"/>
      <c r="D264" s="32"/>
      <c r="E264" s="32"/>
    </row>
    <row r="265">
      <c r="A265" s="13"/>
      <c r="B265" s="32"/>
      <c r="C265" s="32"/>
      <c r="D265" s="32"/>
      <c r="E265" s="32"/>
    </row>
    <row r="266">
      <c r="A266" s="13"/>
      <c r="B266" s="32"/>
      <c r="C266" s="32"/>
      <c r="D266" s="32"/>
      <c r="E266" s="32"/>
    </row>
    <row r="267">
      <c r="A267" s="13"/>
      <c r="B267" s="32"/>
      <c r="C267" s="32"/>
      <c r="D267" s="32"/>
      <c r="E267" s="32"/>
    </row>
    <row r="268">
      <c r="A268" s="13"/>
      <c r="B268" s="32"/>
      <c r="C268" s="32"/>
      <c r="D268" s="32"/>
      <c r="E268" s="32"/>
    </row>
    <row r="269">
      <c r="A269" s="13"/>
      <c r="B269" s="32"/>
      <c r="C269" s="32"/>
      <c r="D269" s="32"/>
      <c r="E269" s="32"/>
    </row>
    <row r="270">
      <c r="A270" s="13"/>
      <c r="B270" s="32"/>
      <c r="C270" s="32"/>
      <c r="D270" s="32"/>
      <c r="E270" s="32"/>
    </row>
    <row r="271">
      <c r="A271" s="13"/>
      <c r="B271" s="32"/>
      <c r="C271" s="32"/>
      <c r="D271" s="32"/>
      <c r="E271" s="32"/>
    </row>
    <row r="272">
      <c r="A272" s="13"/>
      <c r="B272" s="32"/>
      <c r="C272" s="32"/>
      <c r="D272" s="32"/>
      <c r="E272" s="32"/>
    </row>
    <row r="273">
      <c r="A273" s="13"/>
      <c r="B273" s="32"/>
      <c r="C273" s="32"/>
      <c r="D273" s="32"/>
      <c r="E273" s="32"/>
    </row>
    <row r="274">
      <c r="A274" s="13"/>
      <c r="B274" s="32"/>
      <c r="C274" s="32"/>
      <c r="D274" s="32"/>
      <c r="E274" s="32"/>
    </row>
    <row r="275">
      <c r="A275" s="13"/>
      <c r="B275" s="32"/>
      <c r="C275" s="32"/>
      <c r="D275" s="32"/>
      <c r="E275" s="32"/>
    </row>
    <row r="276">
      <c r="A276" s="13"/>
      <c r="B276" s="32"/>
      <c r="C276" s="32"/>
      <c r="D276" s="32"/>
      <c r="E276" s="32"/>
    </row>
    <row r="277">
      <c r="A277" s="13"/>
      <c r="B277" s="32"/>
      <c r="C277" s="32"/>
      <c r="D277" s="32"/>
      <c r="E277" s="32"/>
    </row>
    <row r="278">
      <c r="A278" s="13"/>
      <c r="B278" s="32"/>
      <c r="C278" s="32"/>
      <c r="D278" s="32"/>
      <c r="E278" s="32"/>
    </row>
    <row r="279">
      <c r="A279" s="13"/>
      <c r="B279" s="32"/>
      <c r="C279" s="32"/>
      <c r="D279" s="32"/>
      <c r="E279" s="32"/>
    </row>
    <row r="280">
      <c r="A280" s="13"/>
      <c r="B280" s="32"/>
      <c r="C280" s="32"/>
      <c r="D280" s="32"/>
      <c r="E280" s="32"/>
    </row>
    <row r="281">
      <c r="A281" s="13"/>
      <c r="B281" s="32"/>
      <c r="C281" s="32"/>
      <c r="D281" s="32"/>
      <c r="E281" s="32"/>
    </row>
    <row r="282">
      <c r="A282" s="13"/>
      <c r="B282" s="32"/>
      <c r="C282" s="32"/>
      <c r="D282" s="32"/>
      <c r="E282" s="32"/>
    </row>
    <row r="283">
      <c r="A283" s="13"/>
      <c r="B283" s="32"/>
      <c r="C283" s="32"/>
      <c r="D283" s="32"/>
      <c r="E283" s="32"/>
    </row>
    <row r="284">
      <c r="A284" s="13"/>
      <c r="B284" s="32"/>
      <c r="C284" s="32"/>
      <c r="D284" s="32"/>
      <c r="E284" s="32"/>
    </row>
    <row r="285">
      <c r="A285" s="13"/>
      <c r="B285" s="32"/>
      <c r="C285" s="32"/>
      <c r="D285" s="32"/>
      <c r="E285" s="32"/>
    </row>
    <row r="286">
      <c r="A286" s="13"/>
      <c r="B286" s="32"/>
      <c r="C286" s="32"/>
      <c r="D286" s="32"/>
      <c r="E286" s="32"/>
    </row>
    <row r="287">
      <c r="A287" s="13"/>
      <c r="B287" s="32"/>
      <c r="C287" s="32"/>
      <c r="D287" s="32"/>
      <c r="E287" s="32"/>
    </row>
    <row r="288">
      <c r="A288" s="13"/>
      <c r="B288" s="32"/>
      <c r="C288" s="32"/>
      <c r="D288" s="32"/>
      <c r="E288" s="32"/>
    </row>
    <row r="289">
      <c r="A289" s="13"/>
      <c r="B289" s="32"/>
      <c r="C289" s="32"/>
      <c r="D289" s="32"/>
      <c r="E289" s="32"/>
    </row>
    <row r="290">
      <c r="A290" s="13"/>
      <c r="B290" s="32"/>
      <c r="C290" s="32"/>
      <c r="D290" s="32"/>
      <c r="E290" s="32"/>
    </row>
    <row r="291">
      <c r="A291" s="13"/>
      <c r="B291" s="32"/>
      <c r="C291" s="32"/>
      <c r="D291" s="32"/>
      <c r="E291" s="32"/>
    </row>
    <row r="292">
      <c r="A292" s="13"/>
      <c r="B292" s="32"/>
      <c r="C292" s="32"/>
      <c r="D292" s="32"/>
      <c r="E292" s="32"/>
    </row>
    <row r="293">
      <c r="A293" s="13"/>
      <c r="B293" s="32"/>
      <c r="C293" s="32"/>
      <c r="D293" s="32"/>
      <c r="E293" s="32"/>
    </row>
    <row r="294">
      <c r="A294" s="13"/>
      <c r="B294" s="32"/>
      <c r="C294" s="32"/>
      <c r="D294" s="32"/>
      <c r="E294" s="32"/>
    </row>
    <row r="295">
      <c r="A295" s="13"/>
      <c r="B295" s="32"/>
      <c r="C295" s="32"/>
      <c r="D295" s="32"/>
      <c r="E295" s="32"/>
    </row>
    <row r="296">
      <c r="A296" s="13"/>
      <c r="B296" s="32"/>
      <c r="C296" s="32"/>
      <c r="D296" s="32"/>
      <c r="E296" s="32"/>
    </row>
    <row r="297">
      <c r="A297" s="13"/>
      <c r="B297" s="32"/>
      <c r="C297" s="32"/>
      <c r="D297" s="32"/>
      <c r="E297" s="32"/>
    </row>
    <row r="298">
      <c r="A298" s="13"/>
      <c r="B298" s="32"/>
      <c r="C298" s="32"/>
      <c r="D298" s="32"/>
      <c r="E298" s="32"/>
    </row>
    <row r="299">
      <c r="A299" s="13"/>
      <c r="B299" s="32"/>
      <c r="C299" s="32"/>
      <c r="D299" s="32"/>
      <c r="E299" s="32"/>
    </row>
    <row r="300">
      <c r="A300" s="13"/>
      <c r="B300" s="32"/>
      <c r="C300" s="32"/>
      <c r="D300" s="32"/>
      <c r="E300" s="32"/>
    </row>
    <row r="301">
      <c r="A301" s="13"/>
      <c r="B301" s="32"/>
      <c r="C301" s="32"/>
      <c r="D301" s="32"/>
      <c r="E301" s="32"/>
    </row>
    <row r="302">
      <c r="A302" s="13"/>
      <c r="B302" s="32"/>
      <c r="C302" s="32"/>
      <c r="D302" s="32"/>
      <c r="E302" s="32"/>
    </row>
    <row r="303">
      <c r="A303" s="13"/>
      <c r="B303" s="32"/>
      <c r="C303" s="32"/>
      <c r="D303" s="32"/>
      <c r="E303" s="32"/>
    </row>
    <row r="304">
      <c r="A304" s="13"/>
      <c r="B304" s="32"/>
      <c r="C304" s="32"/>
      <c r="D304" s="32"/>
      <c r="E304" s="32"/>
    </row>
    <row r="305">
      <c r="A305" s="13"/>
      <c r="B305" s="32"/>
      <c r="C305" s="32"/>
      <c r="D305" s="32"/>
      <c r="E305" s="32"/>
    </row>
    <row r="306">
      <c r="A306" s="13"/>
      <c r="B306" s="32"/>
      <c r="C306" s="32"/>
      <c r="D306" s="32"/>
      <c r="E306" s="32"/>
    </row>
    <row r="307">
      <c r="A307" s="13"/>
      <c r="B307" s="32"/>
      <c r="C307" s="32"/>
      <c r="D307" s="32"/>
      <c r="E307" s="32"/>
    </row>
    <row r="308">
      <c r="A308" s="13"/>
      <c r="B308" s="32"/>
      <c r="C308" s="32"/>
      <c r="D308" s="32"/>
      <c r="E308" s="32"/>
    </row>
    <row r="309">
      <c r="A309" s="13"/>
      <c r="B309" s="32"/>
      <c r="C309" s="32"/>
      <c r="D309" s="32"/>
      <c r="E309" s="32"/>
    </row>
    <row r="310">
      <c r="A310" s="13"/>
      <c r="B310" s="32"/>
      <c r="C310" s="32"/>
      <c r="D310" s="32"/>
      <c r="E310" s="32"/>
    </row>
    <row r="311">
      <c r="A311" s="13"/>
      <c r="B311" s="32"/>
      <c r="C311" s="32"/>
      <c r="D311" s="32"/>
      <c r="E311" s="32"/>
    </row>
    <row r="312">
      <c r="A312" s="13"/>
      <c r="B312" s="32"/>
      <c r="C312" s="32"/>
      <c r="D312" s="32"/>
      <c r="E312" s="32"/>
    </row>
    <row r="313">
      <c r="A313" s="13"/>
      <c r="B313" s="32"/>
      <c r="C313" s="32"/>
      <c r="D313" s="32"/>
      <c r="E313" s="32"/>
    </row>
    <row r="314">
      <c r="A314" s="13"/>
      <c r="B314" s="32"/>
      <c r="C314" s="32"/>
      <c r="D314" s="32"/>
      <c r="E314" s="32"/>
    </row>
    <row r="315">
      <c r="A315" s="13"/>
      <c r="B315" s="32"/>
      <c r="C315" s="32"/>
      <c r="D315" s="32"/>
      <c r="E315" s="32"/>
    </row>
    <row r="316">
      <c r="A316" s="13"/>
      <c r="B316" s="32"/>
      <c r="C316" s="32"/>
      <c r="D316" s="32"/>
      <c r="E316" s="32"/>
    </row>
    <row r="317">
      <c r="A317" s="13"/>
      <c r="B317" s="32"/>
      <c r="C317" s="32"/>
      <c r="D317" s="32"/>
      <c r="E317" s="32"/>
    </row>
    <row r="318">
      <c r="A318" s="13"/>
      <c r="B318" s="32"/>
      <c r="C318" s="32"/>
      <c r="D318" s="32"/>
      <c r="E318" s="32"/>
    </row>
    <row r="319">
      <c r="A319" s="13"/>
      <c r="B319" s="32"/>
      <c r="C319" s="32"/>
      <c r="D319" s="32"/>
      <c r="E319" s="32"/>
    </row>
    <row r="320">
      <c r="A320" s="13"/>
      <c r="B320" s="32"/>
      <c r="C320" s="32"/>
      <c r="D320" s="32"/>
      <c r="E320" s="32"/>
    </row>
    <row r="321">
      <c r="A321" s="13"/>
      <c r="B321" s="32"/>
      <c r="C321" s="32"/>
      <c r="D321" s="32"/>
      <c r="E321" s="32"/>
    </row>
    <row r="322">
      <c r="A322" s="13"/>
      <c r="B322" s="32"/>
      <c r="C322" s="32"/>
      <c r="D322" s="32"/>
      <c r="E322" s="32"/>
    </row>
    <row r="323">
      <c r="A323" s="13"/>
      <c r="B323" s="32"/>
      <c r="C323" s="32"/>
      <c r="D323" s="32"/>
      <c r="E323" s="32"/>
    </row>
    <row r="324">
      <c r="A324" s="13"/>
      <c r="B324" s="32"/>
      <c r="C324" s="32"/>
      <c r="D324" s="32"/>
      <c r="E324" s="32"/>
    </row>
    <row r="325">
      <c r="A325" s="13"/>
      <c r="B325" s="32"/>
      <c r="C325" s="32"/>
      <c r="D325" s="32"/>
      <c r="E325" s="32"/>
    </row>
    <row r="326">
      <c r="A326" s="13"/>
      <c r="B326" s="32"/>
      <c r="C326" s="32"/>
      <c r="D326" s="32"/>
      <c r="E326" s="32"/>
    </row>
    <row r="327">
      <c r="A327" s="13"/>
      <c r="B327" s="32"/>
      <c r="C327" s="32"/>
      <c r="D327" s="32"/>
      <c r="E327" s="32"/>
    </row>
    <row r="328">
      <c r="A328" s="13"/>
      <c r="B328" s="32"/>
      <c r="C328" s="32"/>
      <c r="D328" s="32"/>
      <c r="E328" s="32"/>
    </row>
    <row r="329">
      <c r="A329" s="13"/>
      <c r="B329" s="32"/>
      <c r="C329" s="32"/>
      <c r="D329" s="32"/>
      <c r="E329" s="32"/>
    </row>
    <row r="330">
      <c r="A330" s="13"/>
      <c r="B330" s="32"/>
      <c r="C330" s="32"/>
      <c r="D330" s="32"/>
      <c r="E330" s="32"/>
    </row>
    <row r="331">
      <c r="A331" s="13"/>
      <c r="B331" s="32"/>
      <c r="C331" s="32"/>
      <c r="D331" s="32"/>
      <c r="E331" s="32"/>
    </row>
    <row r="332">
      <c r="A332" s="13"/>
      <c r="B332" s="32"/>
      <c r="C332" s="32"/>
      <c r="D332" s="32"/>
      <c r="E332" s="32"/>
    </row>
    <row r="333">
      <c r="A333" s="13"/>
      <c r="B333" s="32"/>
      <c r="C333" s="32"/>
      <c r="D333" s="32"/>
      <c r="E333" s="32"/>
    </row>
    <row r="334">
      <c r="A334" s="13"/>
      <c r="B334" s="32"/>
      <c r="C334" s="32"/>
      <c r="D334" s="32"/>
      <c r="E334" s="32"/>
    </row>
    <row r="335">
      <c r="A335" s="13"/>
      <c r="B335" s="32"/>
      <c r="C335" s="32"/>
      <c r="D335" s="32"/>
      <c r="E335" s="32"/>
    </row>
    <row r="336">
      <c r="A336" s="13"/>
      <c r="B336" s="32"/>
      <c r="C336" s="32"/>
      <c r="D336" s="32"/>
      <c r="E336" s="32"/>
    </row>
    <row r="337">
      <c r="A337" s="13"/>
      <c r="B337" s="32"/>
      <c r="C337" s="32"/>
      <c r="D337" s="32"/>
      <c r="E337" s="32"/>
    </row>
    <row r="338">
      <c r="A338" s="13"/>
      <c r="B338" s="32"/>
      <c r="C338" s="32"/>
      <c r="D338" s="32"/>
      <c r="E338" s="32"/>
    </row>
    <row r="339">
      <c r="A339" s="13"/>
      <c r="B339" s="32"/>
      <c r="C339" s="32"/>
      <c r="D339" s="32"/>
      <c r="E339" s="32"/>
    </row>
    <row r="340">
      <c r="A340" s="13"/>
      <c r="B340" s="32"/>
      <c r="C340" s="32"/>
      <c r="D340" s="32"/>
      <c r="E340" s="32"/>
    </row>
    <row r="341">
      <c r="A341" s="13"/>
      <c r="B341" s="32"/>
      <c r="C341" s="32"/>
      <c r="D341" s="32"/>
      <c r="E341" s="32"/>
    </row>
    <row r="342">
      <c r="A342" s="13"/>
      <c r="B342" s="32"/>
      <c r="C342" s="32"/>
      <c r="D342" s="32"/>
      <c r="E342" s="32"/>
    </row>
    <row r="343">
      <c r="A343" s="13"/>
      <c r="B343" s="32"/>
      <c r="C343" s="32"/>
      <c r="D343" s="32"/>
      <c r="E343" s="32"/>
    </row>
    <row r="344">
      <c r="A344" s="13"/>
      <c r="B344" s="32"/>
      <c r="C344" s="32"/>
      <c r="D344" s="32"/>
      <c r="E344" s="32"/>
    </row>
    <row r="345">
      <c r="A345" s="13"/>
      <c r="B345" s="32"/>
      <c r="C345" s="32"/>
      <c r="D345" s="32"/>
      <c r="E345" s="32"/>
    </row>
    <row r="346">
      <c r="A346" s="13"/>
      <c r="B346" s="32"/>
      <c r="C346" s="32"/>
      <c r="D346" s="32"/>
      <c r="E346" s="32"/>
    </row>
    <row r="347">
      <c r="A347" s="13"/>
      <c r="B347" s="32"/>
      <c r="C347" s="32"/>
      <c r="D347" s="32"/>
      <c r="E347" s="32"/>
    </row>
    <row r="348">
      <c r="A348" s="13"/>
      <c r="B348" s="32"/>
      <c r="C348" s="32"/>
      <c r="D348" s="32"/>
      <c r="E348" s="32"/>
    </row>
    <row r="349">
      <c r="A349" s="13"/>
      <c r="B349" s="32"/>
      <c r="C349" s="32"/>
      <c r="D349" s="32"/>
      <c r="E349" s="32"/>
    </row>
    <row r="350">
      <c r="A350" s="13"/>
      <c r="B350" s="32"/>
      <c r="C350" s="32"/>
      <c r="D350" s="32"/>
      <c r="E350" s="32"/>
    </row>
    <row r="351">
      <c r="A351" s="13"/>
      <c r="B351" s="32"/>
      <c r="C351" s="32"/>
      <c r="D351" s="32"/>
      <c r="E351" s="32"/>
    </row>
    <row r="352">
      <c r="A352" s="13"/>
      <c r="B352" s="32"/>
      <c r="C352" s="32"/>
      <c r="D352" s="32"/>
      <c r="E352" s="32"/>
    </row>
    <row r="353">
      <c r="A353" s="13"/>
      <c r="B353" s="32"/>
      <c r="C353" s="32"/>
      <c r="D353" s="32"/>
      <c r="E353" s="32"/>
    </row>
    <row r="354">
      <c r="A354" s="13"/>
      <c r="B354" s="32"/>
      <c r="C354" s="32"/>
      <c r="D354" s="32"/>
      <c r="E354" s="32"/>
    </row>
    <row r="355">
      <c r="A355" s="13"/>
      <c r="B355" s="32"/>
      <c r="C355" s="32"/>
      <c r="D355" s="32"/>
      <c r="E355" s="32"/>
    </row>
    <row r="356">
      <c r="A356" s="13"/>
      <c r="B356" s="32"/>
      <c r="C356" s="32"/>
      <c r="D356" s="32"/>
      <c r="E356" s="32"/>
    </row>
    <row r="357">
      <c r="A357" s="13"/>
      <c r="B357" s="32"/>
      <c r="C357" s="32"/>
      <c r="D357" s="32"/>
      <c r="E357" s="32"/>
    </row>
    <row r="358">
      <c r="A358" s="13"/>
      <c r="B358" s="32"/>
      <c r="C358" s="32"/>
      <c r="D358" s="32"/>
      <c r="E358" s="32"/>
    </row>
    <row r="359">
      <c r="A359" s="13"/>
      <c r="B359" s="32"/>
      <c r="C359" s="32"/>
      <c r="D359" s="32"/>
      <c r="E359" s="32"/>
    </row>
    <row r="360">
      <c r="A360" s="13"/>
      <c r="B360" s="32"/>
      <c r="C360" s="32"/>
      <c r="D360" s="32"/>
      <c r="E360" s="32"/>
    </row>
    <row r="361">
      <c r="A361" s="13"/>
      <c r="B361" s="32"/>
      <c r="C361" s="32"/>
      <c r="D361" s="32"/>
      <c r="E361" s="32"/>
    </row>
    <row r="362">
      <c r="A362" s="13"/>
      <c r="B362" s="32"/>
      <c r="C362" s="32"/>
      <c r="D362" s="32"/>
      <c r="E362" s="32"/>
    </row>
    <row r="363">
      <c r="A363" s="13"/>
      <c r="B363" s="32"/>
      <c r="C363" s="32"/>
      <c r="D363" s="32"/>
      <c r="E363" s="32"/>
    </row>
    <row r="364">
      <c r="A364" s="13"/>
      <c r="B364" s="32"/>
      <c r="C364" s="32"/>
      <c r="D364" s="32"/>
      <c r="E364" s="32"/>
    </row>
    <row r="365">
      <c r="A365" s="13"/>
      <c r="B365" s="32"/>
      <c r="C365" s="32"/>
      <c r="D365" s="32"/>
      <c r="E365" s="32"/>
    </row>
    <row r="366">
      <c r="A366" s="13"/>
      <c r="B366" s="32"/>
      <c r="C366" s="32"/>
      <c r="D366" s="32"/>
      <c r="E366" s="32"/>
    </row>
    <row r="367">
      <c r="A367" s="13"/>
      <c r="B367" s="32"/>
      <c r="C367" s="32"/>
      <c r="D367" s="32"/>
      <c r="E367" s="32"/>
    </row>
    <row r="368">
      <c r="A368" s="13"/>
      <c r="B368" s="32"/>
      <c r="C368" s="32"/>
      <c r="D368" s="32"/>
      <c r="E368" s="32"/>
    </row>
    <row r="369">
      <c r="A369" s="13"/>
      <c r="B369" s="32"/>
      <c r="C369" s="32"/>
      <c r="D369" s="32"/>
      <c r="E369" s="32"/>
    </row>
    <row r="370">
      <c r="A370" s="13"/>
      <c r="B370" s="32"/>
      <c r="C370" s="32"/>
      <c r="D370" s="32"/>
      <c r="E370" s="32"/>
    </row>
    <row r="371">
      <c r="A371" s="13"/>
      <c r="B371" s="32"/>
      <c r="C371" s="32"/>
      <c r="D371" s="32"/>
      <c r="E371" s="32"/>
    </row>
    <row r="372">
      <c r="A372" s="13"/>
      <c r="B372" s="32"/>
      <c r="C372" s="32"/>
      <c r="D372" s="32"/>
      <c r="E372" s="32"/>
    </row>
    <row r="373">
      <c r="A373" s="13"/>
      <c r="B373" s="32"/>
      <c r="C373" s="32"/>
      <c r="D373" s="32"/>
      <c r="E373" s="32"/>
    </row>
    <row r="374">
      <c r="A374" s="13"/>
      <c r="B374" s="32"/>
      <c r="C374" s="32"/>
      <c r="D374" s="32"/>
      <c r="E374" s="32"/>
    </row>
    <row r="375">
      <c r="A375" s="13"/>
      <c r="B375" s="32"/>
      <c r="C375" s="32"/>
      <c r="D375" s="32"/>
      <c r="E375" s="32"/>
    </row>
    <row r="376">
      <c r="A376" s="13"/>
      <c r="B376" s="32"/>
      <c r="C376" s="32"/>
      <c r="D376" s="32"/>
      <c r="E376" s="32"/>
    </row>
    <row r="377">
      <c r="A377" s="13"/>
      <c r="B377" s="32"/>
      <c r="C377" s="32"/>
      <c r="D377" s="32"/>
      <c r="E377" s="32"/>
    </row>
    <row r="378">
      <c r="A378" s="13"/>
      <c r="B378" s="32"/>
      <c r="C378" s="32"/>
      <c r="D378" s="32"/>
      <c r="E378" s="32"/>
    </row>
    <row r="379">
      <c r="A379" s="13"/>
      <c r="B379" s="32"/>
      <c r="C379" s="32"/>
      <c r="D379" s="32"/>
      <c r="E379" s="32"/>
    </row>
    <row r="380">
      <c r="A380" s="13"/>
      <c r="B380" s="32"/>
      <c r="C380" s="32"/>
      <c r="D380" s="32"/>
      <c r="E380" s="32"/>
    </row>
    <row r="381">
      <c r="A381" s="13"/>
      <c r="B381" s="32"/>
      <c r="C381" s="32"/>
      <c r="D381" s="32"/>
      <c r="E381" s="32"/>
    </row>
    <row r="382">
      <c r="A382" s="13"/>
      <c r="B382" s="32"/>
      <c r="C382" s="32"/>
      <c r="D382" s="32"/>
      <c r="E382" s="32"/>
    </row>
    <row r="383">
      <c r="A383" s="13"/>
      <c r="B383" s="32"/>
      <c r="C383" s="32"/>
      <c r="D383" s="32"/>
      <c r="E383" s="32"/>
    </row>
    <row r="384">
      <c r="A384" s="13"/>
      <c r="B384" s="32"/>
      <c r="C384" s="32"/>
      <c r="D384" s="32"/>
      <c r="E384" s="32"/>
    </row>
    <row r="385">
      <c r="A385" s="13"/>
      <c r="B385" s="32"/>
      <c r="C385" s="32"/>
      <c r="D385" s="32"/>
      <c r="E385" s="32"/>
    </row>
    <row r="386">
      <c r="A386" s="13"/>
      <c r="B386" s="32"/>
      <c r="C386" s="32"/>
      <c r="D386" s="32"/>
      <c r="E386" s="32"/>
    </row>
    <row r="387">
      <c r="A387" s="13"/>
      <c r="B387" s="32"/>
      <c r="C387" s="32"/>
      <c r="D387" s="32"/>
      <c r="E387" s="32"/>
    </row>
    <row r="388">
      <c r="A388" s="13"/>
      <c r="B388" s="32"/>
      <c r="C388" s="32"/>
      <c r="D388" s="32"/>
      <c r="E388" s="32"/>
    </row>
    <row r="389">
      <c r="A389" s="13"/>
      <c r="B389" s="32"/>
      <c r="C389" s="32"/>
      <c r="D389" s="32"/>
      <c r="E389" s="32"/>
    </row>
    <row r="390">
      <c r="A390" s="13"/>
      <c r="B390" s="32"/>
      <c r="C390" s="32"/>
      <c r="D390" s="32"/>
      <c r="E390" s="32"/>
    </row>
    <row r="391">
      <c r="A391" s="13"/>
      <c r="B391" s="32"/>
      <c r="C391" s="32"/>
      <c r="D391" s="32"/>
      <c r="E391" s="32"/>
    </row>
    <row r="392">
      <c r="A392" s="13"/>
      <c r="B392" s="32"/>
      <c r="C392" s="32"/>
      <c r="D392" s="32"/>
      <c r="E392" s="32"/>
    </row>
    <row r="393">
      <c r="A393" s="13"/>
      <c r="B393" s="32"/>
      <c r="C393" s="32"/>
      <c r="D393" s="32"/>
      <c r="E393" s="32"/>
    </row>
    <row r="394">
      <c r="A394" s="13"/>
      <c r="B394" s="32"/>
      <c r="C394" s="32"/>
      <c r="D394" s="32"/>
      <c r="E394" s="32"/>
    </row>
    <row r="395">
      <c r="A395" s="13"/>
      <c r="B395" s="32"/>
      <c r="C395" s="32"/>
      <c r="D395" s="32"/>
      <c r="E395" s="32"/>
    </row>
    <row r="396">
      <c r="A396" s="13"/>
      <c r="B396" s="32"/>
      <c r="C396" s="32"/>
      <c r="D396" s="32"/>
      <c r="E396" s="32"/>
    </row>
    <row r="397">
      <c r="A397" s="13"/>
      <c r="B397" s="32"/>
      <c r="C397" s="32"/>
      <c r="D397" s="32"/>
      <c r="E397" s="32"/>
    </row>
    <row r="398">
      <c r="A398" s="13"/>
      <c r="B398" s="32"/>
      <c r="C398" s="32"/>
      <c r="D398" s="32"/>
      <c r="E398" s="32"/>
    </row>
    <row r="399">
      <c r="A399" s="13"/>
      <c r="B399" s="32"/>
      <c r="C399" s="32"/>
      <c r="D399" s="32"/>
      <c r="E399" s="32"/>
    </row>
    <row r="400">
      <c r="A400" s="13"/>
      <c r="B400" s="32"/>
      <c r="C400" s="32"/>
      <c r="D400" s="32"/>
      <c r="E400" s="32"/>
    </row>
    <row r="401">
      <c r="A401" s="13"/>
      <c r="B401" s="32"/>
      <c r="C401" s="32"/>
      <c r="D401" s="32"/>
      <c r="E401" s="32"/>
    </row>
    <row r="402">
      <c r="A402" s="13"/>
      <c r="B402" s="32"/>
      <c r="C402" s="32"/>
      <c r="D402" s="32"/>
      <c r="E402" s="32"/>
    </row>
    <row r="403">
      <c r="A403" s="13"/>
      <c r="B403" s="32"/>
      <c r="C403" s="32"/>
      <c r="D403" s="32"/>
      <c r="E403" s="32"/>
    </row>
    <row r="404">
      <c r="A404" s="13"/>
      <c r="B404" s="32"/>
      <c r="C404" s="32"/>
      <c r="D404" s="32"/>
      <c r="E404" s="32"/>
    </row>
    <row r="405">
      <c r="A405" s="13"/>
      <c r="B405" s="32"/>
      <c r="C405" s="32"/>
      <c r="D405" s="32"/>
      <c r="E405" s="32"/>
    </row>
    <row r="406">
      <c r="A406" s="13"/>
      <c r="B406" s="32"/>
      <c r="C406" s="32"/>
      <c r="D406" s="32"/>
      <c r="E406" s="32"/>
    </row>
    <row r="407">
      <c r="A407" s="13"/>
      <c r="B407" s="32"/>
      <c r="C407" s="32"/>
      <c r="D407" s="32"/>
      <c r="E407" s="32"/>
    </row>
    <row r="408">
      <c r="A408" s="13"/>
      <c r="B408" s="32"/>
      <c r="C408" s="32"/>
      <c r="D408" s="32"/>
      <c r="E408" s="32"/>
    </row>
    <row r="409">
      <c r="A409" s="13"/>
      <c r="B409" s="32"/>
      <c r="C409" s="32"/>
      <c r="D409" s="32"/>
      <c r="E409" s="32"/>
    </row>
    <row r="410">
      <c r="A410" s="13"/>
      <c r="B410" s="32"/>
      <c r="C410" s="32"/>
      <c r="D410" s="32"/>
      <c r="E410" s="32"/>
    </row>
    <row r="411">
      <c r="A411" s="13"/>
      <c r="B411" s="32"/>
      <c r="C411" s="32"/>
      <c r="D411" s="32"/>
      <c r="E411" s="32"/>
    </row>
    <row r="412">
      <c r="A412" s="13"/>
      <c r="B412" s="32"/>
      <c r="C412" s="32"/>
      <c r="D412" s="32"/>
      <c r="E412" s="32"/>
    </row>
    <row r="413">
      <c r="A413" s="13"/>
      <c r="B413" s="32"/>
      <c r="C413" s="32"/>
      <c r="D413" s="32"/>
      <c r="E413" s="32"/>
    </row>
    <row r="414">
      <c r="A414" s="13"/>
      <c r="B414" s="32"/>
      <c r="C414" s="32"/>
      <c r="D414" s="32"/>
      <c r="E414" s="32"/>
    </row>
    <row r="415">
      <c r="A415" s="13"/>
      <c r="B415" s="32"/>
      <c r="C415" s="32"/>
      <c r="D415" s="32"/>
      <c r="E415" s="32"/>
    </row>
    <row r="416">
      <c r="A416" s="13"/>
      <c r="B416" s="32"/>
      <c r="C416" s="32"/>
      <c r="D416" s="32"/>
      <c r="E416" s="32"/>
    </row>
    <row r="417">
      <c r="A417" s="13"/>
      <c r="B417" s="32"/>
      <c r="C417" s="32"/>
      <c r="D417" s="32"/>
      <c r="E417" s="32"/>
    </row>
    <row r="418">
      <c r="A418" s="13"/>
      <c r="B418" s="32"/>
      <c r="C418" s="32"/>
      <c r="D418" s="32"/>
      <c r="E418" s="32"/>
    </row>
    <row r="419">
      <c r="A419" s="13"/>
      <c r="B419" s="32"/>
      <c r="C419" s="32"/>
      <c r="D419" s="32"/>
      <c r="E419" s="32"/>
    </row>
    <row r="420">
      <c r="A420" s="13"/>
      <c r="B420" s="32"/>
      <c r="C420" s="32"/>
      <c r="D420" s="32"/>
      <c r="E420" s="32"/>
    </row>
    <row r="421">
      <c r="A421" s="13"/>
      <c r="B421" s="32"/>
      <c r="C421" s="32"/>
      <c r="D421" s="32"/>
      <c r="E421" s="32"/>
    </row>
    <row r="422">
      <c r="A422" s="13"/>
      <c r="B422" s="32"/>
      <c r="C422" s="32"/>
      <c r="D422" s="32"/>
      <c r="E422" s="32"/>
    </row>
    <row r="423">
      <c r="A423" s="13"/>
      <c r="B423" s="32"/>
      <c r="C423" s="32"/>
      <c r="D423" s="32"/>
      <c r="E423" s="32"/>
    </row>
    <row r="424">
      <c r="A424" s="13"/>
      <c r="B424" s="32"/>
      <c r="C424" s="32"/>
      <c r="D424" s="32"/>
      <c r="E424" s="32"/>
    </row>
    <row r="425">
      <c r="A425" s="13"/>
      <c r="B425" s="32"/>
      <c r="C425" s="32"/>
      <c r="D425" s="32"/>
      <c r="E425" s="32"/>
    </row>
    <row r="426">
      <c r="A426" s="13"/>
      <c r="B426" s="32"/>
      <c r="C426" s="32"/>
      <c r="D426" s="32"/>
      <c r="E426" s="32"/>
    </row>
    <row r="427">
      <c r="A427" s="13"/>
      <c r="B427" s="32"/>
      <c r="C427" s="32"/>
      <c r="D427" s="32"/>
      <c r="E427" s="32"/>
    </row>
    <row r="428">
      <c r="A428" s="13"/>
      <c r="B428" s="32"/>
      <c r="C428" s="32"/>
      <c r="D428" s="32"/>
      <c r="E428" s="32"/>
    </row>
    <row r="429">
      <c r="A429" s="13"/>
      <c r="B429" s="32"/>
      <c r="C429" s="32"/>
      <c r="D429" s="32"/>
      <c r="E429" s="32"/>
    </row>
    <row r="430">
      <c r="A430" s="13"/>
      <c r="B430" s="32"/>
      <c r="C430" s="32"/>
      <c r="D430" s="32"/>
      <c r="E430" s="32"/>
    </row>
    <row r="431">
      <c r="A431" s="13"/>
      <c r="B431" s="32"/>
      <c r="C431" s="32"/>
      <c r="D431" s="32"/>
      <c r="E431" s="32"/>
    </row>
    <row r="432">
      <c r="A432" s="13"/>
      <c r="B432" s="32"/>
      <c r="C432" s="32"/>
      <c r="D432" s="32"/>
      <c r="E432" s="32"/>
    </row>
    <row r="433">
      <c r="A433" s="13"/>
      <c r="B433" s="32"/>
      <c r="C433" s="32"/>
      <c r="D433" s="32"/>
      <c r="E433" s="32"/>
    </row>
    <row r="434">
      <c r="A434" s="13"/>
      <c r="B434" s="32"/>
      <c r="C434" s="32"/>
      <c r="D434" s="32"/>
      <c r="E434" s="32"/>
    </row>
    <row r="435">
      <c r="A435" s="13"/>
      <c r="B435" s="32"/>
      <c r="C435" s="32"/>
      <c r="D435" s="32"/>
      <c r="E435" s="32"/>
    </row>
    <row r="436">
      <c r="A436" s="13"/>
      <c r="B436" s="32"/>
      <c r="C436" s="32"/>
      <c r="D436" s="32"/>
      <c r="E436" s="32"/>
    </row>
    <row r="437">
      <c r="A437" s="13"/>
      <c r="B437" s="32"/>
      <c r="C437" s="32"/>
      <c r="D437" s="32"/>
      <c r="E437" s="32"/>
    </row>
    <row r="438">
      <c r="A438" s="13"/>
      <c r="B438" s="32"/>
      <c r="C438" s="32"/>
      <c r="D438" s="32"/>
      <c r="E438" s="32"/>
    </row>
    <row r="439">
      <c r="A439" s="13"/>
      <c r="B439" s="32"/>
      <c r="C439" s="32"/>
      <c r="D439" s="32"/>
      <c r="E439" s="32"/>
    </row>
    <row r="440">
      <c r="A440" s="13"/>
      <c r="B440" s="32"/>
      <c r="C440" s="32"/>
      <c r="D440" s="32"/>
      <c r="E440" s="32"/>
    </row>
    <row r="441">
      <c r="A441" s="13"/>
      <c r="B441" s="32"/>
      <c r="C441" s="32"/>
      <c r="D441" s="32"/>
      <c r="E441" s="32"/>
    </row>
    <row r="442">
      <c r="A442" s="13"/>
      <c r="B442" s="32"/>
      <c r="C442" s="32"/>
      <c r="D442" s="32"/>
      <c r="E442" s="32"/>
    </row>
    <row r="443">
      <c r="A443" s="13"/>
      <c r="B443" s="32"/>
      <c r="C443" s="32"/>
      <c r="D443" s="32"/>
      <c r="E443" s="32"/>
    </row>
    <row r="444">
      <c r="A444" s="13"/>
      <c r="B444" s="32"/>
      <c r="C444" s="32"/>
      <c r="D444" s="32"/>
      <c r="E444" s="32"/>
    </row>
    <row r="445">
      <c r="A445" s="13"/>
      <c r="B445" s="32"/>
      <c r="C445" s="32"/>
      <c r="D445" s="32"/>
      <c r="E445" s="32"/>
    </row>
    <row r="446">
      <c r="A446" s="13"/>
      <c r="B446" s="32"/>
      <c r="C446" s="32"/>
      <c r="D446" s="32"/>
      <c r="E446" s="32"/>
    </row>
    <row r="447">
      <c r="A447" s="13"/>
      <c r="B447" s="32"/>
      <c r="C447" s="32"/>
      <c r="D447" s="32"/>
      <c r="E447" s="32"/>
    </row>
    <row r="448">
      <c r="A448" s="13"/>
      <c r="B448" s="32"/>
      <c r="C448" s="32"/>
      <c r="D448" s="32"/>
      <c r="E448" s="32"/>
    </row>
    <row r="449">
      <c r="A449" s="13"/>
      <c r="B449" s="32"/>
      <c r="C449" s="32"/>
      <c r="D449" s="32"/>
      <c r="E449" s="32"/>
    </row>
    <row r="450">
      <c r="A450" s="13"/>
      <c r="B450" s="32"/>
      <c r="C450" s="32"/>
      <c r="D450" s="32"/>
      <c r="E450" s="32"/>
    </row>
    <row r="451">
      <c r="A451" s="13"/>
      <c r="B451" s="32"/>
      <c r="C451" s="32"/>
      <c r="D451" s="32"/>
      <c r="E451" s="32"/>
    </row>
    <row r="452">
      <c r="A452" s="13"/>
      <c r="B452" s="32"/>
      <c r="C452" s="32"/>
      <c r="D452" s="32"/>
      <c r="E452" s="32"/>
    </row>
    <row r="453">
      <c r="A453" s="13"/>
      <c r="B453" s="32"/>
      <c r="C453" s="32"/>
      <c r="D453" s="32"/>
      <c r="E453" s="32"/>
    </row>
    <row r="454">
      <c r="A454" s="13"/>
      <c r="B454" s="32"/>
      <c r="C454" s="32"/>
      <c r="D454" s="32"/>
      <c r="E454" s="32"/>
    </row>
    <row r="455">
      <c r="A455" s="13"/>
      <c r="B455" s="32"/>
      <c r="C455" s="32"/>
      <c r="D455" s="32"/>
      <c r="E455" s="32"/>
    </row>
    <row r="456">
      <c r="A456" s="13"/>
      <c r="B456" s="32"/>
      <c r="C456" s="32"/>
      <c r="D456" s="32"/>
      <c r="E456" s="32"/>
    </row>
    <row r="457">
      <c r="A457" s="13"/>
      <c r="B457" s="32"/>
      <c r="C457" s="32"/>
      <c r="D457" s="32"/>
      <c r="E457" s="32"/>
    </row>
    <row r="458">
      <c r="A458" s="13"/>
      <c r="B458" s="32"/>
      <c r="C458" s="32"/>
      <c r="D458" s="32"/>
      <c r="E458" s="32"/>
    </row>
    <row r="459">
      <c r="A459" s="13"/>
      <c r="B459" s="32"/>
      <c r="C459" s="32"/>
      <c r="D459" s="32"/>
      <c r="E459" s="32"/>
    </row>
    <row r="460">
      <c r="A460" s="13"/>
      <c r="B460" s="32"/>
      <c r="C460" s="32"/>
      <c r="D460" s="32"/>
      <c r="E460" s="32"/>
    </row>
    <row r="461">
      <c r="A461" s="13"/>
      <c r="B461" s="32"/>
      <c r="C461" s="32"/>
      <c r="D461" s="32"/>
      <c r="E461" s="32"/>
    </row>
    <row r="462">
      <c r="A462" s="13"/>
      <c r="B462" s="32"/>
      <c r="C462" s="32"/>
      <c r="D462" s="32"/>
      <c r="E462" s="32"/>
    </row>
    <row r="463">
      <c r="A463" s="13"/>
      <c r="B463" s="32"/>
      <c r="C463" s="32"/>
      <c r="D463" s="32"/>
      <c r="E463" s="32"/>
    </row>
    <row r="464">
      <c r="A464" s="13"/>
      <c r="B464" s="32"/>
      <c r="C464" s="32"/>
      <c r="D464" s="32"/>
      <c r="E464" s="32"/>
    </row>
    <row r="465">
      <c r="A465" s="13"/>
      <c r="B465" s="32"/>
      <c r="C465" s="32"/>
      <c r="D465" s="32"/>
      <c r="E465" s="32"/>
    </row>
    <row r="466">
      <c r="A466" s="13"/>
      <c r="B466" s="32"/>
      <c r="C466" s="32"/>
      <c r="D466" s="32"/>
      <c r="E466" s="32"/>
    </row>
    <row r="467">
      <c r="A467" s="13"/>
      <c r="B467" s="32"/>
      <c r="C467" s="32"/>
      <c r="D467" s="32"/>
      <c r="E467" s="32"/>
    </row>
    <row r="468">
      <c r="A468" s="13"/>
      <c r="B468" s="32"/>
      <c r="C468" s="32"/>
      <c r="D468" s="32"/>
      <c r="E468" s="32"/>
    </row>
    <row r="469">
      <c r="A469" s="13"/>
      <c r="B469" s="32"/>
      <c r="C469" s="32"/>
      <c r="D469" s="32"/>
      <c r="E469" s="32"/>
    </row>
    <row r="470">
      <c r="A470" s="13"/>
      <c r="B470" s="32"/>
      <c r="C470" s="32"/>
      <c r="D470" s="32"/>
      <c r="E470" s="32"/>
    </row>
    <row r="471">
      <c r="A471" s="13"/>
      <c r="B471" s="32"/>
      <c r="C471" s="32"/>
      <c r="D471" s="32"/>
      <c r="E471" s="32"/>
    </row>
    <row r="472">
      <c r="A472" s="13"/>
      <c r="B472" s="32"/>
      <c r="C472" s="32"/>
      <c r="D472" s="32"/>
      <c r="E472" s="32"/>
    </row>
    <row r="473">
      <c r="A473" s="13"/>
      <c r="B473" s="32"/>
      <c r="C473" s="32"/>
      <c r="D473" s="32"/>
      <c r="E473" s="32"/>
    </row>
    <row r="474">
      <c r="A474" s="13"/>
      <c r="B474" s="32"/>
      <c r="C474" s="32"/>
      <c r="D474" s="32"/>
      <c r="E474" s="32"/>
    </row>
    <row r="475">
      <c r="A475" s="13"/>
      <c r="B475" s="32"/>
      <c r="C475" s="32"/>
      <c r="D475" s="32"/>
      <c r="E475" s="32"/>
    </row>
    <row r="476">
      <c r="A476" s="13"/>
      <c r="B476" s="32"/>
      <c r="C476" s="32"/>
      <c r="D476" s="32"/>
      <c r="E476" s="32"/>
    </row>
    <row r="477">
      <c r="A477" s="13"/>
      <c r="B477" s="32"/>
      <c r="C477" s="32"/>
      <c r="D477" s="32"/>
      <c r="E477" s="32"/>
    </row>
    <row r="478">
      <c r="A478" s="13"/>
      <c r="B478" s="32"/>
      <c r="C478" s="32"/>
      <c r="D478" s="32"/>
      <c r="E478" s="32"/>
    </row>
    <row r="479">
      <c r="A479" s="13"/>
      <c r="B479" s="32"/>
      <c r="C479" s="32"/>
      <c r="D479" s="32"/>
      <c r="E479" s="32"/>
    </row>
    <row r="480">
      <c r="A480" s="13"/>
      <c r="B480" s="32"/>
      <c r="C480" s="32"/>
      <c r="D480" s="32"/>
      <c r="E480" s="32"/>
    </row>
    <row r="481">
      <c r="A481" s="13"/>
      <c r="B481" s="32"/>
      <c r="C481" s="32"/>
      <c r="D481" s="32"/>
      <c r="E481" s="32"/>
    </row>
    <row r="482">
      <c r="A482" s="13"/>
      <c r="B482" s="32"/>
      <c r="C482" s="32"/>
      <c r="D482" s="32"/>
      <c r="E482" s="32"/>
    </row>
    <row r="483">
      <c r="A483" s="13"/>
      <c r="B483" s="32"/>
      <c r="C483" s="32"/>
      <c r="D483" s="32"/>
      <c r="E483" s="32"/>
    </row>
    <row r="484">
      <c r="A484" s="13"/>
      <c r="B484" s="32"/>
      <c r="C484" s="32"/>
      <c r="D484" s="32"/>
      <c r="E484" s="32"/>
    </row>
    <row r="485">
      <c r="A485" s="13"/>
      <c r="B485" s="32"/>
      <c r="C485" s="32"/>
      <c r="D485" s="32"/>
      <c r="E485" s="32"/>
    </row>
    <row r="486">
      <c r="A486" s="13"/>
      <c r="B486" s="32"/>
      <c r="C486" s="32"/>
      <c r="D486" s="32"/>
      <c r="E486" s="32"/>
    </row>
    <row r="487">
      <c r="A487" s="13"/>
      <c r="B487" s="32"/>
      <c r="C487" s="32"/>
      <c r="D487" s="32"/>
      <c r="E487" s="32"/>
    </row>
    <row r="488">
      <c r="A488" s="13"/>
      <c r="B488" s="32"/>
      <c r="C488" s="32"/>
      <c r="D488" s="32"/>
      <c r="E488" s="32"/>
    </row>
    <row r="489">
      <c r="A489" s="13"/>
      <c r="B489" s="32"/>
      <c r="C489" s="32"/>
      <c r="D489" s="32"/>
      <c r="E489" s="32"/>
    </row>
    <row r="490">
      <c r="A490" s="13"/>
      <c r="B490" s="32"/>
      <c r="C490" s="32"/>
      <c r="D490" s="32"/>
      <c r="E490" s="32"/>
    </row>
    <row r="491">
      <c r="A491" s="13"/>
      <c r="B491" s="32"/>
      <c r="C491" s="32"/>
      <c r="D491" s="32"/>
      <c r="E491" s="32"/>
    </row>
    <row r="492">
      <c r="A492" s="13"/>
      <c r="B492" s="32"/>
      <c r="C492" s="32"/>
      <c r="D492" s="32"/>
      <c r="E492" s="32"/>
    </row>
    <row r="493">
      <c r="A493" s="13"/>
      <c r="B493" s="32"/>
      <c r="C493" s="32"/>
      <c r="D493" s="32"/>
      <c r="E493" s="32"/>
    </row>
    <row r="494">
      <c r="A494" s="13"/>
      <c r="B494" s="32"/>
      <c r="C494" s="32"/>
      <c r="D494" s="32"/>
      <c r="E494" s="32"/>
    </row>
    <row r="495">
      <c r="A495" s="13"/>
      <c r="B495" s="32"/>
      <c r="C495" s="32"/>
      <c r="D495" s="32"/>
      <c r="E495" s="32"/>
    </row>
    <row r="496">
      <c r="A496" s="13"/>
      <c r="B496" s="32"/>
      <c r="C496" s="32"/>
      <c r="D496" s="32"/>
      <c r="E496" s="32"/>
    </row>
    <row r="497">
      <c r="A497" s="13"/>
      <c r="B497" s="32"/>
      <c r="C497" s="32"/>
      <c r="D497" s="32"/>
      <c r="E497" s="32"/>
    </row>
    <row r="498">
      <c r="A498" s="13"/>
      <c r="B498" s="32"/>
      <c r="C498" s="32"/>
      <c r="D498" s="32"/>
      <c r="E498" s="32"/>
    </row>
    <row r="499">
      <c r="A499" s="13"/>
      <c r="B499" s="32"/>
      <c r="C499" s="32"/>
      <c r="D499" s="32"/>
      <c r="E499" s="32"/>
    </row>
    <row r="500">
      <c r="A500" s="13"/>
      <c r="B500" s="32"/>
      <c r="C500" s="32"/>
      <c r="D500" s="32"/>
      <c r="E500" s="32"/>
    </row>
    <row r="501">
      <c r="A501" s="13"/>
      <c r="B501" s="32"/>
      <c r="C501" s="32"/>
      <c r="D501" s="32"/>
      <c r="E501" s="32"/>
    </row>
    <row r="502">
      <c r="A502" s="13"/>
      <c r="B502" s="32"/>
      <c r="C502" s="32"/>
      <c r="D502" s="32"/>
      <c r="E502" s="32"/>
    </row>
    <row r="503">
      <c r="A503" s="13"/>
      <c r="B503" s="32"/>
      <c r="C503" s="32"/>
      <c r="D503" s="32"/>
      <c r="E503" s="32"/>
    </row>
    <row r="504">
      <c r="A504" s="13"/>
      <c r="B504" s="32"/>
      <c r="C504" s="32"/>
      <c r="D504" s="32"/>
      <c r="E504" s="32"/>
    </row>
    <row r="505">
      <c r="A505" s="13"/>
      <c r="B505" s="32"/>
      <c r="C505" s="32"/>
      <c r="D505" s="32"/>
      <c r="E505" s="32"/>
    </row>
    <row r="506">
      <c r="A506" s="13"/>
      <c r="B506" s="32"/>
      <c r="C506" s="32"/>
      <c r="D506" s="32"/>
      <c r="E506" s="32"/>
    </row>
    <row r="507">
      <c r="A507" s="13"/>
      <c r="B507" s="32"/>
      <c r="C507" s="32"/>
      <c r="D507" s="32"/>
      <c r="E507" s="32"/>
    </row>
    <row r="508">
      <c r="A508" s="13"/>
      <c r="B508" s="32"/>
      <c r="C508" s="32"/>
      <c r="D508" s="32"/>
      <c r="E508" s="32"/>
    </row>
    <row r="509">
      <c r="A509" s="13"/>
      <c r="B509" s="32"/>
      <c r="C509" s="32"/>
      <c r="D509" s="32"/>
      <c r="E509" s="32"/>
    </row>
    <row r="510">
      <c r="A510" s="13"/>
      <c r="B510" s="32"/>
      <c r="C510" s="32"/>
      <c r="D510" s="32"/>
      <c r="E510" s="32"/>
    </row>
    <row r="511">
      <c r="A511" s="13"/>
      <c r="B511" s="32"/>
      <c r="C511" s="32"/>
      <c r="D511" s="32"/>
      <c r="E511" s="32"/>
    </row>
    <row r="512">
      <c r="A512" s="13"/>
      <c r="B512" s="32"/>
      <c r="C512" s="32"/>
      <c r="D512" s="32"/>
      <c r="E512" s="32"/>
    </row>
    <row r="513">
      <c r="A513" s="13"/>
      <c r="B513" s="32"/>
      <c r="C513" s="32"/>
      <c r="D513" s="32"/>
      <c r="E513" s="32"/>
    </row>
    <row r="514">
      <c r="A514" s="13"/>
      <c r="B514" s="32"/>
      <c r="C514" s="32"/>
      <c r="D514" s="32"/>
      <c r="E514" s="32"/>
    </row>
    <row r="515">
      <c r="A515" s="13"/>
      <c r="B515" s="32"/>
      <c r="C515" s="32"/>
      <c r="D515" s="32"/>
      <c r="E515" s="32"/>
    </row>
    <row r="516">
      <c r="A516" s="13"/>
      <c r="B516" s="32"/>
      <c r="C516" s="32"/>
      <c r="D516" s="32"/>
      <c r="E516" s="32"/>
    </row>
    <row r="517">
      <c r="A517" s="13"/>
      <c r="B517" s="32"/>
      <c r="C517" s="32"/>
      <c r="D517" s="32"/>
      <c r="E517" s="32"/>
    </row>
    <row r="518">
      <c r="A518" s="13"/>
      <c r="B518" s="32"/>
      <c r="C518" s="32"/>
      <c r="D518" s="32"/>
      <c r="E518" s="32"/>
    </row>
    <row r="519">
      <c r="A519" s="13"/>
      <c r="B519" s="32"/>
      <c r="C519" s="32"/>
      <c r="D519" s="32"/>
      <c r="E519" s="32"/>
    </row>
    <row r="520">
      <c r="A520" s="13"/>
      <c r="B520" s="32"/>
      <c r="C520" s="32"/>
      <c r="D520" s="32"/>
      <c r="E520" s="32"/>
    </row>
    <row r="521">
      <c r="A521" s="13"/>
      <c r="B521" s="32"/>
      <c r="C521" s="32"/>
      <c r="D521" s="32"/>
      <c r="E521" s="32"/>
    </row>
    <row r="522">
      <c r="A522" s="13"/>
      <c r="B522" s="32"/>
      <c r="C522" s="32"/>
      <c r="D522" s="32"/>
      <c r="E522" s="32"/>
    </row>
    <row r="523">
      <c r="A523" s="13"/>
      <c r="B523" s="32"/>
      <c r="C523" s="32"/>
      <c r="D523" s="32"/>
      <c r="E523" s="32"/>
    </row>
    <row r="524">
      <c r="A524" s="13"/>
      <c r="B524" s="32"/>
      <c r="C524" s="32"/>
      <c r="D524" s="32"/>
      <c r="E524" s="32"/>
    </row>
    <row r="525">
      <c r="A525" s="13"/>
      <c r="B525" s="32"/>
      <c r="C525" s="32"/>
      <c r="D525" s="32"/>
      <c r="E525" s="32"/>
    </row>
    <row r="526">
      <c r="A526" s="13"/>
      <c r="B526" s="32"/>
      <c r="C526" s="32"/>
      <c r="D526" s="32"/>
      <c r="E526" s="32"/>
    </row>
    <row r="527">
      <c r="A527" s="13"/>
      <c r="B527" s="32"/>
      <c r="C527" s="32"/>
      <c r="D527" s="32"/>
      <c r="E527" s="32"/>
    </row>
    <row r="528">
      <c r="A528" s="13"/>
      <c r="B528" s="32"/>
      <c r="C528" s="32"/>
      <c r="D528" s="32"/>
      <c r="E528" s="32"/>
    </row>
    <row r="529">
      <c r="A529" s="13"/>
      <c r="B529" s="32"/>
      <c r="C529" s="32"/>
      <c r="D529" s="32"/>
      <c r="E529" s="32"/>
    </row>
    <row r="530">
      <c r="A530" s="13"/>
      <c r="B530" s="32"/>
      <c r="C530" s="32"/>
      <c r="D530" s="32"/>
      <c r="E530" s="32"/>
    </row>
    <row r="531">
      <c r="A531" s="13"/>
      <c r="B531" s="32"/>
      <c r="C531" s="32"/>
      <c r="D531" s="32"/>
      <c r="E531" s="32"/>
    </row>
    <row r="532">
      <c r="A532" s="13"/>
      <c r="B532" s="32"/>
      <c r="C532" s="32"/>
      <c r="D532" s="32"/>
      <c r="E532" s="32"/>
    </row>
    <row r="533">
      <c r="A533" s="13"/>
      <c r="B533" s="32"/>
      <c r="C533" s="32"/>
      <c r="D533" s="32"/>
      <c r="E533" s="32"/>
    </row>
    <row r="534">
      <c r="A534" s="13"/>
      <c r="B534" s="32"/>
      <c r="C534" s="32"/>
      <c r="D534" s="32"/>
      <c r="E534" s="32"/>
    </row>
    <row r="535">
      <c r="A535" s="13"/>
      <c r="B535" s="32"/>
      <c r="C535" s="32"/>
      <c r="D535" s="32"/>
      <c r="E535" s="32"/>
    </row>
    <row r="536">
      <c r="A536" s="13"/>
      <c r="B536" s="32"/>
      <c r="C536" s="32"/>
      <c r="D536" s="32"/>
      <c r="E536" s="32"/>
    </row>
    <row r="537">
      <c r="A537" s="13"/>
      <c r="B537" s="32"/>
      <c r="C537" s="32"/>
      <c r="D537" s="32"/>
      <c r="E537" s="32"/>
    </row>
    <row r="538">
      <c r="A538" s="13"/>
      <c r="B538" s="32"/>
      <c r="C538" s="32"/>
      <c r="D538" s="32"/>
      <c r="E538" s="32"/>
    </row>
    <row r="539">
      <c r="A539" s="13"/>
      <c r="B539" s="32"/>
      <c r="C539" s="32"/>
      <c r="D539" s="32"/>
      <c r="E539" s="32"/>
    </row>
    <row r="540">
      <c r="A540" s="13"/>
      <c r="B540" s="32"/>
      <c r="C540" s="32"/>
      <c r="D540" s="32"/>
      <c r="E540" s="32"/>
    </row>
    <row r="541">
      <c r="A541" s="13"/>
      <c r="B541" s="32"/>
      <c r="C541" s="32"/>
      <c r="D541" s="32"/>
      <c r="E541" s="32"/>
    </row>
    <row r="542">
      <c r="A542" s="13"/>
      <c r="B542" s="32"/>
      <c r="C542" s="32"/>
      <c r="D542" s="32"/>
      <c r="E542" s="32"/>
    </row>
    <row r="543">
      <c r="A543" s="13"/>
      <c r="B543" s="32"/>
      <c r="C543" s="32"/>
      <c r="D543" s="32"/>
      <c r="E543" s="32"/>
    </row>
    <row r="544">
      <c r="A544" s="13"/>
      <c r="B544" s="32"/>
      <c r="C544" s="32"/>
      <c r="D544" s="32"/>
      <c r="E544" s="32"/>
    </row>
    <row r="545">
      <c r="A545" s="13"/>
      <c r="B545" s="32"/>
      <c r="C545" s="32"/>
      <c r="D545" s="32"/>
      <c r="E545" s="32"/>
    </row>
    <row r="546">
      <c r="A546" s="13"/>
      <c r="B546" s="32"/>
      <c r="C546" s="32"/>
      <c r="D546" s="32"/>
      <c r="E546" s="32"/>
    </row>
    <row r="547">
      <c r="A547" s="13"/>
      <c r="B547" s="32"/>
      <c r="C547" s="32"/>
      <c r="D547" s="32"/>
      <c r="E547" s="32"/>
    </row>
    <row r="548">
      <c r="A548" s="13"/>
      <c r="B548" s="32"/>
      <c r="C548" s="32"/>
      <c r="D548" s="32"/>
      <c r="E548" s="32"/>
    </row>
    <row r="549">
      <c r="A549" s="13"/>
      <c r="B549" s="32"/>
      <c r="C549" s="32"/>
      <c r="D549" s="32"/>
      <c r="E549" s="32"/>
    </row>
    <row r="550">
      <c r="A550" s="13"/>
      <c r="B550" s="32"/>
      <c r="C550" s="32"/>
      <c r="D550" s="32"/>
      <c r="E550" s="32"/>
    </row>
    <row r="551">
      <c r="A551" s="13"/>
      <c r="B551" s="32"/>
      <c r="C551" s="32"/>
      <c r="D551" s="32"/>
      <c r="E551" s="32"/>
    </row>
    <row r="552">
      <c r="A552" s="13"/>
      <c r="B552" s="32"/>
      <c r="C552" s="32"/>
      <c r="D552" s="32"/>
      <c r="E552" s="32"/>
    </row>
    <row r="553">
      <c r="A553" s="13"/>
      <c r="B553" s="32"/>
      <c r="C553" s="32"/>
      <c r="D553" s="32"/>
      <c r="E553" s="32"/>
    </row>
    <row r="554">
      <c r="A554" s="13"/>
      <c r="B554" s="32"/>
      <c r="C554" s="32"/>
      <c r="D554" s="32"/>
      <c r="E554" s="32"/>
    </row>
    <row r="555">
      <c r="A555" s="13"/>
      <c r="B555" s="32"/>
      <c r="C555" s="32"/>
      <c r="D555" s="32"/>
      <c r="E555" s="32"/>
    </row>
    <row r="556">
      <c r="A556" s="13"/>
      <c r="B556" s="32"/>
      <c r="C556" s="32"/>
      <c r="D556" s="32"/>
      <c r="E556" s="32"/>
    </row>
    <row r="557">
      <c r="A557" s="13"/>
      <c r="B557" s="32"/>
      <c r="C557" s="32"/>
      <c r="D557" s="32"/>
      <c r="E557" s="32"/>
    </row>
    <row r="558">
      <c r="A558" s="13"/>
      <c r="B558" s="32"/>
      <c r="C558" s="32"/>
      <c r="D558" s="32"/>
      <c r="E558" s="32"/>
    </row>
    <row r="559">
      <c r="A559" s="13"/>
      <c r="B559" s="32"/>
      <c r="C559" s="32"/>
      <c r="D559" s="32"/>
      <c r="E559" s="32"/>
    </row>
    <row r="560">
      <c r="A560" s="13"/>
      <c r="B560" s="32"/>
      <c r="C560" s="32"/>
      <c r="D560" s="32"/>
      <c r="E560" s="32"/>
    </row>
    <row r="561">
      <c r="A561" s="13"/>
      <c r="B561" s="32"/>
      <c r="C561" s="32"/>
      <c r="D561" s="32"/>
      <c r="E561" s="32"/>
    </row>
    <row r="562">
      <c r="A562" s="13"/>
      <c r="B562" s="32"/>
      <c r="C562" s="32"/>
      <c r="D562" s="32"/>
      <c r="E562" s="32"/>
    </row>
    <row r="563">
      <c r="A563" s="13"/>
      <c r="B563" s="32"/>
      <c r="C563" s="32"/>
      <c r="D563" s="32"/>
      <c r="E563" s="32"/>
    </row>
    <row r="564">
      <c r="A564" s="13"/>
      <c r="B564" s="32"/>
      <c r="C564" s="32"/>
      <c r="D564" s="32"/>
      <c r="E564" s="32"/>
    </row>
    <row r="565">
      <c r="A565" s="13"/>
      <c r="B565" s="32"/>
      <c r="C565" s="32"/>
      <c r="D565" s="32"/>
      <c r="E565" s="32"/>
    </row>
    <row r="566">
      <c r="A566" s="13"/>
      <c r="B566" s="32"/>
      <c r="C566" s="32"/>
      <c r="D566" s="32"/>
      <c r="E566" s="32"/>
    </row>
    <row r="567">
      <c r="A567" s="13"/>
      <c r="B567" s="32"/>
      <c r="C567" s="32"/>
      <c r="D567" s="32"/>
      <c r="E567" s="32"/>
    </row>
    <row r="568">
      <c r="A568" s="13"/>
      <c r="B568" s="32"/>
      <c r="C568" s="32"/>
      <c r="D568" s="32"/>
      <c r="E568" s="32"/>
    </row>
    <row r="569">
      <c r="A569" s="13"/>
      <c r="B569" s="32"/>
      <c r="C569" s="32"/>
      <c r="D569" s="32"/>
      <c r="E569" s="32"/>
    </row>
    <row r="570">
      <c r="A570" s="13"/>
      <c r="B570" s="32"/>
      <c r="C570" s="32"/>
      <c r="D570" s="32"/>
      <c r="E570" s="32"/>
    </row>
    <row r="571">
      <c r="A571" s="13"/>
      <c r="B571" s="32"/>
      <c r="C571" s="32"/>
      <c r="D571" s="32"/>
      <c r="E571" s="32"/>
    </row>
    <row r="572">
      <c r="A572" s="13"/>
      <c r="B572" s="32"/>
      <c r="C572" s="32"/>
      <c r="D572" s="32"/>
      <c r="E572" s="32"/>
    </row>
    <row r="573">
      <c r="A573" s="13"/>
      <c r="B573" s="32"/>
      <c r="C573" s="32"/>
      <c r="D573" s="32"/>
      <c r="E573" s="32"/>
    </row>
    <row r="574">
      <c r="A574" s="13"/>
      <c r="B574" s="32"/>
      <c r="C574" s="32"/>
      <c r="D574" s="32"/>
      <c r="E574" s="32"/>
    </row>
    <row r="575">
      <c r="A575" s="13"/>
      <c r="B575" s="32"/>
      <c r="C575" s="32"/>
      <c r="D575" s="32"/>
      <c r="E575" s="32"/>
    </row>
    <row r="576">
      <c r="A576" s="13"/>
      <c r="B576" s="32"/>
      <c r="C576" s="32"/>
      <c r="D576" s="32"/>
      <c r="E576" s="32"/>
    </row>
    <row r="577">
      <c r="A577" s="13"/>
      <c r="B577" s="32"/>
      <c r="C577" s="32"/>
      <c r="D577" s="32"/>
      <c r="E577" s="32"/>
    </row>
    <row r="578">
      <c r="A578" s="13"/>
      <c r="B578" s="32"/>
      <c r="C578" s="32"/>
      <c r="D578" s="32"/>
      <c r="E578" s="32"/>
    </row>
    <row r="579">
      <c r="A579" s="13"/>
      <c r="B579" s="32"/>
      <c r="C579" s="32"/>
      <c r="D579" s="32"/>
      <c r="E579" s="32"/>
    </row>
    <row r="580">
      <c r="A580" s="13"/>
      <c r="B580" s="32"/>
      <c r="C580" s="32"/>
      <c r="D580" s="32"/>
      <c r="E580" s="32"/>
    </row>
    <row r="581">
      <c r="A581" s="13"/>
      <c r="B581" s="32"/>
      <c r="C581" s="32"/>
      <c r="D581" s="32"/>
      <c r="E581" s="32"/>
    </row>
    <row r="582">
      <c r="A582" s="13"/>
      <c r="B582" s="32"/>
      <c r="C582" s="32"/>
      <c r="D582" s="32"/>
      <c r="E582" s="32"/>
    </row>
    <row r="583">
      <c r="A583" s="13"/>
      <c r="B583" s="32"/>
      <c r="C583" s="32"/>
      <c r="D583" s="32"/>
      <c r="E583" s="32"/>
    </row>
    <row r="584">
      <c r="A584" s="13"/>
      <c r="B584" s="32"/>
      <c r="C584" s="32"/>
      <c r="D584" s="32"/>
      <c r="E584" s="32"/>
    </row>
    <row r="585">
      <c r="A585" s="13"/>
      <c r="B585" s="32"/>
      <c r="C585" s="32"/>
      <c r="D585" s="32"/>
      <c r="E585" s="32"/>
    </row>
    <row r="586">
      <c r="A586" s="13"/>
      <c r="B586" s="32"/>
      <c r="C586" s="32"/>
      <c r="D586" s="32"/>
      <c r="E586" s="32"/>
    </row>
    <row r="587">
      <c r="A587" s="13"/>
      <c r="B587" s="32"/>
      <c r="C587" s="32"/>
      <c r="D587" s="32"/>
      <c r="E587" s="32"/>
    </row>
    <row r="588">
      <c r="A588" s="13"/>
      <c r="B588" s="32"/>
      <c r="C588" s="32"/>
      <c r="D588" s="32"/>
      <c r="E588" s="32"/>
    </row>
    <row r="589">
      <c r="A589" s="13"/>
      <c r="B589" s="32"/>
      <c r="C589" s="32"/>
      <c r="D589" s="32"/>
      <c r="E589" s="32"/>
    </row>
    <row r="590">
      <c r="A590" s="13"/>
      <c r="B590" s="32"/>
      <c r="C590" s="32"/>
      <c r="D590" s="32"/>
      <c r="E590" s="32"/>
    </row>
    <row r="591">
      <c r="A591" s="13"/>
      <c r="B591" s="32"/>
      <c r="C591" s="32"/>
      <c r="D591" s="32"/>
      <c r="E591" s="32"/>
    </row>
    <row r="592">
      <c r="A592" s="13"/>
      <c r="B592" s="32"/>
      <c r="C592" s="32"/>
      <c r="D592" s="32"/>
      <c r="E592" s="32"/>
    </row>
    <row r="593">
      <c r="A593" s="13"/>
      <c r="B593" s="32"/>
      <c r="C593" s="32"/>
      <c r="D593" s="32"/>
      <c r="E593" s="32"/>
    </row>
    <row r="594">
      <c r="A594" s="13"/>
      <c r="B594" s="32"/>
      <c r="C594" s="32"/>
      <c r="D594" s="32"/>
      <c r="E594" s="32"/>
    </row>
    <row r="595">
      <c r="A595" s="13"/>
      <c r="B595" s="32"/>
      <c r="C595" s="32"/>
      <c r="D595" s="32"/>
      <c r="E595" s="32"/>
    </row>
    <row r="596">
      <c r="A596" s="13"/>
      <c r="B596" s="32"/>
      <c r="C596" s="32"/>
      <c r="D596" s="32"/>
      <c r="E596" s="32"/>
    </row>
    <row r="597">
      <c r="A597" s="13"/>
      <c r="B597" s="32"/>
      <c r="C597" s="32"/>
      <c r="D597" s="32"/>
      <c r="E597" s="32"/>
    </row>
    <row r="598">
      <c r="A598" s="13"/>
      <c r="B598" s="32"/>
      <c r="C598" s="32"/>
      <c r="D598" s="32"/>
      <c r="E598" s="32"/>
    </row>
    <row r="599">
      <c r="A599" s="13"/>
      <c r="B599" s="32"/>
      <c r="C599" s="32"/>
      <c r="D599" s="32"/>
      <c r="E599" s="32"/>
    </row>
    <row r="600">
      <c r="A600" s="13"/>
      <c r="B600" s="32"/>
      <c r="C600" s="32"/>
      <c r="D600" s="32"/>
      <c r="E600" s="32"/>
    </row>
    <row r="601">
      <c r="A601" s="13"/>
      <c r="B601" s="32"/>
      <c r="C601" s="32"/>
      <c r="D601" s="32"/>
      <c r="E601" s="32"/>
    </row>
    <row r="602">
      <c r="A602" s="13"/>
      <c r="B602" s="32"/>
      <c r="C602" s="32"/>
      <c r="D602" s="32"/>
      <c r="E602" s="32"/>
    </row>
    <row r="603">
      <c r="A603" s="13"/>
      <c r="B603" s="32"/>
      <c r="C603" s="32"/>
      <c r="D603" s="32"/>
      <c r="E603" s="32"/>
    </row>
    <row r="604">
      <c r="A604" s="13"/>
      <c r="B604" s="32"/>
      <c r="C604" s="32"/>
      <c r="D604" s="32"/>
      <c r="E604" s="32"/>
    </row>
    <row r="605">
      <c r="A605" s="13"/>
      <c r="B605" s="32"/>
      <c r="C605" s="32"/>
      <c r="D605" s="32"/>
      <c r="E605" s="32"/>
    </row>
    <row r="606">
      <c r="A606" s="13"/>
      <c r="B606" s="32"/>
      <c r="C606" s="32"/>
      <c r="D606" s="32"/>
      <c r="E606" s="32"/>
    </row>
    <row r="607">
      <c r="A607" s="13"/>
      <c r="B607" s="32"/>
      <c r="C607" s="32"/>
      <c r="D607" s="32"/>
      <c r="E607" s="32"/>
    </row>
    <row r="608">
      <c r="A608" s="13"/>
      <c r="B608" s="32"/>
      <c r="C608" s="32"/>
      <c r="D608" s="32"/>
      <c r="E608" s="32"/>
    </row>
    <row r="609">
      <c r="A609" s="13"/>
      <c r="B609" s="32"/>
      <c r="C609" s="32"/>
      <c r="D609" s="32"/>
      <c r="E609" s="32"/>
    </row>
    <row r="610">
      <c r="A610" s="13"/>
      <c r="B610" s="32"/>
      <c r="C610" s="32"/>
      <c r="D610" s="32"/>
      <c r="E610" s="32"/>
    </row>
    <row r="611">
      <c r="A611" s="13"/>
      <c r="B611" s="32"/>
      <c r="C611" s="32"/>
      <c r="D611" s="32"/>
      <c r="E611" s="32"/>
    </row>
    <row r="612">
      <c r="A612" s="13"/>
      <c r="B612" s="32"/>
      <c r="C612" s="32"/>
      <c r="D612" s="32"/>
      <c r="E612" s="32"/>
    </row>
    <row r="613">
      <c r="A613" s="13"/>
      <c r="B613" s="32"/>
      <c r="C613" s="32"/>
      <c r="D613" s="32"/>
      <c r="E613" s="32"/>
    </row>
    <row r="614">
      <c r="A614" s="13"/>
      <c r="B614" s="32"/>
      <c r="C614" s="32"/>
      <c r="D614" s="32"/>
      <c r="E614" s="32"/>
    </row>
    <row r="615">
      <c r="A615" s="13"/>
      <c r="B615" s="32"/>
      <c r="C615" s="32"/>
      <c r="D615" s="32"/>
      <c r="E615" s="32"/>
    </row>
    <row r="616">
      <c r="A616" s="13"/>
      <c r="B616" s="32"/>
      <c r="C616" s="32"/>
      <c r="D616" s="32"/>
      <c r="E616" s="32"/>
    </row>
    <row r="617">
      <c r="A617" s="13"/>
      <c r="B617" s="32"/>
      <c r="C617" s="32"/>
      <c r="D617" s="32"/>
      <c r="E617" s="32"/>
    </row>
    <row r="618">
      <c r="A618" s="13"/>
      <c r="B618" s="32"/>
      <c r="C618" s="32"/>
      <c r="D618" s="32"/>
      <c r="E618" s="32"/>
    </row>
    <row r="619">
      <c r="A619" s="13"/>
      <c r="B619" s="32"/>
      <c r="C619" s="32"/>
      <c r="D619" s="32"/>
      <c r="E619" s="32"/>
    </row>
    <row r="620">
      <c r="A620" s="13"/>
      <c r="B620" s="32"/>
      <c r="C620" s="32"/>
      <c r="D620" s="32"/>
      <c r="E620" s="32"/>
    </row>
    <row r="621">
      <c r="A621" s="13"/>
      <c r="B621" s="32"/>
      <c r="C621" s="32"/>
      <c r="D621" s="32"/>
      <c r="E621" s="32"/>
    </row>
    <row r="622">
      <c r="A622" s="13"/>
      <c r="B622" s="32"/>
      <c r="C622" s="32"/>
      <c r="D622" s="32"/>
      <c r="E622" s="32"/>
    </row>
    <row r="623">
      <c r="A623" s="13"/>
      <c r="B623" s="32"/>
      <c r="C623" s="32"/>
      <c r="D623" s="32"/>
      <c r="E623" s="32"/>
    </row>
    <row r="624">
      <c r="A624" s="13"/>
      <c r="B624" s="32"/>
      <c r="C624" s="32"/>
      <c r="D624" s="32"/>
      <c r="E624" s="32"/>
    </row>
    <row r="625">
      <c r="A625" s="13"/>
      <c r="B625" s="32"/>
      <c r="C625" s="32"/>
      <c r="D625" s="32"/>
      <c r="E625" s="32"/>
    </row>
    <row r="626">
      <c r="A626" s="13"/>
      <c r="B626" s="32"/>
      <c r="C626" s="32"/>
      <c r="D626" s="32"/>
      <c r="E626" s="32"/>
    </row>
    <row r="627">
      <c r="A627" s="13"/>
      <c r="B627" s="32"/>
      <c r="C627" s="32"/>
      <c r="D627" s="32"/>
      <c r="E627" s="32"/>
    </row>
    <row r="628">
      <c r="A628" s="13"/>
      <c r="B628" s="32"/>
      <c r="C628" s="32"/>
      <c r="D628" s="32"/>
      <c r="E628" s="32"/>
    </row>
    <row r="629">
      <c r="A629" s="13"/>
      <c r="B629" s="32"/>
      <c r="C629" s="32"/>
      <c r="D629" s="32"/>
      <c r="E629" s="32"/>
    </row>
    <row r="630">
      <c r="A630" s="13"/>
      <c r="B630" s="32"/>
      <c r="C630" s="32"/>
      <c r="D630" s="32"/>
      <c r="E630" s="32"/>
    </row>
    <row r="631">
      <c r="A631" s="13"/>
      <c r="B631" s="32"/>
      <c r="C631" s="32"/>
      <c r="D631" s="32"/>
      <c r="E631" s="32"/>
    </row>
    <row r="632">
      <c r="A632" s="13"/>
      <c r="B632" s="32"/>
      <c r="C632" s="32"/>
      <c r="D632" s="32"/>
      <c r="E632" s="32"/>
    </row>
    <row r="633">
      <c r="A633" s="13"/>
      <c r="B633" s="32"/>
      <c r="C633" s="32"/>
      <c r="D633" s="32"/>
      <c r="E633" s="32"/>
    </row>
    <row r="634">
      <c r="A634" s="13"/>
      <c r="B634" s="32"/>
      <c r="C634" s="32"/>
      <c r="D634" s="32"/>
      <c r="E634" s="32"/>
    </row>
    <row r="635">
      <c r="A635" s="13"/>
      <c r="B635" s="32"/>
      <c r="C635" s="32"/>
      <c r="D635" s="32"/>
      <c r="E635" s="32"/>
    </row>
    <row r="636">
      <c r="A636" s="13"/>
      <c r="B636" s="32"/>
      <c r="C636" s="32"/>
      <c r="D636" s="32"/>
      <c r="E636" s="32"/>
    </row>
    <row r="637">
      <c r="A637" s="13"/>
      <c r="B637" s="32"/>
      <c r="C637" s="32"/>
      <c r="D637" s="32"/>
      <c r="E637" s="32"/>
    </row>
    <row r="638">
      <c r="A638" s="13"/>
      <c r="B638" s="32"/>
      <c r="C638" s="32"/>
      <c r="D638" s="32"/>
      <c r="E638" s="32"/>
    </row>
    <row r="639">
      <c r="A639" s="13"/>
      <c r="B639" s="32"/>
      <c r="C639" s="32"/>
      <c r="D639" s="32"/>
      <c r="E639" s="32"/>
    </row>
    <row r="640">
      <c r="A640" s="13"/>
      <c r="B640" s="32"/>
      <c r="C640" s="32"/>
      <c r="D640" s="32"/>
      <c r="E640" s="32"/>
    </row>
    <row r="641">
      <c r="A641" s="13"/>
      <c r="B641" s="32"/>
      <c r="C641" s="32"/>
      <c r="D641" s="32"/>
      <c r="E641" s="32"/>
    </row>
    <row r="642">
      <c r="A642" s="13"/>
      <c r="B642" s="32"/>
      <c r="C642" s="32"/>
      <c r="D642" s="32"/>
      <c r="E642" s="32"/>
    </row>
    <row r="643">
      <c r="A643" s="13"/>
      <c r="B643" s="32"/>
      <c r="C643" s="32"/>
      <c r="D643" s="32"/>
      <c r="E643" s="32"/>
    </row>
    <row r="644">
      <c r="A644" s="13"/>
      <c r="B644" s="32"/>
      <c r="C644" s="32"/>
      <c r="D644" s="32"/>
      <c r="E644" s="32"/>
    </row>
    <row r="645">
      <c r="A645" s="13"/>
      <c r="B645" s="32"/>
      <c r="C645" s="32"/>
      <c r="D645" s="32"/>
      <c r="E645" s="32"/>
    </row>
    <row r="646">
      <c r="A646" s="13"/>
      <c r="B646" s="32"/>
      <c r="C646" s="32"/>
      <c r="D646" s="32"/>
      <c r="E646" s="32"/>
    </row>
    <row r="647">
      <c r="A647" s="13"/>
      <c r="B647" s="32"/>
      <c r="C647" s="32"/>
      <c r="D647" s="32"/>
      <c r="E647" s="32"/>
    </row>
    <row r="648">
      <c r="A648" s="13"/>
      <c r="B648" s="32"/>
      <c r="C648" s="32"/>
      <c r="D648" s="32"/>
      <c r="E648" s="32"/>
    </row>
    <row r="649">
      <c r="A649" s="13"/>
      <c r="B649" s="32"/>
      <c r="C649" s="32"/>
      <c r="D649" s="32"/>
      <c r="E649" s="32"/>
    </row>
    <row r="650">
      <c r="A650" s="13"/>
      <c r="B650" s="32"/>
      <c r="C650" s="32"/>
      <c r="D650" s="32"/>
      <c r="E650" s="32"/>
    </row>
    <row r="651">
      <c r="A651" s="13"/>
      <c r="B651" s="32"/>
      <c r="C651" s="32"/>
      <c r="D651" s="32"/>
      <c r="E651" s="32"/>
    </row>
    <row r="652">
      <c r="A652" s="13"/>
      <c r="B652" s="32"/>
      <c r="C652" s="32"/>
      <c r="D652" s="32"/>
      <c r="E652" s="32"/>
    </row>
    <row r="653">
      <c r="A653" s="13"/>
      <c r="B653" s="32"/>
      <c r="C653" s="32"/>
      <c r="D653" s="32"/>
      <c r="E653" s="32"/>
    </row>
    <row r="654">
      <c r="A654" s="13"/>
      <c r="B654" s="32"/>
      <c r="C654" s="32"/>
      <c r="D654" s="32"/>
      <c r="E654" s="32"/>
    </row>
    <row r="655">
      <c r="A655" s="13"/>
      <c r="B655" s="32"/>
      <c r="C655" s="32"/>
      <c r="D655" s="32"/>
      <c r="E655" s="32"/>
    </row>
    <row r="656">
      <c r="A656" s="13"/>
      <c r="B656" s="32"/>
      <c r="C656" s="32"/>
      <c r="D656" s="32"/>
      <c r="E656" s="32"/>
    </row>
    <row r="657">
      <c r="A657" s="13"/>
      <c r="B657" s="32"/>
      <c r="C657" s="32"/>
      <c r="D657" s="32"/>
      <c r="E657" s="32"/>
    </row>
    <row r="658">
      <c r="A658" s="13"/>
      <c r="B658" s="32"/>
      <c r="C658" s="32"/>
      <c r="D658" s="32"/>
      <c r="E658" s="32"/>
    </row>
    <row r="659">
      <c r="A659" s="13"/>
      <c r="B659" s="32"/>
      <c r="C659" s="32"/>
      <c r="D659" s="32"/>
      <c r="E659" s="32"/>
    </row>
    <row r="660">
      <c r="A660" s="13"/>
      <c r="B660" s="32"/>
      <c r="C660" s="32"/>
      <c r="D660" s="32"/>
      <c r="E660" s="32"/>
    </row>
    <row r="661">
      <c r="A661" s="13"/>
      <c r="B661" s="32"/>
      <c r="C661" s="32"/>
      <c r="D661" s="32"/>
      <c r="E661" s="32"/>
    </row>
    <row r="662">
      <c r="A662" s="13"/>
      <c r="B662" s="32"/>
      <c r="C662" s="32"/>
      <c r="D662" s="32"/>
      <c r="E662" s="32"/>
    </row>
    <row r="663">
      <c r="A663" s="13"/>
      <c r="B663" s="32"/>
      <c r="C663" s="32"/>
      <c r="D663" s="32"/>
      <c r="E663" s="32"/>
    </row>
    <row r="664">
      <c r="A664" s="13"/>
      <c r="B664" s="32"/>
      <c r="C664" s="32"/>
      <c r="D664" s="32"/>
      <c r="E664" s="32"/>
    </row>
    <row r="665">
      <c r="A665" s="13"/>
      <c r="B665" s="32"/>
      <c r="C665" s="32"/>
      <c r="D665" s="32"/>
      <c r="E665" s="32"/>
    </row>
    <row r="666">
      <c r="A666" s="13"/>
      <c r="B666" s="32"/>
      <c r="C666" s="32"/>
      <c r="D666" s="32"/>
      <c r="E666" s="32"/>
    </row>
    <row r="667">
      <c r="A667" s="13"/>
      <c r="B667" s="32"/>
      <c r="C667" s="32"/>
      <c r="D667" s="32"/>
      <c r="E667" s="32"/>
    </row>
    <row r="668">
      <c r="A668" s="13"/>
      <c r="B668" s="32"/>
      <c r="C668" s="32"/>
      <c r="D668" s="32"/>
      <c r="E668" s="32"/>
    </row>
    <row r="669">
      <c r="A669" s="13"/>
      <c r="B669" s="32"/>
      <c r="C669" s="32"/>
      <c r="D669" s="32"/>
      <c r="E669" s="32"/>
    </row>
    <row r="670">
      <c r="A670" s="13"/>
      <c r="B670" s="32"/>
      <c r="C670" s="32"/>
      <c r="D670" s="32"/>
      <c r="E670" s="32"/>
    </row>
    <row r="671">
      <c r="A671" s="13"/>
      <c r="B671" s="32"/>
      <c r="C671" s="32"/>
      <c r="D671" s="32"/>
      <c r="E671" s="32"/>
    </row>
    <row r="672">
      <c r="A672" s="13"/>
      <c r="B672" s="32"/>
      <c r="C672" s="32"/>
      <c r="D672" s="32"/>
      <c r="E672" s="32"/>
    </row>
    <row r="673">
      <c r="A673" s="13"/>
      <c r="B673" s="32"/>
      <c r="C673" s="32"/>
      <c r="D673" s="32"/>
      <c r="E673" s="32"/>
    </row>
    <row r="674">
      <c r="A674" s="13"/>
      <c r="B674" s="32"/>
      <c r="C674" s="32"/>
      <c r="D674" s="32"/>
      <c r="E674" s="32"/>
    </row>
    <row r="675">
      <c r="A675" s="13"/>
      <c r="B675" s="32"/>
      <c r="C675" s="32"/>
      <c r="D675" s="32"/>
      <c r="E675" s="32"/>
    </row>
    <row r="676">
      <c r="A676" s="13"/>
      <c r="B676" s="32"/>
      <c r="C676" s="32"/>
      <c r="D676" s="32"/>
      <c r="E676" s="32"/>
    </row>
    <row r="677">
      <c r="A677" s="13"/>
      <c r="B677" s="32"/>
      <c r="C677" s="32"/>
      <c r="D677" s="32"/>
      <c r="E677" s="32"/>
    </row>
    <row r="678">
      <c r="A678" s="13"/>
      <c r="B678" s="32"/>
      <c r="C678" s="32"/>
      <c r="D678" s="32"/>
      <c r="E678" s="32"/>
    </row>
    <row r="679">
      <c r="A679" s="13"/>
      <c r="B679" s="32"/>
      <c r="C679" s="32"/>
      <c r="D679" s="32"/>
      <c r="E679" s="32"/>
    </row>
    <row r="680">
      <c r="A680" s="13"/>
      <c r="B680" s="32"/>
      <c r="C680" s="32"/>
      <c r="D680" s="32"/>
      <c r="E680" s="32"/>
    </row>
    <row r="681">
      <c r="A681" s="13"/>
      <c r="B681" s="32"/>
      <c r="C681" s="32"/>
      <c r="D681" s="32"/>
      <c r="E681" s="32"/>
    </row>
    <row r="682">
      <c r="A682" s="13"/>
      <c r="B682" s="32"/>
      <c r="C682" s="32"/>
      <c r="D682" s="32"/>
      <c r="E682" s="32"/>
    </row>
    <row r="683">
      <c r="A683" s="13"/>
      <c r="B683" s="32"/>
      <c r="C683" s="32"/>
      <c r="D683" s="32"/>
      <c r="E683" s="32"/>
    </row>
    <row r="684">
      <c r="A684" s="13"/>
      <c r="B684" s="32"/>
      <c r="C684" s="32"/>
      <c r="D684" s="32"/>
      <c r="E684" s="32"/>
    </row>
    <row r="685">
      <c r="A685" s="13"/>
      <c r="B685" s="32"/>
      <c r="C685" s="32"/>
      <c r="D685" s="32"/>
      <c r="E685" s="32"/>
    </row>
    <row r="686">
      <c r="A686" s="13"/>
      <c r="B686" s="32"/>
      <c r="C686" s="32"/>
      <c r="D686" s="32"/>
      <c r="E686" s="32"/>
    </row>
    <row r="687">
      <c r="A687" s="13"/>
      <c r="B687" s="32"/>
      <c r="C687" s="32"/>
      <c r="D687" s="32"/>
      <c r="E687" s="32"/>
    </row>
    <row r="688">
      <c r="A688" s="13"/>
      <c r="B688" s="32"/>
      <c r="C688" s="32"/>
      <c r="D688" s="32"/>
      <c r="E688" s="32"/>
    </row>
    <row r="689">
      <c r="A689" s="13"/>
      <c r="B689" s="32"/>
      <c r="C689" s="32"/>
      <c r="D689" s="32"/>
      <c r="E689" s="32"/>
    </row>
    <row r="690">
      <c r="A690" s="13"/>
      <c r="B690" s="32"/>
      <c r="C690" s="32"/>
      <c r="D690" s="32"/>
      <c r="E690" s="32"/>
    </row>
    <row r="691">
      <c r="A691" s="13"/>
      <c r="B691" s="32"/>
      <c r="C691" s="32"/>
      <c r="D691" s="32"/>
      <c r="E691" s="32"/>
    </row>
    <row r="692">
      <c r="A692" s="13"/>
      <c r="B692" s="32"/>
      <c r="C692" s="32"/>
      <c r="D692" s="32"/>
      <c r="E692" s="32"/>
    </row>
    <row r="693">
      <c r="A693" s="13"/>
      <c r="B693" s="32"/>
      <c r="C693" s="32"/>
      <c r="D693" s="32"/>
      <c r="E693" s="32"/>
    </row>
    <row r="694">
      <c r="A694" s="13"/>
      <c r="B694" s="32"/>
      <c r="C694" s="32"/>
      <c r="D694" s="32"/>
      <c r="E694" s="32"/>
    </row>
    <row r="695">
      <c r="A695" s="13"/>
      <c r="B695" s="32"/>
      <c r="C695" s="32"/>
      <c r="D695" s="32"/>
      <c r="E695" s="32"/>
    </row>
    <row r="696">
      <c r="A696" s="13"/>
      <c r="B696" s="32"/>
      <c r="C696" s="32"/>
      <c r="D696" s="32"/>
      <c r="E696" s="32"/>
    </row>
    <row r="697">
      <c r="A697" s="13"/>
      <c r="B697" s="32"/>
      <c r="C697" s="32"/>
      <c r="D697" s="32"/>
      <c r="E697" s="32"/>
    </row>
    <row r="698">
      <c r="A698" s="13"/>
      <c r="B698" s="32"/>
      <c r="C698" s="32"/>
      <c r="D698" s="32"/>
      <c r="E698" s="32"/>
    </row>
    <row r="699">
      <c r="A699" s="13"/>
      <c r="B699" s="32"/>
      <c r="C699" s="32"/>
      <c r="D699" s="32"/>
      <c r="E699" s="32"/>
    </row>
    <row r="700">
      <c r="A700" s="13"/>
      <c r="B700" s="32"/>
      <c r="C700" s="32"/>
      <c r="D700" s="32"/>
      <c r="E700" s="32"/>
    </row>
    <row r="701">
      <c r="A701" s="13"/>
      <c r="B701" s="32"/>
      <c r="C701" s="32"/>
      <c r="D701" s="32"/>
      <c r="E701" s="32"/>
    </row>
    <row r="702">
      <c r="A702" s="13"/>
      <c r="B702" s="32"/>
      <c r="C702" s="32"/>
      <c r="D702" s="32"/>
      <c r="E702" s="32"/>
    </row>
    <row r="703">
      <c r="A703" s="13"/>
      <c r="B703" s="32"/>
      <c r="C703" s="32"/>
      <c r="D703" s="32"/>
      <c r="E703" s="32"/>
    </row>
    <row r="704">
      <c r="A704" s="13"/>
      <c r="B704" s="32"/>
      <c r="C704" s="32"/>
      <c r="D704" s="32"/>
      <c r="E704" s="32"/>
    </row>
    <row r="705">
      <c r="A705" s="13"/>
      <c r="B705" s="32"/>
      <c r="C705" s="32"/>
      <c r="D705" s="32"/>
      <c r="E705" s="32"/>
    </row>
    <row r="706">
      <c r="A706" s="13"/>
      <c r="B706" s="32"/>
      <c r="C706" s="32"/>
      <c r="D706" s="32"/>
      <c r="E706" s="32"/>
    </row>
    <row r="707">
      <c r="A707" s="13"/>
      <c r="B707" s="32"/>
      <c r="C707" s="32"/>
      <c r="D707" s="32"/>
      <c r="E707" s="32"/>
    </row>
    <row r="708">
      <c r="A708" s="13"/>
      <c r="B708" s="32"/>
      <c r="C708" s="32"/>
      <c r="D708" s="32"/>
      <c r="E708" s="32"/>
    </row>
    <row r="709">
      <c r="A709" s="13"/>
      <c r="B709" s="32"/>
      <c r="C709" s="32"/>
      <c r="D709" s="32"/>
      <c r="E709" s="32"/>
    </row>
    <row r="710">
      <c r="A710" s="13"/>
      <c r="B710" s="32"/>
      <c r="C710" s="32"/>
      <c r="D710" s="32"/>
      <c r="E710" s="32"/>
    </row>
    <row r="711">
      <c r="A711" s="13"/>
      <c r="B711" s="32"/>
      <c r="C711" s="32"/>
      <c r="D711" s="32"/>
      <c r="E711" s="32"/>
    </row>
    <row r="712">
      <c r="A712" s="13"/>
      <c r="B712" s="32"/>
      <c r="C712" s="32"/>
      <c r="D712" s="32"/>
      <c r="E712" s="32"/>
    </row>
    <row r="713">
      <c r="A713" s="13"/>
      <c r="B713" s="32"/>
      <c r="C713" s="32"/>
      <c r="D713" s="32"/>
      <c r="E713" s="32"/>
    </row>
    <row r="714">
      <c r="A714" s="13"/>
      <c r="B714" s="32"/>
      <c r="C714" s="32"/>
      <c r="D714" s="32"/>
      <c r="E714" s="32"/>
    </row>
    <row r="715">
      <c r="A715" s="13"/>
      <c r="B715" s="32"/>
      <c r="C715" s="32"/>
      <c r="D715" s="32"/>
      <c r="E715" s="32"/>
    </row>
    <row r="716">
      <c r="A716" s="13"/>
      <c r="B716" s="32"/>
      <c r="C716" s="32"/>
      <c r="D716" s="32"/>
      <c r="E716" s="32"/>
    </row>
    <row r="717">
      <c r="A717" s="13"/>
      <c r="B717" s="32"/>
      <c r="C717" s="32"/>
      <c r="D717" s="32"/>
      <c r="E717" s="32"/>
    </row>
    <row r="718">
      <c r="A718" s="13"/>
      <c r="B718" s="32"/>
      <c r="C718" s="32"/>
      <c r="D718" s="32"/>
      <c r="E718" s="32"/>
    </row>
    <row r="719">
      <c r="A719" s="13"/>
      <c r="B719" s="32"/>
      <c r="C719" s="32"/>
      <c r="D719" s="32"/>
      <c r="E719" s="32"/>
    </row>
    <row r="720">
      <c r="A720" s="13"/>
      <c r="B720" s="32"/>
      <c r="C720" s="32"/>
      <c r="D720" s="32"/>
      <c r="E720" s="32"/>
    </row>
    <row r="721">
      <c r="A721" s="13"/>
      <c r="B721" s="32"/>
      <c r="C721" s="32"/>
      <c r="D721" s="32"/>
      <c r="E721" s="32"/>
    </row>
    <row r="722">
      <c r="A722" s="13"/>
      <c r="B722" s="32"/>
      <c r="C722" s="32"/>
      <c r="D722" s="32"/>
      <c r="E722" s="32"/>
    </row>
    <row r="723">
      <c r="A723" s="13"/>
      <c r="B723" s="32"/>
      <c r="C723" s="32"/>
      <c r="D723" s="32"/>
      <c r="E723" s="32"/>
    </row>
    <row r="724">
      <c r="A724" s="13"/>
      <c r="B724" s="32"/>
      <c r="C724" s="32"/>
      <c r="D724" s="32"/>
      <c r="E724" s="32"/>
    </row>
    <row r="725">
      <c r="A725" s="13"/>
      <c r="B725" s="32"/>
      <c r="C725" s="32"/>
      <c r="D725" s="32"/>
      <c r="E725" s="32"/>
    </row>
    <row r="726">
      <c r="A726" s="13"/>
      <c r="B726" s="32"/>
      <c r="C726" s="32"/>
      <c r="D726" s="32"/>
      <c r="E726" s="32"/>
    </row>
    <row r="727">
      <c r="A727" s="13"/>
      <c r="B727" s="32"/>
      <c r="C727" s="32"/>
      <c r="D727" s="32"/>
      <c r="E727" s="32"/>
    </row>
    <row r="728">
      <c r="A728" s="13"/>
      <c r="B728" s="32"/>
      <c r="C728" s="32"/>
      <c r="D728" s="32"/>
      <c r="E728" s="32"/>
    </row>
    <row r="729">
      <c r="A729" s="13"/>
      <c r="B729" s="32"/>
      <c r="C729" s="32"/>
      <c r="D729" s="32"/>
      <c r="E729" s="32"/>
    </row>
    <row r="730">
      <c r="A730" s="13"/>
      <c r="B730" s="32"/>
      <c r="C730" s="32"/>
      <c r="D730" s="32"/>
      <c r="E730" s="32"/>
    </row>
    <row r="731">
      <c r="A731" s="13"/>
      <c r="B731" s="32"/>
      <c r="C731" s="32"/>
      <c r="D731" s="32"/>
      <c r="E731" s="32"/>
    </row>
    <row r="732">
      <c r="A732" s="13"/>
      <c r="B732" s="32"/>
      <c r="C732" s="32"/>
      <c r="D732" s="32"/>
      <c r="E732" s="32"/>
    </row>
    <row r="733">
      <c r="A733" s="13"/>
      <c r="B733" s="32"/>
      <c r="C733" s="32"/>
      <c r="D733" s="32"/>
      <c r="E733" s="32"/>
    </row>
    <row r="734">
      <c r="A734" s="13"/>
      <c r="B734" s="32"/>
      <c r="C734" s="32"/>
      <c r="D734" s="32"/>
      <c r="E734" s="32"/>
    </row>
    <row r="735">
      <c r="A735" s="13"/>
      <c r="B735" s="32"/>
      <c r="C735" s="32"/>
      <c r="D735" s="32"/>
      <c r="E735" s="32"/>
    </row>
    <row r="736">
      <c r="A736" s="13"/>
      <c r="B736" s="32"/>
      <c r="C736" s="32"/>
      <c r="D736" s="32"/>
      <c r="E736" s="32"/>
    </row>
    <row r="737">
      <c r="A737" s="13"/>
      <c r="B737" s="32"/>
      <c r="C737" s="32"/>
      <c r="D737" s="32"/>
      <c r="E737" s="32"/>
    </row>
    <row r="738">
      <c r="A738" s="13"/>
      <c r="B738" s="32"/>
      <c r="C738" s="32"/>
      <c r="D738" s="32"/>
      <c r="E738" s="32"/>
    </row>
    <row r="739">
      <c r="A739" s="13"/>
      <c r="B739" s="32"/>
      <c r="C739" s="32"/>
      <c r="D739" s="32"/>
      <c r="E739" s="32"/>
    </row>
    <row r="740">
      <c r="A740" s="13"/>
      <c r="B740" s="32"/>
      <c r="C740" s="32"/>
      <c r="D740" s="32"/>
      <c r="E740" s="32"/>
    </row>
    <row r="741">
      <c r="A741" s="13"/>
      <c r="B741" s="32"/>
      <c r="C741" s="32"/>
      <c r="D741" s="32"/>
      <c r="E741" s="32"/>
    </row>
    <row r="742">
      <c r="A742" s="13"/>
      <c r="B742" s="32"/>
      <c r="C742" s="32"/>
      <c r="D742" s="32"/>
      <c r="E742" s="32"/>
    </row>
    <row r="743">
      <c r="A743" s="13"/>
      <c r="B743" s="32"/>
      <c r="C743" s="32"/>
      <c r="D743" s="32"/>
      <c r="E743" s="32"/>
    </row>
    <row r="744">
      <c r="A744" s="13"/>
      <c r="B744" s="32"/>
      <c r="C744" s="32"/>
      <c r="D744" s="32"/>
      <c r="E744" s="32"/>
    </row>
    <row r="745">
      <c r="A745" s="13"/>
      <c r="B745" s="32"/>
      <c r="C745" s="32"/>
      <c r="D745" s="32"/>
      <c r="E745" s="32"/>
    </row>
    <row r="746">
      <c r="A746" s="13"/>
      <c r="B746" s="32"/>
      <c r="C746" s="32"/>
      <c r="D746" s="32"/>
      <c r="E746" s="32"/>
    </row>
    <row r="747">
      <c r="A747" s="13"/>
      <c r="B747" s="32"/>
      <c r="C747" s="32"/>
      <c r="D747" s="32"/>
      <c r="E747" s="32"/>
    </row>
    <row r="748">
      <c r="A748" s="13"/>
      <c r="B748" s="32"/>
      <c r="C748" s="32"/>
      <c r="D748" s="32"/>
      <c r="E748" s="32"/>
    </row>
    <row r="749">
      <c r="A749" s="13"/>
      <c r="B749" s="32"/>
      <c r="C749" s="32"/>
      <c r="D749" s="32"/>
      <c r="E749" s="32"/>
    </row>
    <row r="750">
      <c r="A750" s="13"/>
      <c r="B750" s="32"/>
      <c r="C750" s="32"/>
      <c r="D750" s="32"/>
      <c r="E750" s="32"/>
    </row>
    <row r="751">
      <c r="A751" s="13"/>
      <c r="B751" s="32"/>
      <c r="C751" s="32"/>
      <c r="D751" s="32"/>
      <c r="E751" s="32"/>
    </row>
    <row r="752">
      <c r="A752" s="13"/>
      <c r="B752" s="32"/>
      <c r="C752" s="32"/>
      <c r="D752" s="32"/>
      <c r="E752" s="32"/>
    </row>
    <row r="753">
      <c r="A753" s="13"/>
      <c r="B753" s="32"/>
      <c r="C753" s="32"/>
      <c r="D753" s="32"/>
      <c r="E753" s="32"/>
    </row>
    <row r="754">
      <c r="A754" s="13"/>
      <c r="B754" s="32"/>
      <c r="C754" s="32"/>
      <c r="D754" s="32"/>
      <c r="E754" s="32"/>
    </row>
    <row r="755">
      <c r="A755" s="13"/>
      <c r="B755" s="32"/>
      <c r="C755" s="32"/>
      <c r="D755" s="32"/>
      <c r="E755" s="32"/>
    </row>
    <row r="756">
      <c r="A756" s="13"/>
      <c r="B756" s="32"/>
      <c r="C756" s="32"/>
      <c r="D756" s="32"/>
      <c r="E756" s="32"/>
    </row>
    <row r="757">
      <c r="A757" s="13"/>
      <c r="B757" s="32"/>
      <c r="C757" s="32"/>
      <c r="D757" s="32"/>
      <c r="E757" s="32"/>
    </row>
    <row r="758">
      <c r="A758" s="13"/>
      <c r="B758" s="32"/>
      <c r="C758" s="32"/>
      <c r="D758" s="32"/>
      <c r="E758" s="32"/>
    </row>
    <row r="759">
      <c r="A759" s="13"/>
      <c r="B759" s="32"/>
      <c r="C759" s="32"/>
      <c r="D759" s="32"/>
      <c r="E759" s="32"/>
    </row>
    <row r="760">
      <c r="A760" s="13"/>
      <c r="B760" s="32"/>
      <c r="C760" s="32"/>
      <c r="D760" s="32"/>
      <c r="E760" s="32"/>
    </row>
    <row r="761">
      <c r="A761" s="13"/>
      <c r="B761" s="32"/>
      <c r="C761" s="32"/>
      <c r="D761" s="32"/>
      <c r="E761" s="32"/>
    </row>
    <row r="762">
      <c r="A762" s="13"/>
      <c r="B762" s="32"/>
      <c r="C762" s="32"/>
      <c r="D762" s="32"/>
      <c r="E762" s="32"/>
    </row>
    <row r="763">
      <c r="A763" s="13"/>
      <c r="B763" s="32"/>
      <c r="C763" s="32"/>
      <c r="D763" s="32"/>
      <c r="E763" s="32"/>
    </row>
    <row r="764">
      <c r="A764" s="13"/>
      <c r="B764" s="32"/>
      <c r="C764" s="32"/>
      <c r="D764" s="32"/>
      <c r="E764" s="32"/>
    </row>
    <row r="765">
      <c r="A765" s="13"/>
      <c r="B765" s="32"/>
      <c r="C765" s="32"/>
      <c r="D765" s="32"/>
      <c r="E765" s="32"/>
    </row>
    <row r="766">
      <c r="A766" s="13"/>
      <c r="B766" s="32"/>
      <c r="C766" s="32"/>
      <c r="D766" s="32"/>
      <c r="E766" s="32"/>
    </row>
    <row r="767">
      <c r="A767" s="13"/>
      <c r="B767" s="32"/>
      <c r="C767" s="32"/>
      <c r="D767" s="32"/>
      <c r="E767" s="32"/>
    </row>
    <row r="768">
      <c r="A768" s="13"/>
      <c r="B768" s="32"/>
      <c r="C768" s="32"/>
      <c r="D768" s="32"/>
      <c r="E768" s="32"/>
    </row>
    <row r="769">
      <c r="A769" s="13"/>
      <c r="B769" s="32"/>
      <c r="C769" s="32"/>
      <c r="D769" s="32"/>
      <c r="E769" s="32"/>
    </row>
    <row r="770">
      <c r="A770" s="13"/>
      <c r="B770" s="32"/>
      <c r="C770" s="32"/>
      <c r="D770" s="32"/>
      <c r="E770" s="32"/>
    </row>
    <row r="771">
      <c r="A771" s="13"/>
      <c r="B771" s="32"/>
      <c r="C771" s="32"/>
      <c r="D771" s="32"/>
      <c r="E771" s="32"/>
    </row>
    <row r="772">
      <c r="A772" s="13"/>
      <c r="B772" s="32"/>
      <c r="C772" s="32"/>
      <c r="D772" s="32"/>
      <c r="E772" s="32"/>
    </row>
    <row r="773">
      <c r="A773" s="13"/>
      <c r="B773" s="32"/>
      <c r="C773" s="32"/>
      <c r="D773" s="32"/>
      <c r="E773" s="32"/>
    </row>
    <row r="774">
      <c r="A774" s="13"/>
      <c r="B774" s="32"/>
      <c r="C774" s="32"/>
      <c r="D774" s="32"/>
      <c r="E774" s="32"/>
    </row>
    <row r="775">
      <c r="A775" s="13"/>
      <c r="B775" s="32"/>
      <c r="C775" s="32"/>
      <c r="D775" s="32"/>
      <c r="E775" s="32"/>
    </row>
    <row r="776">
      <c r="A776" s="13"/>
      <c r="B776" s="32"/>
      <c r="C776" s="32"/>
      <c r="D776" s="32"/>
      <c r="E776" s="32"/>
    </row>
    <row r="777">
      <c r="A777" s="13"/>
      <c r="B777" s="32"/>
      <c r="C777" s="32"/>
      <c r="D777" s="32"/>
      <c r="E777" s="32"/>
    </row>
    <row r="778">
      <c r="A778" s="13"/>
      <c r="B778" s="32"/>
      <c r="C778" s="32"/>
      <c r="D778" s="32"/>
      <c r="E778" s="32"/>
    </row>
    <row r="779">
      <c r="A779" s="13"/>
      <c r="B779" s="32"/>
      <c r="C779" s="32"/>
      <c r="D779" s="32"/>
      <c r="E779" s="32"/>
    </row>
    <row r="780">
      <c r="A780" s="13"/>
      <c r="B780" s="32"/>
      <c r="C780" s="32"/>
      <c r="D780" s="32"/>
      <c r="E780" s="32"/>
    </row>
    <row r="781">
      <c r="A781" s="13"/>
      <c r="B781" s="32"/>
      <c r="C781" s="32"/>
      <c r="D781" s="32"/>
      <c r="E781" s="32"/>
    </row>
    <row r="782">
      <c r="A782" s="13"/>
      <c r="B782" s="32"/>
      <c r="C782" s="32"/>
      <c r="D782" s="32"/>
      <c r="E782" s="32"/>
    </row>
    <row r="783">
      <c r="A783" s="13"/>
      <c r="B783" s="32"/>
      <c r="C783" s="32"/>
      <c r="D783" s="32"/>
      <c r="E783" s="32"/>
    </row>
    <row r="784">
      <c r="A784" s="13"/>
      <c r="B784" s="32"/>
      <c r="C784" s="32"/>
      <c r="D784" s="32"/>
      <c r="E784" s="32"/>
    </row>
    <row r="785">
      <c r="A785" s="13"/>
      <c r="B785" s="32"/>
      <c r="C785" s="32"/>
      <c r="D785" s="32"/>
      <c r="E785" s="32"/>
    </row>
    <row r="786">
      <c r="A786" s="13"/>
      <c r="B786" s="32"/>
      <c r="C786" s="32"/>
      <c r="D786" s="32"/>
      <c r="E786" s="32"/>
    </row>
    <row r="787">
      <c r="A787" s="13"/>
      <c r="B787" s="32"/>
      <c r="C787" s="32"/>
      <c r="D787" s="32"/>
      <c r="E787" s="32"/>
    </row>
    <row r="788">
      <c r="A788" s="13"/>
      <c r="B788" s="32"/>
      <c r="C788" s="32"/>
      <c r="D788" s="32"/>
      <c r="E788" s="32"/>
    </row>
    <row r="789">
      <c r="A789" s="13"/>
      <c r="B789" s="32"/>
      <c r="C789" s="32"/>
      <c r="D789" s="32"/>
      <c r="E789" s="32"/>
    </row>
    <row r="790">
      <c r="A790" s="13"/>
      <c r="B790" s="32"/>
      <c r="C790" s="32"/>
      <c r="D790" s="32"/>
      <c r="E790" s="32"/>
    </row>
    <row r="791">
      <c r="A791" s="13"/>
      <c r="B791" s="32"/>
      <c r="C791" s="32"/>
      <c r="D791" s="32"/>
      <c r="E791" s="32"/>
    </row>
    <row r="792">
      <c r="A792" s="13"/>
      <c r="B792" s="32"/>
      <c r="C792" s="32"/>
      <c r="D792" s="32"/>
      <c r="E792" s="32"/>
    </row>
    <row r="793">
      <c r="A793" s="13"/>
      <c r="B793" s="32"/>
      <c r="C793" s="32"/>
      <c r="D793" s="32"/>
      <c r="E793" s="32"/>
    </row>
    <row r="794">
      <c r="A794" s="13"/>
      <c r="B794" s="32"/>
      <c r="C794" s="32"/>
      <c r="D794" s="32"/>
      <c r="E794" s="32"/>
    </row>
    <row r="795">
      <c r="A795" s="13"/>
      <c r="B795" s="32"/>
      <c r="C795" s="32"/>
      <c r="D795" s="32"/>
      <c r="E795" s="32"/>
    </row>
    <row r="796">
      <c r="A796" s="13"/>
      <c r="B796" s="32"/>
      <c r="C796" s="32"/>
      <c r="D796" s="32"/>
      <c r="E796" s="32"/>
    </row>
    <row r="797">
      <c r="A797" s="13"/>
      <c r="B797" s="32"/>
      <c r="C797" s="32"/>
      <c r="D797" s="32"/>
      <c r="E797" s="32"/>
    </row>
    <row r="798">
      <c r="A798" s="13"/>
      <c r="B798" s="32"/>
      <c r="C798" s="32"/>
      <c r="D798" s="32"/>
      <c r="E798" s="32"/>
    </row>
    <row r="799">
      <c r="A799" s="13"/>
      <c r="B799" s="32"/>
      <c r="C799" s="32"/>
      <c r="D799" s="32"/>
      <c r="E799" s="32"/>
    </row>
    <row r="800">
      <c r="A800" s="13"/>
      <c r="B800" s="32"/>
      <c r="C800" s="32"/>
      <c r="D800" s="32"/>
      <c r="E800" s="32"/>
    </row>
    <row r="801">
      <c r="A801" s="13"/>
      <c r="B801" s="32"/>
      <c r="C801" s="32"/>
      <c r="D801" s="32"/>
      <c r="E801" s="32"/>
    </row>
    <row r="802">
      <c r="A802" s="13"/>
      <c r="B802" s="32"/>
      <c r="C802" s="32"/>
      <c r="D802" s="32"/>
      <c r="E802" s="32"/>
    </row>
    <row r="803">
      <c r="A803" s="13"/>
      <c r="B803" s="32"/>
      <c r="C803" s="32"/>
      <c r="D803" s="32"/>
      <c r="E803" s="32"/>
    </row>
    <row r="804">
      <c r="A804" s="13"/>
      <c r="B804" s="32"/>
      <c r="C804" s="32"/>
      <c r="D804" s="32"/>
      <c r="E804" s="32"/>
    </row>
    <row r="805">
      <c r="A805" s="13"/>
      <c r="B805" s="32"/>
      <c r="C805" s="32"/>
      <c r="D805" s="32"/>
      <c r="E805" s="32"/>
    </row>
    <row r="806">
      <c r="A806" s="13"/>
      <c r="B806" s="32"/>
      <c r="C806" s="32"/>
      <c r="D806" s="32"/>
      <c r="E806" s="32"/>
    </row>
    <row r="807">
      <c r="A807" s="13"/>
      <c r="B807" s="32"/>
      <c r="C807" s="32"/>
      <c r="D807" s="32"/>
      <c r="E807" s="32"/>
    </row>
    <row r="808">
      <c r="A808" s="13"/>
      <c r="B808" s="32"/>
      <c r="C808" s="32"/>
      <c r="D808" s="32"/>
      <c r="E808" s="32"/>
    </row>
    <row r="809">
      <c r="A809" s="13"/>
      <c r="B809" s="32"/>
      <c r="C809" s="32"/>
      <c r="D809" s="32"/>
      <c r="E809" s="32"/>
    </row>
    <row r="810">
      <c r="A810" s="13"/>
      <c r="B810" s="32"/>
      <c r="C810" s="32"/>
      <c r="D810" s="32"/>
      <c r="E810" s="32"/>
    </row>
    <row r="811">
      <c r="A811" s="13"/>
      <c r="B811" s="32"/>
      <c r="C811" s="32"/>
      <c r="D811" s="32"/>
      <c r="E811" s="32"/>
    </row>
    <row r="812">
      <c r="A812" s="13"/>
      <c r="B812" s="32"/>
      <c r="C812" s="32"/>
      <c r="D812" s="32"/>
      <c r="E812" s="32"/>
    </row>
    <row r="813">
      <c r="A813" s="13"/>
      <c r="B813" s="32"/>
      <c r="C813" s="32"/>
      <c r="D813" s="32"/>
      <c r="E813" s="32"/>
    </row>
    <row r="814">
      <c r="A814" s="13"/>
      <c r="B814" s="32"/>
      <c r="C814" s="32"/>
      <c r="D814" s="32"/>
      <c r="E814" s="32"/>
    </row>
    <row r="815">
      <c r="A815" s="13"/>
      <c r="B815" s="32"/>
      <c r="C815" s="32"/>
      <c r="D815" s="32"/>
      <c r="E815" s="32"/>
    </row>
    <row r="816">
      <c r="A816" s="13"/>
      <c r="B816" s="32"/>
      <c r="C816" s="32"/>
      <c r="D816" s="32"/>
      <c r="E816" s="32"/>
    </row>
    <row r="817">
      <c r="A817" s="13"/>
      <c r="B817" s="32"/>
      <c r="C817" s="32"/>
      <c r="D817" s="32"/>
      <c r="E817" s="32"/>
    </row>
    <row r="818">
      <c r="A818" s="13"/>
      <c r="B818" s="32"/>
      <c r="C818" s="32"/>
      <c r="D818" s="32"/>
      <c r="E818" s="32"/>
    </row>
    <row r="819">
      <c r="A819" s="13"/>
      <c r="B819" s="32"/>
      <c r="C819" s="32"/>
      <c r="D819" s="32"/>
      <c r="E819" s="32"/>
    </row>
    <row r="820">
      <c r="A820" s="13"/>
      <c r="B820" s="32"/>
      <c r="C820" s="32"/>
      <c r="D820" s="32"/>
      <c r="E820" s="32"/>
    </row>
    <row r="821">
      <c r="A821" s="13"/>
      <c r="B821" s="32"/>
      <c r="C821" s="32"/>
      <c r="D821" s="32"/>
      <c r="E821" s="32"/>
    </row>
    <row r="822">
      <c r="A822" s="13"/>
      <c r="B822" s="32"/>
      <c r="C822" s="32"/>
      <c r="D822" s="32"/>
      <c r="E822" s="32"/>
    </row>
    <row r="823">
      <c r="A823" s="13"/>
      <c r="B823" s="32"/>
      <c r="C823" s="32"/>
      <c r="D823" s="32"/>
      <c r="E823" s="32"/>
    </row>
    <row r="824">
      <c r="A824" s="13"/>
      <c r="B824" s="32"/>
      <c r="C824" s="32"/>
      <c r="D824" s="32"/>
      <c r="E824" s="32"/>
    </row>
    <row r="825">
      <c r="A825" s="13"/>
      <c r="B825" s="32"/>
      <c r="C825" s="32"/>
      <c r="D825" s="32"/>
      <c r="E825" s="32"/>
    </row>
    <row r="826">
      <c r="A826" s="13"/>
      <c r="B826" s="32"/>
      <c r="C826" s="32"/>
      <c r="D826" s="32"/>
      <c r="E826" s="32"/>
    </row>
    <row r="827">
      <c r="A827" s="13"/>
      <c r="B827" s="32"/>
      <c r="C827" s="32"/>
      <c r="D827" s="32"/>
      <c r="E827" s="32"/>
    </row>
    <row r="828">
      <c r="A828" s="13"/>
      <c r="B828" s="32"/>
      <c r="C828" s="32"/>
      <c r="D828" s="32"/>
      <c r="E828" s="32"/>
    </row>
    <row r="829">
      <c r="A829" s="13"/>
      <c r="B829" s="32"/>
      <c r="C829" s="32"/>
      <c r="D829" s="32"/>
      <c r="E829" s="32"/>
    </row>
    <row r="830">
      <c r="A830" s="13"/>
      <c r="B830" s="32"/>
      <c r="C830" s="32"/>
      <c r="D830" s="32"/>
      <c r="E830" s="32"/>
    </row>
    <row r="831">
      <c r="A831" s="13"/>
      <c r="B831" s="32"/>
      <c r="C831" s="32"/>
      <c r="D831" s="32"/>
      <c r="E831" s="32"/>
    </row>
    <row r="832">
      <c r="A832" s="13"/>
      <c r="B832" s="32"/>
      <c r="C832" s="32"/>
      <c r="D832" s="32"/>
      <c r="E832" s="32"/>
    </row>
    <row r="833">
      <c r="A833" s="13"/>
      <c r="B833" s="32"/>
      <c r="C833" s="32"/>
      <c r="D833" s="32"/>
      <c r="E833" s="32"/>
    </row>
    <row r="834">
      <c r="A834" s="13"/>
      <c r="B834" s="32"/>
      <c r="C834" s="32"/>
      <c r="D834" s="32"/>
      <c r="E834" s="32"/>
    </row>
    <row r="835">
      <c r="A835" s="13"/>
      <c r="B835" s="32"/>
      <c r="C835" s="32"/>
      <c r="D835" s="32"/>
      <c r="E835" s="32"/>
    </row>
    <row r="836">
      <c r="A836" s="13"/>
      <c r="B836" s="32"/>
      <c r="C836" s="32"/>
      <c r="D836" s="32"/>
      <c r="E836" s="32"/>
    </row>
    <row r="837">
      <c r="A837" s="13"/>
      <c r="B837" s="32"/>
      <c r="C837" s="32"/>
      <c r="D837" s="32"/>
      <c r="E837" s="32"/>
    </row>
    <row r="838">
      <c r="A838" s="13"/>
      <c r="B838" s="32"/>
      <c r="C838" s="32"/>
      <c r="D838" s="32"/>
      <c r="E838" s="32"/>
    </row>
    <row r="839">
      <c r="A839" s="13"/>
      <c r="B839" s="32"/>
      <c r="C839" s="32"/>
      <c r="D839" s="32"/>
      <c r="E839" s="32"/>
    </row>
    <row r="840">
      <c r="A840" s="13"/>
      <c r="B840" s="32"/>
      <c r="C840" s="32"/>
      <c r="D840" s="32"/>
      <c r="E840" s="32"/>
    </row>
    <row r="841">
      <c r="A841" s="13"/>
      <c r="B841" s="32"/>
      <c r="C841" s="32"/>
      <c r="D841" s="32"/>
      <c r="E841" s="32"/>
    </row>
    <row r="842">
      <c r="A842" s="13"/>
      <c r="B842" s="32"/>
      <c r="C842" s="32"/>
      <c r="D842" s="32"/>
      <c r="E842" s="32"/>
    </row>
    <row r="843">
      <c r="A843" s="13"/>
      <c r="B843" s="32"/>
      <c r="C843" s="32"/>
      <c r="D843" s="32"/>
      <c r="E843" s="32"/>
    </row>
    <row r="844">
      <c r="A844" s="13"/>
      <c r="B844" s="32"/>
      <c r="C844" s="32"/>
      <c r="D844" s="32"/>
      <c r="E844" s="32"/>
    </row>
    <row r="845">
      <c r="A845" s="13"/>
      <c r="B845" s="32"/>
      <c r="C845" s="32"/>
      <c r="D845" s="32"/>
      <c r="E845" s="32"/>
    </row>
    <row r="846">
      <c r="A846" s="13"/>
      <c r="B846" s="32"/>
      <c r="C846" s="32"/>
      <c r="D846" s="32"/>
      <c r="E846" s="32"/>
    </row>
    <row r="847">
      <c r="A847" s="13"/>
      <c r="B847" s="32"/>
      <c r="C847" s="32"/>
      <c r="D847" s="32"/>
      <c r="E847" s="32"/>
    </row>
    <row r="848">
      <c r="A848" s="13"/>
      <c r="B848" s="32"/>
      <c r="C848" s="32"/>
      <c r="D848" s="32"/>
      <c r="E848" s="32"/>
    </row>
    <row r="849">
      <c r="A849" s="13"/>
      <c r="B849" s="32"/>
      <c r="C849" s="32"/>
      <c r="D849" s="32"/>
      <c r="E849" s="32"/>
    </row>
    <row r="850">
      <c r="A850" s="13"/>
      <c r="B850" s="32"/>
      <c r="C850" s="32"/>
      <c r="D850" s="32"/>
      <c r="E850" s="32"/>
    </row>
    <row r="851">
      <c r="A851" s="13"/>
      <c r="B851" s="32"/>
      <c r="C851" s="32"/>
      <c r="D851" s="32"/>
      <c r="E851" s="32"/>
    </row>
    <row r="852">
      <c r="A852" s="13"/>
      <c r="B852" s="32"/>
      <c r="C852" s="32"/>
      <c r="D852" s="32"/>
      <c r="E852" s="32"/>
    </row>
    <row r="853">
      <c r="A853" s="13"/>
      <c r="B853" s="32"/>
      <c r="C853" s="32"/>
      <c r="D853" s="32"/>
      <c r="E853" s="32"/>
    </row>
    <row r="854">
      <c r="A854" s="13"/>
      <c r="B854" s="32"/>
      <c r="C854" s="32"/>
      <c r="D854" s="32"/>
      <c r="E854" s="32"/>
    </row>
    <row r="855">
      <c r="A855" s="13"/>
      <c r="B855" s="32"/>
      <c r="C855" s="32"/>
      <c r="D855" s="32"/>
      <c r="E855" s="32"/>
    </row>
    <row r="856">
      <c r="A856" s="13"/>
      <c r="B856" s="32"/>
      <c r="C856" s="32"/>
      <c r="D856" s="32"/>
      <c r="E856" s="32"/>
    </row>
    <row r="857">
      <c r="A857" s="13"/>
      <c r="B857" s="32"/>
      <c r="C857" s="32"/>
      <c r="D857" s="32"/>
      <c r="E857" s="32"/>
    </row>
    <row r="858">
      <c r="A858" s="13"/>
      <c r="B858" s="32"/>
      <c r="C858" s="32"/>
      <c r="D858" s="32"/>
      <c r="E858" s="32"/>
    </row>
    <row r="859">
      <c r="A859" s="13"/>
      <c r="B859" s="32"/>
      <c r="C859" s="32"/>
      <c r="D859" s="32"/>
      <c r="E859" s="32"/>
    </row>
    <row r="860">
      <c r="A860" s="13"/>
      <c r="B860" s="32"/>
      <c r="C860" s="32"/>
      <c r="D860" s="32"/>
      <c r="E860" s="32"/>
    </row>
    <row r="861">
      <c r="A861" s="13"/>
      <c r="B861" s="32"/>
      <c r="C861" s="32"/>
      <c r="D861" s="32"/>
      <c r="E861" s="32"/>
    </row>
    <row r="862">
      <c r="A862" s="13"/>
      <c r="B862" s="32"/>
      <c r="C862" s="32"/>
      <c r="D862" s="32"/>
      <c r="E862" s="32"/>
    </row>
    <row r="863">
      <c r="A863" s="13"/>
      <c r="B863" s="32"/>
      <c r="C863" s="32"/>
      <c r="D863" s="32"/>
      <c r="E863" s="32"/>
    </row>
    <row r="864">
      <c r="A864" s="13"/>
      <c r="B864" s="32"/>
      <c r="C864" s="32"/>
      <c r="D864" s="32"/>
      <c r="E864" s="32"/>
    </row>
    <row r="865">
      <c r="A865" s="13"/>
      <c r="B865" s="32"/>
      <c r="C865" s="32"/>
      <c r="D865" s="32"/>
      <c r="E865" s="32"/>
    </row>
    <row r="866">
      <c r="A866" s="13"/>
      <c r="B866" s="32"/>
      <c r="C866" s="32"/>
      <c r="D866" s="32"/>
      <c r="E866" s="32"/>
    </row>
    <row r="867">
      <c r="A867" s="13"/>
      <c r="B867" s="32"/>
      <c r="C867" s="32"/>
      <c r="D867" s="32"/>
      <c r="E867" s="32"/>
    </row>
    <row r="868">
      <c r="A868" s="13"/>
      <c r="B868" s="32"/>
      <c r="C868" s="32"/>
      <c r="D868" s="32"/>
      <c r="E868" s="32"/>
    </row>
    <row r="869">
      <c r="A869" s="13"/>
      <c r="B869" s="32"/>
      <c r="C869" s="32"/>
      <c r="D869" s="32"/>
      <c r="E869" s="32"/>
    </row>
    <row r="870">
      <c r="A870" s="13"/>
      <c r="B870" s="32"/>
      <c r="C870" s="32"/>
      <c r="D870" s="32"/>
      <c r="E870" s="32"/>
    </row>
    <row r="871">
      <c r="A871" s="13"/>
      <c r="B871" s="32"/>
      <c r="C871" s="32"/>
      <c r="D871" s="32"/>
      <c r="E871" s="32"/>
    </row>
    <row r="872">
      <c r="A872" s="13"/>
      <c r="B872" s="32"/>
      <c r="C872" s="32"/>
      <c r="D872" s="32"/>
      <c r="E872" s="32"/>
    </row>
    <row r="873">
      <c r="A873" s="13"/>
      <c r="B873" s="32"/>
      <c r="C873" s="32"/>
      <c r="D873" s="32"/>
      <c r="E873" s="32"/>
    </row>
    <row r="874">
      <c r="A874" s="13"/>
      <c r="B874" s="32"/>
      <c r="C874" s="32"/>
      <c r="D874" s="32"/>
      <c r="E874" s="32"/>
    </row>
    <row r="875">
      <c r="A875" s="13"/>
      <c r="B875" s="32"/>
      <c r="C875" s="32"/>
      <c r="D875" s="32"/>
      <c r="E875" s="32"/>
    </row>
    <row r="876">
      <c r="A876" s="13"/>
      <c r="B876" s="32"/>
      <c r="C876" s="32"/>
      <c r="D876" s="32"/>
      <c r="E876" s="32"/>
    </row>
    <row r="877">
      <c r="A877" s="13"/>
      <c r="B877" s="32"/>
      <c r="C877" s="32"/>
      <c r="D877" s="32"/>
      <c r="E877" s="32"/>
    </row>
    <row r="878">
      <c r="A878" s="13"/>
      <c r="B878" s="32"/>
      <c r="C878" s="32"/>
      <c r="D878" s="32"/>
      <c r="E878" s="32"/>
    </row>
    <row r="879">
      <c r="A879" s="13"/>
      <c r="B879" s="32"/>
      <c r="C879" s="32"/>
      <c r="D879" s="32"/>
      <c r="E879" s="32"/>
    </row>
    <row r="880">
      <c r="A880" s="13"/>
      <c r="B880" s="32"/>
      <c r="C880" s="32"/>
      <c r="D880" s="32"/>
      <c r="E880" s="32"/>
    </row>
    <row r="881">
      <c r="A881" s="13"/>
      <c r="B881" s="32"/>
      <c r="C881" s="32"/>
      <c r="D881" s="32"/>
      <c r="E881" s="32"/>
    </row>
    <row r="882">
      <c r="A882" s="13"/>
      <c r="B882" s="32"/>
      <c r="C882" s="32"/>
      <c r="D882" s="32"/>
      <c r="E882" s="32"/>
    </row>
    <row r="883">
      <c r="A883" s="13"/>
      <c r="B883" s="32"/>
      <c r="C883" s="32"/>
      <c r="D883" s="32"/>
      <c r="E883" s="32"/>
    </row>
    <row r="884">
      <c r="A884" s="13"/>
      <c r="B884" s="32"/>
      <c r="C884" s="32"/>
      <c r="D884" s="32"/>
      <c r="E884" s="32"/>
    </row>
    <row r="885">
      <c r="A885" s="13"/>
      <c r="B885" s="32"/>
      <c r="C885" s="32"/>
      <c r="D885" s="32"/>
      <c r="E885" s="32"/>
    </row>
    <row r="886">
      <c r="A886" s="13"/>
      <c r="B886" s="32"/>
      <c r="C886" s="32"/>
      <c r="D886" s="32"/>
      <c r="E886" s="32"/>
    </row>
    <row r="887">
      <c r="A887" s="13"/>
      <c r="B887" s="32"/>
      <c r="C887" s="32"/>
      <c r="D887" s="32"/>
      <c r="E887" s="32"/>
    </row>
    <row r="888">
      <c r="A888" s="13"/>
      <c r="B888" s="32"/>
      <c r="C888" s="32"/>
      <c r="D888" s="32"/>
      <c r="E888" s="32"/>
    </row>
    <row r="889">
      <c r="A889" s="13"/>
      <c r="B889" s="32"/>
      <c r="C889" s="32"/>
      <c r="D889" s="32"/>
      <c r="E889" s="32"/>
    </row>
    <row r="890">
      <c r="A890" s="13"/>
      <c r="B890" s="32"/>
      <c r="C890" s="32"/>
      <c r="D890" s="32"/>
      <c r="E890" s="32"/>
    </row>
    <row r="891">
      <c r="A891" s="13"/>
      <c r="B891" s="32"/>
      <c r="C891" s="32"/>
      <c r="D891" s="32"/>
      <c r="E891" s="32"/>
    </row>
    <row r="892">
      <c r="A892" s="13"/>
      <c r="B892" s="32"/>
      <c r="C892" s="32"/>
      <c r="D892" s="32"/>
      <c r="E892" s="32"/>
    </row>
    <row r="893">
      <c r="A893" s="13"/>
      <c r="B893" s="32"/>
      <c r="C893" s="32"/>
      <c r="D893" s="32"/>
      <c r="E893" s="32"/>
    </row>
    <row r="894">
      <c r="A894" s="13"/>
      <c r="B894" s="32"/>
      <c r="C894" s="32"/>
      <c r="D894" s="32"/>
      <c r="E894" s="32"/>
    </row>
    <row r="895">
      <c r="A895" s="13"/>
      <c r="B895" s="32"/>
      <c r="C895" s="32"/>
      <c r="D895" s="32"/>
      <c r="E895" s="32"/>
    </row>
    <row r="896">
      <c r="A896" s="13"/>
      <c r="B896" s="32"/>
      <c r="C896" s="32"/>
      <c r="D896" s="32"/>
      <c r="E896" s="32"/>
    </row>
    <row r="897">
      <c r="A897" s="13"/>
      <c r="B897" s="32"/>
      <c r="C897" s="32"/>
      <c r="D897" s="32"/>
      <c r="E897" s="32"/>
    </row>
    <row r="898">
      <c r="A898" s="13"/>
      <c r="B898" s="32"/>
      <c r="C898" s="32"/>
      <c r="D898" s="32"/>
      <c r="E898" s="32"/>
    </row>
    <row r="899">
      <c r="A899" s="13"/>
      <c r="B899" s="32"/>
      <c r="C899" s="32"/>
      <c r="D899" s="32"/>
      <c r="E899" s="32"/>
    </row>
    <row r="900">
      <c r="A900" s="13"/>
      <c r="B900" s="32"/>
      <c r="C900" s="32"/>
      <c r="D900" s="32"/>
      <c r="E900" s="32"/>
    </row>
    <row r="901">
      <c r="A901" s="13"/>
      <c r="B901" s="32"/>
      <c r="C901" s="32"/>
      <c r="D901" s="32"/>
      <c r="E901" s="32"/>
    </row>
    <row r="902">
      <c r="A902" s="13"/>
      <c r="B902" s="32"/>
      <c r="C902" s="32"/>
      <c r="D902" s="32"/>
      <c r="E902" s="32"/>
    </row>
    <row r="903">
      <c r="A903" s="13"/>
      <c r="B903" s="32"/>
      <c r="C903" s="32"/>
      <c r="D903" s="32"/>
      <c r="E903" s="32"/>
    </row>
    <row r="904">
      <c r="A904" s="13"/>
      <c r="B904" s="32"/>
      <c r="C904" s="32"/>
      <c r="D904" s="32"/>
      <c r="E904" s="32"/>
    </row>
    <row r="905">
      <c r="A905" s="13"/>
      <c r="B905" s="32"/>
      <c r="C905" s="32"/>
      <c r="D905" s="32"/>
      <c r="E905" s="32"/>
    </row>
    <row r="906">
      <c r="A906" s="13"/>
      <c r="B906" s="32"/>
      <c r="C906" s="32"/>
      <c r="D906" s="32"/>
      <c r="E906" s="32"/>
    </row>
    <row r="907">
      <c r="A907" s="13"/>
      <c r="B907" s="32"/>
      <c r="C907" s="32"/>
      <c r="D907" s="32"/>
      <c r="E907" s="32"/>
    </row>
    <row r="908">
      <c r="A908" s="13"/>
      <c r="B908" s="32"/>
      <c r="C908" s="32"/>
      <c r="D908" s="32"/>
      <c r="E908" s="32"/>
    </row>
    <row r="909">
      <c r="A909" s="13"/>
      <c r="B909" s="32"/>
      <c r="C909" s="32"/>
      <c r="D909" s="32"/>
      <c r="E909" s="32"/>
    </row>
    <row r="910">
      <c r="A910" s="13"/>
      <c r="B910" s="32"/>
      <c r="C910" s="32"/>
      <c r="D910" s="32"/>
      <c r="E910" s="32"/>
    </row>
    <row r="911">
      <c r="A911" s="13"/>
      <c r="B911" s="32"/>
      <c r="C911" s="32"/>
      <c r="D911" s="32"/>
      <c r="E911" s="32"/>
    </row>
    <row r="912">
      <c r="A912" s="13"/>
      <c r="B912" s="32"/>
      <c r="C912" s="32"/>
      <c r="D912" s="32"/>
      <c r="E912" s="32"/>
    </row>
    <row r="913">
      <c r="A913" s="13"/>
      <c r="B913" s="32"/>
      <c r="C913" s="32"/>
      <c r="D913" s="32"/>
      <c r="E913" s="32"/>
    </row>
    <row r="914">
      <c r="A914" s="13"/>
      <c r="B914" s="32"/>
      <c r="C914" s="32"/>
      <c r="D914" s="32"/>
      <c r="E914" s="32"/>
    </row>
    <row r="915">
      <c r="A915" s="13"/>
      <c r="B915" s="32"/>
      <c r="C915" s="32"/>
      <c r="D915" s="32"/>
      <c r="E915" s="32"/>
    </row>
    <row r="916">
      <c r="A916" s="13"/>
      <c r="B916" s="32"/>
      <c r="C916" s="32"/>
      <c r="D916" s="32"/>
      <c r="E916" s="32"/>
    </row>
    <row r="917">
      <c r="A917" s="13"/>
      <c r="B917" s="32"/>
      <c r="C917" s="32"/>
      <c r="D917" s="32"/>
      <c r="E917" s="32"/>
    </row>
    <row r="918">
      <c r="A918" s="13"/>
      <c r="B918" s="32"/>
      <c r="C918" s="32"/>
      <c r="D918" s="32"/>
      <c r="E918" s="32"/>
    </row>
    <row r="919">
      <c r="A919" s="13"/>
      <c r="B919" s="32"/>
      <c r="C919" s="32"/>
      <c r="D919" s="32"/>
      <c r="E919" s="32"/>
    </row>
    <row r="920">
      <c r="A920" s="13"/>
      <c r="B920" s="32"/>
      <c r="C920" s="32"/>
      <c r="D920" s="32"/>
      <c r="E920" s="32"/>
    </row>
    <row r="921">
      <c r="A921" s="13"/>
      <c r="B921" s="32"/>
      <c r="C921" s="32"/>
      <c r="D921" s="32"/>
      <c r="E921" s="32"/>
    </row>
    <row r="922">
      <c r="A922" s="13"/>
      <c r="B922" s="32"/>
      <c r="C922" s="32"/>
      <c r="D922" s="32"/>
      <c r="E922" s="32"/>
    </row>
    <row r="923">
      <c r="A923" s="13"/>
      <c r="B923" s="32"/>
      <c r="C923" s="32"/>
      <c r="D923" s="32"/>
      <c r="E923" s="32"/>
    </row>
    <row r="924">
      <c r="A924" s="13"/>
      <c r="B924" s="32"/>
      <c r="C924" s="32"/>
      <c r="D924" s="32"/>
      <c r="E924" s="32"/>
    </row>
    <row r="925">
      <c r="A925" s="13"/>
      <c r="B925" s="32"/>
      <c r="C925" s="32"/>
      <c r="D925" s="32"/>
      <c r="E925" s="32"/>
    </row>
    <row r="926">
      <c r="A926" s="13"/>
      <c r="B926" s="32"/>
      <c r="C926" s="32"/>
      <c r="D926" s="32"/>
      <c r="E926" s="32"/>
    </row>
    <row r="927">
      <c r="A927" s="13"/>
      <c r="B927" s="32"/>
      <c r="C927" s="32"/>
      <c r="D927" s="32"/>
      <c r="E927" s="32"/>
    </row>
    <row r="928">
      <c r="A928" s="13"/>
      <c r="B928" s="32"/>
      <c r="C928" s="32"/>
      <c r="D928" s="32"/>
      <c r="E928" s="32"/>
    </row>
    <row r="929">
      <c r="A929" s="13"/>
      <c r="B929" s="32"/>
      <c r="C929" s="32"/>
      <c r="D929" s="32"/>
      <c r="E929" s="32"/>
    </row>
    <row r="930">
      <c r="A930" s="13"/>
      <c r="B930" s="32"/>
      <c r="C930" s="32"/>
      <c r="D930" s="32"/>
      <c r="E930" s="32"/>
    </row>
    <row r="931">
      <c r="A931" s="13"/>
      <c r="B931" s="32"/>
      <c r="C931" s="32"/>
      <c r="D931" s="32"/>
      <c r="E931" s="32"/>
    </row>
    <row r="932">
      <c r="A932" s="13"/>
      <c r="B932" s="32"/>
      <c r="C932" s="32"/>
      <c r="D932" s="32"/>
      <c r="E932" s="32"/>
    </row>
    <row r="933">
      <c r="A933" s="13"/>
      <c r="B933" s="32"/>
      <c r="C933" s="32"/>
      <c r="D933" s="32"/>
      <c r="E933" s="32"/>
    </row>
    <row r="934">
      <c r="A934" s="13"/>
      <c r="B934" s="32"/>
      <c r="C934" s="32"/>
      <c r="D934" s="32"/>
      <c r="E934" s="32"/>
    </row>
    <row r="935">
      <c r="A935" s="13"/>
      <c r="B935" s="32"/>
      <c r="C935" s="32"/>
      <c r="D935" s="32"/>
      <c r="E935" s="32"/>
    </row>
    <row r="936">
      <c r="A936" s="13"/>
      <c r="B936" s="32"/>
      <c r="C936" s="32"/>
      <c r="D936" s="32"/>
      <c r="E936" s="32"/>
    </row>
    <row r="937">
      <c r="A937" s="13"/>
      <c r="B937" s="32"/>
      <c r="C937" s="32"/>
      <c r="D937" s="32"/>
      <c r="E937" s="32"/>
    </row>
    <row r="938">
      <c r="A938" s="13"/>
      <c r="B938" s="32"/>
      <c r="C938" s="32"/>
      <c r="D938" s="32"/>
      <c r="E938" s="32"/>
    </row>
    <row r="939">
      <c r="A939" s="13"/>
      <c r="B939" s="32"/>
      <c r="C939" s="32"/>
      <c r="D939" s="32"/>
      <c r="E939" s="32"/>
    </row>
    <row r="940">
      <c r="A940" s="13"/>
      <c r="B940" s="32"/>
      <c r="C940" s="32"/>
      <c r="D940" s="32"/>
      <c r="E940" s="32"/>
    </row>
    <row r="941">
      <c r="A941" s="13"/>
      <c r="B941" s="32"/>
      <c r="C941" s="32"/>
      <c r="D941" s="32"/>
      <c r="E941" s="32"/>
    </row>
    <row r="942">
      <c r="A942" s="13"/>
      <c r="B942" s="32"/>
      <c r="C942" s="32"/>
      <c r="D942" s="32"/>
      <c r="E942" s="32"/>
    </row>
    <row r="943">
      <c r="A943" s="13"/>
      <c r="B943" s="32"/>
      <c r="C943" s="32"/>
      <c r="D943" s="32"/>
      <c r="E943" s="32"/>
    </row>
    <row r="944">
      <c r="A944" s="13"/>
      <c r="B944" s="32"/>
      <c r="C944" s="32"/>
      <c r="D944" s="32"/>
      <c r="E944" s="32"/>
    </row>
    <row r="945">
      <c r="A945" s="13"/>
      <c r="B945" s="32"/>
      <c r="C945" s="32"/>
      <c r="D945" s="32"/>
      <c r="E945" s="32"/>
    </row>
    <row r="946">
      <c r="A946" s="13"/>
      <c r="B946" s="32"/>
      <c r="C946" s="32"/>
      <c r="D946" s="32"/>
      <c r="E946" s="32"/>
    </row>
    <row r="947">
      <c r="A947" s="13"/>
      <c r="B947" s="32"/>
      <c r="C947" s="32"/>
      <c r="D947" s="32"/>
      <c r="E947" s="32"/>
    </row>
    <row r="948">
      <c r="A948" s="13"/>
      <c r="B948" s="32"/>
      <c r="C948" s="32"/>
      <c r="D948" s="32"/>
      <c r="E948" s="32"/>
    </row>
    <row r="949">
      <c r="A949" s="13"/>
      <c r="B949" s="32"/>
      <c r="C949" s="32"/>
      <c r="D949" s="32"/>
      <c r="E949" s="32"/>
    </row>
    <row r="950">
      <c r="A950" s="13"/>
      <c r="B950" s="32"/>
      <c r="C950" s="32"/>
      <c r="D950" s="32"/>
      <c r="E950" s="32"/>
    </row>
    <row r="951">
      <c r="A951" s="13"/>
      <c r="B951" s="32"/>
      <c r="C951" s="32"/>
      <c r="D951" s="32"/>
      <c r="E951" s="32"/>
    </row>
    <row r="952">
      <c r="A952" s="13"/>
      <c r="B952" s="32"/>
      <c r="C952" s="32"/>
      <c r="D952" s="32"/>
      <c r="E952" s="32"/>
    </row>
    <row r="953">
      <c r="A953" s="13"/>
      <c r="B953" s="32"/>
      <c r="C953" s="32"/>
      <c r="D953" s="32"/>
      <c r="E953" s="32"/>
    </row>
    <row r="954">
      <c r="A954" s="13"/>
      <c r="B954" s="32"/>
      <c r="C954" s="32"/>
      <c r="D954" s="32"/>
      <c r="E954" s="32"/>
    </row>
    <row r="955">
      <c r="A955" s="13"/>
      <c r="B955" s="32"/>
      <c r="C955" s="32"/>
      <c r="D955" s="32"/>
      <c r="E955" s="32"/>
    </row>
    <row r="956">
      <c r="A956" s="13"/>
      <c r="B956" s="32"/>
      <c r="C956" s="32"/>
      <c r="D956" s="32"/>
      <c r="E956" s="32"/>
    </row>
    <row r="957">
      <c r="A957" s="13"/>
      <c r="B957" s="32"/>
      <c r="C957" s="32"/>
      <c r="D957" s="32"/>
      <c r="E957" s="32"/>
    </row>
    <row r="958">
      <c r="A958" s="13"/>
      <c r="B958" s="32"/>
      <c r="C958" s="32"/>
      <c r="D958" s="32"/>
      <c r="E958" s="32"/>
    </row>
    <row r="959">
      <c r="A959" s="13"/>
      <c r="B959" s="32"/>
      <c r="C959" s="32"/>
      <c r="D959" s="32"/>
      <c r="E959" s="32"/>
    </row>
    <row r="960">
      <c r="A960" s="13"/>
      <c r="B960" s="32"/>
      <c r="C960" s="32"/>
      <c r="D960" s="32"/>
      <c r="E960" s="32"/>
    </row>
    <row r="961">
      <c r="A961" s="13"/>
      <c r="B961" s="32"/>
      <c r="C961" s="32"/>
      <c r="D961" s="32"/>
      <c r="E961" s="32"/>
    </row>
    <row r="962">
      <c r="A962" s="13"/>
      <c r="B962" s="32"/>
      <c r="C962" s="32"/>
      <c r="D962" s="32"/>
      <c r="E962" s="32"/>
    </row>
    <row r="963">
      <c r="A963" s="13"/>
      <c r="B963" s="32"/>
      <c r="C963" s="32"/>
      <c r="D963" s="32"/>
      <c r="E963" s="32"/>
    </row>
    <row r="964">
      <c r="A964" s="13"/>
      <c r="B964" s="32"/>
      <c r="C964" s="32"/>
      <c r="D964" s="32"/>
      <c r="E964" s="32"/>
    </row>
    <row r="965">
      <c r="A965" s="13"/>
      <c r="B965" s="32"/>
      <c r="C965" s="32"/>
      <c r="D965" s="32"/>
      <c r="E965" s="32"/>
    </row>
    <row r="966">
      <c r="A966" s="13"/>
      <c r="B966" s="32"/>
      <c r="C966" s="32"/>
      <c r="D966" s="32"/>
      <c r="E966" s="32"/>
    </row>
    <row r="967">
      <c r="A967" s="13"/>
      <c r="B967" s="32"/>
      <c r="C967" s="32"/>
      <c r="D967" s="32"/>
      <c r="E967" s="32"/>
    </row>
    <row r="968">
      <c r="A968" s="13"/>
      <c r="B968" s="32"/>
      <c r="C968" s="32"/>
      <c r="D968" s="32"/>
      <c r="E968" s="32"/>
    </row>
    <row r="969">
      <c r="A969" s="13"/>
      <c r="B969" s="32"/>
      <c r="C969" s="32"/>
      <c r="D969" s="32"/>
      <c r="E969" s="32"/>
    </row>
    <row r="970">
      <c r="A970" s="13"/>
      <c r="B970" s="32"/>
      <c r="C970" s="32"/>
      <c r="D970" s="32"/>
      <c r="E970" s="32"/>
    </row>
    <row r="971">
      <c r="A971" s="13"/>
      <c r="B971" s="32"/>
      <c r="C971" s="32"/>
      <c r="D971" s="32"/>
      <c r="E971" s="32"/>
    </row>
    <row r="972">
      <c r="A972" s="13"/>
      <c r="B972" s="32"/>
      <c r="C972" s="32"/>
      <c r="D972" s="32"/>
      <c r="E972" s="32"/>
    </row>
    <row r="973">
      <c r="A973" s="13"/>
      <c r="B973" s="32"/>
      <c r="C973" s="32"/>
      <c r="D973" s="32"/>
      <c r="E973" s="32"/>
    </row>
    <row r="974">
      <c r="A974" s="13"/>
      <c r="B974" s="32"/>
      <c r="C974" s="32"/>
      <c r="D974" s="32"/>
      <c r="E974" s="32"/>
    </row>
    <row r="975">
      <c r="A975" s="13"/>
      <c r="B975" s="32"/>
      <c r="C975" s="32"/>
      <c r="D975" s="32"/>
      <c r="E975" s="32"/>
    </row>
    <row r="976">
      <c r="A976" s="13"/>
      <c r="B976" s="32"/>
      <c r="C976" s="32"/>
      <c r="D976" s="32"/>
      <c r="E976" s="32"/>
    </row>
    <row r="977">
      <c r="A977" s="13"/>
      <c r="B977" s="32"/>
      <c r="C977" s="32"/>
      <c r="D977" s="32"/>
      <c r="E977" s="32"/>
    </row>
    <row r="978">
      <c r="A978" s="13"/>
      <c r="B978" s="32"/>
      <c r="C978" s="32"/>
      <c r="D978" s="32"/>
      <c r="E978" s="32"/>
    </row>
    <row r="979">
      <c r="A979" s="13"/>
      <c r="B979" s="32"/>
      <c r="C979" s="32"/>
      <c r="D979" s="32"/>
      <c r="E979" s="32"/>
    </row>
    <row r="980">
      <c r="A980" s="13"/>
      <c r="B980" s="32"/>
      <c r="C980" s="32"/>
      <c r="D980" s="32"/>
      <c r="E980" s="32"/>
    </row>
    <row r="981">
      <c r="A981" s="13"/>
      <c r="B981" s="32"/>
      <c r="C981" s="32"/>
      <c r="D981" s="32"/>
      <c r="E981" s="32"/>
    </row>
    <row r="982">
      <c r="A982" s="13"/>
      <c r="B982" s="32"/>
      <c r="C982" s="32"/>
      <c r="D982" s="32"/>
      <c r="E982" s="32"/>
    </row>
    <row r="983">
      <c r="A983" s="13"/>
      <c r="B983" s="32"/>
      <c r="C983" s="32"/>
      <c r="D983" s="32"/>
      <c r="E983" s="32"/>
    </row>
    <row r="984">
      <c r="A984" s="13"/>
      <c r="B984" s="32"/>
      <c r="C984" s="32"/>
      <c r="D984" s="32"/>
      <c r="E984" s="32"/>
    </row>
    <row r="985">
      <c r="A985" s="13"/>
      <c r="B985" s="32"/>
      <c r="C985" s="32"/>
      <c r="D985" s="32"/>
      <c r="E985" s="32"/>
    </row>
    <row r="986">
      <c r="A986" s="13"/>
      <c r="B986" s="32"/>
      <c r="C986" s="32"/>
      <c r="D986" s="32"/>
      <c r="E986" s="32"/>
    </row>
    <row r="987">
      <c r="A987" s="13"/>
      <c r="B987" s="32"/>
      <c r="C987" s="32"/>
      <c r="D987" s="32"/>
      <c r="E987" s="32"/>
    </row>
    <row r="988">
      <c r="A988" s="13"/>
      <c r="B988" s="32"/>
      <c r="C988" s="32"/>
      <c r="D988" s="32"/>
      <c r="E988" s="32"/>
    </row>
    <row r="989">
      <c r="A989" s="13"/>
      <c r="B989" s="32"/>
      <c r="C989" s="32"/>
      <c r="D989" s="32"/>
      <c r="E989" s="32"/>
    </row>
    <row r="990">
      <c r="A990" s="13"/>
      <c r="B990" s="32"/>
      <c r="C990" s="32"/>
      <c r="D990" s="32"/>
      <c r="E990" s="32"/>
    </row>
    <row r="991">
      <c r="A991" s="13"/>
      <c r="B991" s="32"/>
      <c r="C991" s="32"/>
      <c r="D991" s="32"/>
      <c r="E991" s="32"/>
    </row>
    <row r="992">
      <c r="A992" s="13"/>
      <c r="B992" s="32"/>
      <c r="C992" s="32"/>
      <c r="D992" s="32"/>
      <c r="E992" s="32"/>
    </row>
    <row r="993">
      <c r="A993" s="13"/>
      <c r="B993" s="32"/>
      <c r="C993" s="32"/>
      <c r="D993" s="32"/>
      <c r="E993" s="32"/>
    </row>
    <row r="994">
      <c r="A994" s="13"/>
      <c r="B994" s="32"/>
      <c r="C994" s="32"/>
      <c r="D994" s="32"/>
      <c r="E994" s="32"/>
    </row>
    <row r="995">
      <c r="A995" s="13"/>
      <c r="B995" s="32"/>
      <c r="C995" s="32"/>
      <c r="D995" s="32"/>
      <c r="E995" s="32"/>
    </row>
    <row r="996">
      <c r="A996" s="13"/>
      <c r="B996" s="32"/>
      <c r="C996" s="32"/>
      <c r="D996" s="32"/>
      <c r="E996" s="32"/>
    </row>
    <row r="997">
      <c r="A997" s="13"/>
      <c r="B997" s="32"/>
      <c r="C997" s="32"/>
      <c r="D997" s="32"/>
      <c r="E997" s="32"/>
    </row>
    <row r="998">
      <c r="A998" s="13"/>
      <c r="B998" s="32"/>
      <c r="C998" s="32"/>
      <c r="D998" s="32"/>
      <c r="E998" s="32"/>
    </row>
    <row r="999">
      <c r="A999" s="13"/>
      <c r="B999" s="32"/>
      <c r="C999" s="32"/>
      <c r="D999" s="32"/>
      <c r="E999" s="32"/>
    </row>
  </sheetData>
  <autoFilter ref="$A$1:$E$14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4.14"/>
    <col customWidth="1" min="3" max="3" width="50.86"/>
    <col customWidth="1" min="4" max="4" width="60.86"/>
    <col customWidth="1" min="5" max="5" width="21.86"/>
  </cols>
  <sheetData>
    <row r="1">
      <c r="A1" s="22" t="s">
        <v>9</v>
      </c>
      <c r="B1" s="23" t="s">
        <v>12</v>
      </c>
      <c r="C1" s="23" t="s">
        <v>56</v>
      </c>
      <c r="D1" s="23" t="s">
        <v>57</v>
      </c>
      <c r="E1" s="24" t="s">
        <v>58</v>
      </c>
    </row>
    <row r="2" hidden="1">
      <c r="A2" s="42"/>
      <c r="B2" s="42" t="s">
        <v>26</v>
      </c>
      <c r="C2" s="43" t="s">
        <v>209</v>
      </c>
      <c r="D2" s="42"/>
      <c r="E2" s="44">
        <v>44165.775972222225</v>
      </c>
    </row>
    <row r="3" hidden="1">
      <c r="A3" s="42"/>
      <c r="B3" s="42" t="s">
        <v>26</v>
      </c>
      <c r="C3" s="43" t="s">
        <v>210</v>
      </c>
      <c r="D3" s="42"/>
      <c r="E3" s="44">
        <v>44165.78225694445</v>
      </c>
    </row>
    <row r="4" hidden="1">
      <c r="A4" s="42"/>
      <c r="B4" s="42" t="s">
        <v>26</v>
      </c>
      <c r="C4" s="43" t="s">
        <v>211</v>
      </c>
      <c r="D4" s="42"/>
      <c r="E4" s="44">
        <v>44165.78251157407</v>
      </c>
    </row>
    <row r="5" hidden="1">
      <c r="A5" s="42"/>
      <c r="B5" s="42" t="s">
        <v>26</v>
      </c>
      <c r="C5" s="43" t="s">
        <v>212</v>
      </c>
      <c r="D5" s="42"/>
      <c r="E5" s="44">
        <v>44165.811747685184</v>
      </c>
    </row>
    <row r="6" hidden="1">
      <c r="A6" s="42"/>
      <c r="B6" s="42" t="s">
        <v>26</v>
      </c>
      <c r="C6" s="43" t="s">
        <v>213</v>
      </c>
      <c r="D6" s="42"/>
      <c r="E6" s="44">
        <v>44165.81216435185</v>
      </c>
    </row>
    <row r="7" hidden="1">
      <c r="A7" s="42"/>
      <c r="B7" s="42" t="s">
        <v>26</v>
      </c>
      <c r="C7" s="43" t="s">
        <v>214</v>
      </c>
      <c r="D7" s="42"/>
      <c r="E7" s="44">
        <v>44165.812418981484</v>
      </c>
    </row>
    <row r="8" hidden="1">
      <c r="A8" s="42"/>
      <c r="B8" s="42" t="s">
        <v>26</v>
      </c>
      <c r="C8" s="43" t="s">
        <v>215</v>
      </c>
      <c r="D8" s="42"/>
      <c r="E8" s="44">
        <v>44165.812685185185</v>
      </c>
    </row>
    <row r="9" hidden="1">
      <c r="A9" s="42"/>
      <c r="B9" s="42" t="s">
        <v>26</v>
      </c>
      <c r="C9" s="43" t="s">
        <v>216</v>
      </c>
      <c r="D9" s="42"/>
      <c r="E9" s="44">
        <v>44165.81302083333</v>
      </c>
    </row>
    <row r="10" hidden="1">
      <c r="A10" s="42"/>
      <c r="B10" s="42" t="s">
        <v>26</v>
      </c>
      <c r="C10" s="43" t="s">
        <v>217</v>
      </c>
      <c r="D10" s="42"/>
      <c r="E10" s="44">
        <v>44165.813472222224</v>
      </c>
    </row>
    <row r="11" hidden="1">
      <c r="A11" s="42"/>
      <c r="B11" s="42" t="s">
        <v>26</v>
      </c>
      <c r="C11" s="43" t="s">
        <v>218</v>
      </c>
      <c r="D11" s="42"/>
      <c r="E11" s="44">
        <v>44165.813738425924</v>
      </c>
    </row>
    <row r="12" hidden="1">
      <c r="A12" s="42"/>
      <c r="B12" s="42" t="s">
        <v>26</v>
      </c>
      <c r="C12" s="43" t="s">
        <v>219</v>
      </c>
      <c r="D12" s="42"/>
      <c r="E12" s="44">
        <v>44165.81402777778</v>
      </c>
    </row>
    <row r="13" hidden="1">
      <c r="A13" s="42"/>
      <c r="B13" s="42" t="s">
        <v>26</v>
      </c>
      <c r="C13" s="43" t="s">
        <v>220</v>
      </c>
      <c r="D13" s="42"/>
      <c r="E13" s="44">
        <v>44165.81431712963</v>
      </c>
    </row>
    <row r="14" hidden="1">
      <c r="A14" s="42"/>
      <c r="B14" s="42" t="s">
        <v>26</v>
      </c>
      <c r="C14" s="43" t="s">
        <v>221</v>
      </c>
      <c r="D14" s="42"/>
      <c r="E14" s="44">
        <v>44165.829421296294</v>
      </c>
    </row>
    <row r="15" hidden="1">
      <c r="A15" s="27"/>
      <c r="B15" s="27" t="s">
        <v>32</v>
      </c>
      <c r="C15" s="45" t="s">
        <v>222</v>
      </c>
      <c r="D15" s="27"/>
      <c r="E15" s="46">
        <v>44166.16621527778</v>
      </c>
    </row>
    <row r="16" hidden="1">
      <c r="A16" s="27"/>
      <c r="B16" s="27" t="s">
        <v>33</v>
      </c>
      <c r="C16" s="45" t="s">
        <v>223</v>
      </c>
      <c r="D16" s="27"/>
      <c r="E16" s="46">
        <v>44166.16711805556</v>
      </c>
    </row>
    <row r="17" hidden="1">
      <c r="A17" s="27"/>
      <c r="B17" s="27" t="s">
        <v>34</v>
      </c>
      <c r="C17" s="45" t="s">
        <v>224</v>
      </c>
      <c r="D17" s="27"/>
      <c r="E17" s="46">
        <v>44166.16741898148</v>
      </c>
    </row>
    <row r="18" hidden="1">
      <c r="A18" s="42"/>
      <c r="B18" s="42" t="s">
        <v>26</v>
      </c>
      <c r="C18" s="43" t="s">
        <v>225</v>
      </c>
      <c r="D18" s="42"/>
      <c r="E18" s="47">
        <v>44171.91554398148</v>
      </c>
    </row>
    <row r="19" hidden="1">
      <c r="A19" s="42"/>
      <c r="B19" s="42" t="s">
        <v>26</v>
      </c>
      <c r="C19" s="43" t="s">
        <v>226</v>
      </c>
      <c r="D19" s="42"/>
      <c r="E19" s="47">
        <v>44171.92780092593</v>
      </c>
    </row>
    <row r="20" hidden="1">
      <c r="A20" s="27"/>
      <c r="B20" s="27" t="s">
        <v>32</v>
      </c>
      <c r="C20" s="45" t="s">
        <v>227</v>
      </c>
      <c r="D20" s="27"/>
      <c r="E20" s="46">
        <v>44171.928136574075</v>
      </c>
    </row>
    <row r="21" hidden="1">
      <c r="A21" s="27"/>
      <c r="B21" s="27" t="s">
        <v>33</v>
      </c>
      <c r="C21" s="45" t="s">
        <v>228</v>
      </c>
      <c r="D21" s="27"/>
      <c r="E21" s="46">
        <v>44171.93074074074</v>
      </c>
    </row>
    <row r="22" hidden="1">
      <c r="A22" s="27"/>
      <c r="B22" s="27" t="s">
        <v>33</v>
      </c>
      <c r="C22" s="45" t="s">
        <v>229</v>
      </c>
      <c r="D22" s="27"/>
      <c r="E22" s="46">
        <v>44171.965891203705</v>
      </c>
    </row>
    <row r="23" hidden="1">
      <c r="A23" s="42"/>
      <c r="B23" s="42" t="s">
        <v>26</v>
      </c>
      <c r="C23" s="43" t="s">
        <v>230</v>
      </c>
      <c r="D23" s="42"/>
      <c r="E23" s="47">
        <v>44171.97366898148</v>
      </c>
    </row>
    <row r="24" hidden="1">
      <c r="A24" s="42"/>
      <c r="B24" s="42" t="s">
        <v>26</v>
      </c>
      <c r="C24" s="43" t="s">
        <v>231</v>
      </c>
      <c r="D24" s="42"/>
      <c r="E24" s="47">
        <v>44171.97403935185</v>
      </c>
    </row>
    <row r="25" hidden="1">
      <c r="A25" s="27"/>
      <c r="B25" s="27" t="s">
        <v>33</v>
      </c>
      <c r="C25" s="45" t="s">
        <v>232</v>
      </c>
      <c r="D25" s="27"/>
      <c r="E25" s="46">
        <v>44171.97582175926</v>
      </c>
    </row>
    <row r="26" hidden="1">
      <c r="A26" s="27"/>
      <c r="B26" s="27" t="s">
        <v>33</v>
      </c>
      <c r="C26" s="45" t="s">
        <v>233</v>
      </c>
      <c r="D26" s="27"/>
      <c r="E26" s="46">
        <v>44171.977488425924</v>
      </c>
    </row>
    <row r="27" hidden="1">
      <c r="A27" s="27"/>
      <c r="B27" s="27" t="s">
        <v>33</v>
      </c>
      <c r="C27" s="45" t="s">
        <v>234</v>
      </c>
      <c r="D27" s="27"/>
      <c r="E27" s="46">
        <v>44171.97789351852</v>
      </c>
    </row>
    <row r="28" hidden="1">
      <c r="A28" s="27"/>
      <c r="B28" s="27" t="s">
        <v>33</v>
      </c>
      <c r="C28" s="45" t="s">
        <v>235</v>
      </c>
      <c r="D28" s="27"/>
      <c r="E28" s="46">
        <v>44171.97820601852</v>
      </c>
    </row>
    <row r="29" hidden="1">
      <c r="A29" s="27"/>
      <c r="B29" s="27" t="s">
        <v>33</v>
      </c>
      <c r="C29" s="45" t="s">
        <v>236</v>
      </c>
      <c r="D29" s="27"/>
      <c r="E29" s="46">
        <v>44171.97856481482</v>
      </c>
    </row>
    <row r="30" hidden="1">
      <c r="A30" s="27"/>
      <c r="B30" s="27" t="s">
        <v>33</v>
      </c>
      <c r="C30" s="45" t="s">
        <v>237</v>
      </c>
      <c r="D30" s="27"/>
      <c r="E30" s="46">
        <v>44172.00550925926</v>
      </c>
    </row>
    <row r="31" hidden="1">
      <c r="A31" s="27"/>
      <c r="B31" s="27" t="s">
        <v>33</v>
      </c>
      <c r="C31" s="45" t="s">
        <v>238</v>
      </c>
      <c r="D31" s="27"/>
      <c r="E31" s="46">
        <v>44172.00603009259</v>
      </c>
    </row>
    <row r="32" hidden="1">
      <c r="A32" s="27"/>
      <c r="B32" s="27" t="s">
        <v>33</v>
      </c>
      <c r="C32" s="45" t="s">
        <v>239</v>
      </c>
      <c r="D32" s="27"/>
      <c r="E32" s="46">
        <v>44172.006574074076</v>
      </c>
    </row>
    <row r="33" hidden="1">
      <c r="A33" s="42"/>
      <c r="B33" s="42" t="s">
        <v>26</v>
      </c>
      <c r="C33" s="43" t="s">
        <v>240</v>
      </c>
      <c r="D33" s="42"/>
      <c r="E33" s="47">
        <v>44172.48763888889</v>
      </c>
    </row>
    <row r="34" hidden="1">
      <c r="A34" s="42"/>
      <c r="B34" s="42" t="s">
        <v>26</v>
      </c>
      <c r="C34" s="43" t="s">
        <v>241</v>
      </c>
      <c r="D34" s="42"/>
      <c r="E34" s="47">
        <v>44172.488171296296</v>
      </c>
    </row>
    <row r="35" hidden="1">
      <c r="A35" s="27"/>
      <c r="B35" s="27" t="s">
        <v>33</v>
      </c>
      <c r="C35" s="45" t="s">
        <v>242</v>
      </c>
      <c r="D35" s="27"/>
      <c r="E35" s="46">
        <v>44172.48880787037</v>
      </c>
    </row>
    <row r="36" hidden="1">
      <c r="A36" s="27"/>
      <c r="B36" s="27" t="s">
        <v>33</v>
      </c>
      <c r="C36" s="45" t="s">
        <v>243</v>
      </c>
      <c r="D36" s="27"/>
      <c r="E36" s="46">
        <v>44172.489594907405</v>
      </c>
    </row>
    <row r="37" hidden="1">
      <c r="A37" s="27"/>
      <c r="B37" s="27" t="s">
        <v>33</v>
      </c>
      <c r="C37" s="45" t="s">
        <v>244</v>
      </c>
      <c r="D37" s="27"/>
      <c r="E37" s="46">
        <v>44172.4900462963</v>
      </c>
    </row>
    <row r="38" hidden="1">
      <c r="A38" s="27"/>
      <c r="B38" s="27" t="s">
        <v>33</v>
      </c>
      <c r="C38" s="45" t="s">
        <v>245</v>
      </c>
      <c r="D38" s="27"/>
      <c r="E38" s="46">
        <v>44172.49048611111</v>
      </c>
    </row>
    <row r="39" hidden="1">
      <c r="A39" s="42"/>
      <c r="B39" s="42" t="s">
        <v>36</v>
      </c>
      <c r="C39" s="43" t="s">
        <v>246</v>
      </c>
      <c r="D39" s="42"/>
      <c r="E39" s="47">
        <v>44172.49104166667</v>
      </c>
    </row>
    <row r="40" hidden="1">
      <c r="A40" s="42"/>
      <c r="B40" s="42" t="s">
        <v>39</v>
      </c>
      <c r="C40" s="43" t="s">
        <v>247</v>
      </c>
      <c r="D40" s="42"/>
      <c r="E40" s="47">
        <v>44172.49155092592</v>
      </c>
    </row>
    <row r="41" hidden="1">
      <c r="A41" s="27"/>
      <c r="B41" s="27" t="s">
        <v>40</v>
      </c>
      <c r="C41" s="45" t="s">
        <v>248</v>
      </c>
      <c r="D41" s="27"/>
      <c r="E41" s="46">
        <v>44172.492118055554</v>
      </c>
    </row>
    <row r="42" hidden="1">
      <c r="A42" s="27"/>
      <c r="B42" s="27" t="s">
        <v>45</v>
      </c>
      <c r="C42" s="45" t="s">
        <v>249</v>
      </c>
      <c r="D42" s="27"/>
      <c r="E42" s="46">
        <v>44172.495787037034</v>
      </c>
    </row>
    <row r="43" hidden="1">
      <c r="A43" s="27"/>
      <c r="B43" s="27" t="s">
        <v>45</v>
      </c>
      <c r="C43" s="45" t="s">
        <v>250</v>
      </c>
      <c r="D43" s="27"/>
      <c r="E43" s="46">
        <v>44172.49627314815</v>
      </c>
    </row>
    <row r="44" hidden="1">
      <c r="A44" s="27"/>
      <c r="B44" s="27" t="s">
        <v>45</v>
      </c>
      <c r="C44" s="45" t="s">
        <v>251</v>
      </c>
      <c r="D44" s="27"/>
      <c r="E44" s="46">
        <v>44172.496724537035</v>
      </c>
    </row>
    <row r="45" hidden="1">
      <c r="A45" s="27"/>
      <c r="B45" s="27" t="s">
        <v>45</v>
      </c>
      <c r="C45" s="45" t="s">
        <v>252</v>
      </c>
      <c r="D45" s="27"/>
      <c r="E45" s="46">
        <v>44172.49717592593</v>
      </c>
    </row>
    <row r="46" hidden="1">
      <c r="A46" s="27"/>
      <c r="B46" s="27" t="s">
        <v>45</v>
      </c>
      <c r="C46" s="45" t="s">
        <v>253</v>
      </c>
      <c r="D46" s="27"/>
      <c r="E46" s="46">
        <v>44172.49765046296</v>
      </c>
    </row>
    <row r="47" hidden="1">
      <c r="A47" s="27"/>
      <c r="B47" s="27" t="s">
        <v>45</v>
      </c>
      <c r="C47" s="45" t="s">
        <v>254</v>
      </c>
      <c r="D47" s="27"/>
      <c r="E47" s="46">
        <v>44172.500127314815</v>
      </c>
    </row>
    <row r="48" hidden="1">
      <c r="A48" s="27"/>
      <c r="B48" s="27" t="s">
        <v>45</v>
      </c>
      <c r="C48" s="45" t="s">
        <v>255</v>
      </c>
      <c r="D48" s="27"/>
      <c r="E48" s="46">
        <v>44172.50116898148</v>
      </c>
    </row>
    <row r="49" hidden="1">
      <c r="A49" s="27"/>
      <c r="B49" s="27" t="s">
        <v>45</v>
      </c>
      <c r="C49" s="45" t="s">
        <v>256</v>
      </c>
      <c r="D49" s="27"/>
      <c r="E49" s="46">
        <v>44172.501747685186</v>
      </c>
    </row>
    <row r="50" hidden="1">
      <c r="A50" s="27"/>
      <c r="B50" s="27" t="s">
        <v>45</v>
      </c>
      <c r="C50" s="45" t="s">
        <v>257</v>
      </c>
      <c r="D50" s="27"/>
      <c r="E50" s="46">
        <v>44172.50224537037</v>
      </c>
    </row>
    <row r="51" hidden="1">
      <c r="A51" s="27"/>
      <c r="B51" s="27" t="s">
        <v>49</v>
      </c>
      <c r="C51" s="45" t="s">
        <v>258</v>
      </c>
      <c r="D51" s="27"/>
      <c r="E51" s="46">
        <v>44172.50334490741</v>
      </c>
    </row>
    <row r="52" hidden="1">
      <c r="A52" s="27"/>
      <c r="B52" s="27" t="s">
        <v>49</v>
      </c>
      <c r="C52" s="45" t="s">
        <v>259</v>
      </c>
      <c r="D52" s="27"/>
      <c r="E52" s="46">
        <v>44172.50381944444</v>
      </c>
    </row>
    <row r="53" hidden="1">
      <c r="A53" s="27"/>
      <c r="B53" s="27" t="s">
        <v>49</v>
      </c>
      <c r="C53" s="45" t="s">
        <v>260</v>
      </c>
      <c r="D53" s="27"/>
      <c r="E53" s="46">
        <v>44172.504537037035</v>
      </c>
    </row>
    <row r="54" hidden="1">
      <c r="A54" s="42"/>
      <c r="B54" s="42" t="s">
        <v>26</v>
      </c>
      <c r="C54" s="48" t="str">
        <f>hyperlink("https://au.indeed.com/viewjob?from=iaBackPress&amp;jk=1e4f76f420f0feaf&amp;vjs=3","Senior / Lead Mechanical Engineer")</f>
        <v>Senior / Lead Mechanical Engineer</v>
      </c>
      <c r="D54" s="42" t="s">
        <v>261</v>
      </c>
      <c r="E54" s="47">
        <v>44172.87412037037</v>
      </c>
    </row>
    <row r="55" hidden="1">
      <c r="A55" s="42"/>
      <c r="B55" s="42" t="s">
        <v>26</v>
      </c>
      <c r="C55" s="48" t="str">
        <f>hyperlink("https://au.indeed.com/viewjob?from=iaBackPress&amp;jk=ba11b1a8bb1473de&amp;vjs=3","Mechanical Leader")</f>
        <v>Mechanical Leader</v>
      </c>
      <c r="D55" s="42" t="s">
        <v>262</v>
      </c>
      <c r="E55" s="47">
        <v>44172.874976851854</v>
      </c>
    </row>
    <row r="56" hidden="1">
      <c r="A56" s="27"/>
      <c r="B56" s="27" t="s">
        <v>26</v>
      </c>
      <c r="C56" s="45" t="s">
        <v>263</v>
      </c>
      <c r="E56" s="49">
        <v>44173.458715277775</v>
      </c>
    </row>
    <row r="57" hidden="1">
      <c r="A57" s="27"/>
      <c r="B57" s="27" t="s">
        <v>26</v>
      </c>
      <c r="C57" s="45" t="s">
        <v>264</v>
      </c>
      <c r="E57" s="49">
        <v>44173.46267361111</v>
      </c>
    </row>
    <row r="58" hidden="1">
      <c r="A58" s="27"/>
      <c r="B58" s="27" t="s">
        <v>26</v>
      </c>
      <c r="C58" s="45" t="s">
        <v>265</v>
      </c>
      <c r="E58" s="49">
        <v>44173.463217592594</v>
      </c>
    </row>
    <row r="59" hidden="1">
      <c r="A59" s="27"/>
      <c r="B59" s="27" t="s">
        <v>33</v>
      </c>
      <c r="C59" s="45" t="s">
        <v>266</v>
      </c>
      <c r="E59" s="49">
        <v>44173.486446759256</v>
      </c>
    </row>
    <row r="60" hidden="1">
      <c r="A60" s="27"/>
      <c r="B60" s="27" t="s">
        <v>33</v>
      </c>
      <c r="C60" s="45" t="s">
        <v>267</v>
      </c>
      <c r="E60" s="49">
        <v>44173.48700231482</v>
      </c>
    </row>
    <row r="61" hidden="1">
      <c r="A61" s="27"/>
      <c r="B61" s="27" t="s">
        <v>33</v>
      </c>
      <c r="C61" s="45" t="s">
        <v>268</v>
      </c>
      <c r="E61" s="49">
        <v>44173.488287037035</v>
      </c>
    </row>
    <row r="62" hidden="1">
      <c r="A62" s="27"/>
      <c r="B62" s="27" t="s">
        <v>33</v>
      </c>
      <c r="C62" s="45" t="s">
        <v>269</v>
      </c>
      <c r="E62" s="49">
        <v>44173.48976851852</v>
      </c>
    </row>
    <row r="63" hidden="1">
      <c r="A63" s="27"/>
      <c r="B63" s="27" t="s">
        <v>33</v>
      </c>
      <c r="C63" s="45" t="s">
        <v>270</v>
      </c>
      <c r="E63" s="49">
        <v>44173.49082175926</v>
      </c>
    </row>
    <row r="64" hidden="1">
      <c r="A64" s="27"/>
      <c r="B64" s="27" t="s">
        <v>34</v>
      </c>
      <c r="C64" s="45" t="s">
        <v>271</v>
      </c>
      <c r="E64" s="49">
        <v>44173.49133101852</v>
      </c>
    </row>
    <row r="65" hidden="1">
      <c r="A65" s="27"/>
      <c r="B65" s="27" t="s">
        <v>34</v>
      </c>
      <c r="C65" s="45" t="s">
        <v>272</v>
      </c>
      <c r="E65" s="49">
        <v>44173.49185185185</v>
      </c>
    </row>
    <row r="66" hidden="1">
      <c r="A66" s="27"/>
      <c r="B66" s="27" t="s">
        <v>34</v>
      </c>
      <c r="C66" s="45" t="s">
        <v>273</v>
      </c>
      <c r="E66" s="49">
        <v>44173.49236111111</v>
      </c>
    </row>
    <row r="67" hidden="1">
      <c r="A67" s="27"/>
      <c r="B67" s="27" t="s">
        <v>34</v>
      </c>
      <c r="C67" s="45" t="s">
        <v>274</v>
      </c>
      <c r="E67" s="49">
        <v>44173.49288194445</v>
      </c>
    </row>
    <row r="68" hidden="1">
      <c r="A68" s="27"/>
      <c r="B68" s="27" t="s">
        <v>34</v>
      </c>
      <c r="C68" s="45" t="s">
        <v>275</v>
      </c>
      <c r="E68" s="49">
        <v>44173.49346064815</v>
      </c>
    </row>
    <row r="69" hidden="1">
      <c r="A69" s="27"/>
      <c r="B69" s="27" t="s">
        <v>34</v>
      </c>
      <c r="C69" s="45" t="s">
        <v>276</v>
      </c>
      <c r="E69" s="49">
        <v>44173.49392361111</v>
      </c>
    </row>
    <row r="70" hidden="1">
      <c r="A70" s="27"/>
      <c r="B70" s="27" t="s">
        <v>36</v>
      </c>
      <c r="C70" s="45" t="s">
        <v>277</v>
      </c>
      <c r="E70" s="49">
        <v>44173.494409722225</v>
      </c>
    </row>
    <row r="71" hidden="1">
      <c r="A71" s="27"/>
      <c r="B71" s="27" t="s">
        <v>36</v>
      </c>
      <c r="C71" s="45" t="s">
        <v>278</v>
      </c>
      <c r="E71" s="49">
        <v>44173.49555555556</v>
      </c>
    </row>
    <row r="72" hidden="1">
      <c r="A72" s="27"/>
      <c r="B72" s="27" t="s">
        <v>36</v>
      </c>
      <c r="C72" s="45" t="s">
        <v>279</v>
      </c>
      <c r="E72" s="49">
        <v>44173.496041666665</v>
      </c>
    </row>
    <row r="73" hidden="1">
      <c r="A73" s="27"/>
      <c r="B73" s="27" t="s">
        <v>39</v>
      </c>
      <c r="C73" s="45" t="s">
        <v>280</v>
      </c>
      <c r="E73" s="49">
        <v>44173.49721064815</v>
      </c>
    </row>
    <row r="74" hidden="1">
      <c r="A74" s="27"/>
      <c r="B74" s="27" t="s">
        <v>41</v>
      </c>
      <c r="C74" s="45" t="s">
        <v>281</v>
      </c>
      <c r="E74" s="49">
        <v>44173.49775462963</v>
      </c>
    </row>
    <row r="75" hidden="1">
      <c r="A75" s="27"/>
      <c r="B75" s="27" t="s">
        <v>42</v>
      </c>
      <c r="C75" s="45" t="s">
        <v>282</v>
      </c>
      <c r="E75" s="49">
        <v>44173.50037037037</v>
      </c>
    </row>
    <row r="76" hidden="1">
      <c r="A76" s="27"/>
      <c r="B76" s="27" t="s">
        <v>45</v>
      </c>
      <c r="C76" s="45" t="s">
        <v>283</v>
      </c>
      <c r="E76" s="49">
        <v>44173.50096064815</v>
      </c>
    </row>
    <row r="77" hidden="1">
      <c r="A77" s="27"/>
      <c r="B77" s="27" t="s">
        <v>45</v>
      </c>
      <c r="C77" s="45" t="s">
        <v>284</v>
      </c>
      <c r="E77" s="49">
        <v>44173.50152777778</v>
      </c>
    </row>
    <row r="78" hidden="1">
      <c r="A78" s="27"/>
      <c r="B78" s="27" t="s">
        <v>45</v>
      </c>
      <c r="C78" s="45" t="s">
        <v>285</v>
      </c>
      <c r="E78" s="49">
        <v>44173.50200231482</v>
      </c>
    </row>
    <row r="79" hidden="1">
      <c r="A79" s="27"/>
      <c r="B79" s="27" t="s">
        <v>45</v>
      </c>
      <c r="C79" s="45" t="s">
        <v>286</v>
      </c>
      <c r="E79" s="49">
        <v>44173.50309027778</v>
      </c>
    </row>
    <row r="80" hidden="1">
      <c r="A80" s="27"/>
      <c r="B80" s="27" t="s">
        <v>45</v>
      </c>
      <c r="C80" s="45" t="s">
        <v>287</v>
      </c>
      <c r="E80" s="49">
        <v>44173.503645833334</v>
      </c>
    </row>
    <row r="81" hidden="1">
      <c r="A81" s="27"/>
      <c r="B81" s="27" t="s">
        <v>45</v>
      </c>
      <c r="C81" s="45" t="s">
        <v>288</v>
      </c>
      <c r="E81" s="49">
        <v>44173.50412037037</v>
      </c>
    </row>
    <row r="82" hidden="1">
      <c r="A82" s="27"/>
      <c r="B82" s="27" t="s">
        <v>45</v>
      </c>
      <c r="C82" s="45" t="s">
        <v>289</v>
      </c>
      <c r="E82" s="49">
        <v>44173.50733796296</v>
      </c>
    </row>
    <row r="83" hidden="1">
      <c r="A83" s="27"/>
      <c r="B83" s="27" t="s">
        <v>45</v>
      </c>
      <c r="C83" s="45" t="s">
        <v>290</v>
      </c>
      <c r="E83" s="49">
        <v>44173.50782407408</v>
      </c>
    </row>
    <row r="84" hidden="1">
      <c r="A84" s="27"/>
      <c r="B84" s="27" t="s">
        <v>45</v>
      </c>
      <c r="C84" s="45" t="s">
        <v>291</v>
      </c>
      <c r="E84" s="49">
        <v>44173.50834490741</v>
      </c>
    </row>
    <row r="85" hidden="1">
      <c r="A85" s="27"/>
      <c r="B85" s="27" t="s">
        <v>45</v>
      </c>
      <c r="C85" s="45" t="s">
        <v>292</v>
      </c>
      <c r="E85" s="49">
        <v>44173.50884259259</v>
      </c>
    </row>
    <row r="86" hidden="1">
      <c r="A86" s="27"/>
      <c r="B86" s="27" t="s">
        <v>45</v>
      </c>
      <c r="C86" s="45" t="s">
        <v>293</v>
      </c>
      <c r="E86" s="49">
        <v>44173.509363425925</v>
      </c>
    </row>
    <row r="87" hidden="1">
      <c r="A87" s="27"/>
      <c r="B87" s="27" t="s">
        <v>45</v>
      </c>
      <c r="C87" s="45" t="s">
        <v>294</v>
      </c>
      <c r="E87" s="49">
        <v>44173.50983796296</v>
      </c>
    </row>
    <row r="88" hidden="1">
      <c r="A88" s="27"/>
      <c r="B88" s="27" t="s">
        <v>45</v>
      </c>
      <c r="C88" s="45" t="s">
        <v>295</v>
      </c>
      <c r="E88" s="49">
        <v>44173.51037037037</v>
      </c>
    </row>
    <row r="89" hidden="1">
      <c r="A89" s="27"/>
      <c r="B89" s="27" t="s">
        <v>45</v>
      </c>
      <c r="C89" s="45" t="s">
        <v>296</v>
      </c>
      <c r="E89" s="49">
        <v>44173.51084490741</v>
      </c>
    </row>
    <row r="90" hidden="1">
      <c r="A90" s="27"/>
      <c r="B90" s="27" t="s">
        <v>45</v>
      </c>
      <c r="C90" s="45" t="s">
        <v>297</v>
      </c>
      <c r="E90" s="49">
        <v>44173.51130787037</v>
      </c>
    </row>
    <row r="91" hidden="1">
      <c r="A91" s="27"/>
      <c r="B91" s="27" t="s">
        <v>45</v>
      </c>
      <c r="C91" s="45" t="s">
        <v>298</v>
      </c>
      <c r="E91" s="49">
        <v>44173.51185185185</v>
      </c>
    </row>
    <row r="92" hidden="1">
      <c r="A92" s="27"/>
      <c r="B92" s="27" t="s">
        <v>45</v>
      </c>
      <c r="C92" s="45" t="s">
        <v>299</v>
      </c>
      <c r="E92" s="49">
        <v>44173.512349537035</v>
      </c>
    </row>
    <row r="93" hidden="1">
      <c r="A93" s="27"/>
      <c r="B93" s="27" t="s">
        <v>45</v>
      </c>
      <c r="C93" s="45" t="s">
        <v>300</v>
      </c>
      <c r="E93" s="49">
        <v>44173.51284722222</v>
      </c>
    </row>
    <row r="94" hidden="1">
      <c r="A94" s="27"/>
      <c r="B94" s="27" t="s">
        <v>45</v>
      </c>
      <c r="C94" s="45" t="s">
        <v>301</v>
      </c>
      <c r="E94" s="49">
        <v>44173.513391203705</v>
      </c>
    </row>
    <row r="95" hidden="1">
      <c r="A95" s="27"/>
      <c r="B95" s="27" t="s">
        <v>45</v>
      </c>
      <c r="C95" s="45" t="s">
        <v>302</v>
      </c>
      <c r="E95" s="49">
        <v>44173.513865740744</v>
      </c>
    </row>
    <row r="96" hidden="1">
      <c r="A96" s="27"/>
      <c r="B96" s="27" t="s">
        <v>49</v>
      </c>
      <c r="C96" s="45" t="s">
        <v>303</v>
      </c>
      <c r="E96" s="49">
        <v>44173.51634259259</v>
      </c>
    </row>
    <row r="97" hidden="1">
      <c r="A97" s="27"/>
      <c r="B97" s="27" t="s">
        <v>49</v>
      </c>
      <c r="C97" s="45" t="s">
        <v>304</v>
      </c>
      <c r="E97" s="49">
        <v>44173.51726851852</v>
      </c>
    </row>
    <row r="98" hidden="1">
      <c r="A98" s="27"/>
      <c r="B98" s="27" t="s">
        <v>49</v>
      </c>
      <c r="C98" s="45" t="s">
        <v>305</v>
      </c>
      <c r="E98" s="49">
        <v>44173.517743055556</v>
      </c>
    </row>
    <row r="99" hidden="1">
      <c r="A99" s="27"/>
      <c r="B99" s="27" t="s">
        <v>49</v>
      </c>
      <c r="C99" s="45" t="s">
        <v>306</v>
      </c>
      <c r="E99" s="49">
        <v>44173.518217592595</v>
      </c>
    </row>
    <row r="100" hidden="1">
      <c r="A100" s="27"/>
      <c r="B100" s="27" t="s">
        <v>49</v>
      </c>
      <c r="C100" s="45" t="s">
        <v>307</v>
      </c>
      <c r="E100" s="49">
        <v>44173.51872685185</v>
      </c>
    </row>
    <row r="101" hidden="1">
      <c r="A101" s="27"/>
      <c r="B101" s="27" t="s">
        <v>49</v>
      </c>
      <c r="C101" s="45" t="s">
        <v>308</v>
      </c>
      <c r="E101" s="49">
        <v>44173.519224537034</v>
      </c>
    </row>
    <row r="102" hidden="1">
      <c r="A102" s="27"/>
      <c r="B102" s="27" t="s">
        <v>49</v>
      </c>
      <c r="C102" s="45" t="s">
        <v>309</v>
      </c>
      <c r="E102" s="49">
        <v>44173.520902777775</v>
      </c>
    </row>
    <row r="103" hidden="1">
      <c r="A103" s="27"/>
      <c r="B103" s="27" t="s">
        <v>49</v>
      </c>
      <c r="C103" s="45" t="s">
        <v>310</v>
      </c>
      <c r="E103" s="49">
        <v>44173.522835648146</v>
      </c>
    </row>
    <row r="104" hidden="1">
      <c r="A104" s="27"/>
      <c r="B104" s="27" t="s">
        <v>50</v>
      </c>
      <c r="C104" s="45" t="s">
        <v>311</v>
      </c>
      <c r="E104" s="49">
        <v>44173.52390046296</v>
      </c>
    </row>
    <row r="105" hidden="1">
      <c r="A105" s="27"/>
      <c r="B105" s="27" t="s">
        <v>50</v>
      </c>
      <c r="C105" s="45" t="s">
        <v>312</v>
      </c>
      <c r="E105" s="49">
        <v>44173.52447916667</v>
      </c>
    </row>
    <row r="106" hidden="1">
      <c r="A106" s="27"/>
      <c r="B106" s="27" t="s">
        <v>50</v>
      </c>
      <c r="C106" s="45" t="s">
        <v>313</v>
      </c>
      <c r="E106" s="49">
        <v>44173.525046296294</v>
      </c>
    </row>
    <row r="107" hidden="1">
      <c r="A107" s="27"/>
      <c r="B107" s="27" t="s">
        <v>50</v>
      </c>
      <c r="C107" s="45" t="s">
        <v>314</v>
      </c>
      <c r="E107" s="49">
        <v>44173.52552083333</v>
      </c>
    </row>
    <row r="108" hidden="1">
      <c r="A108" s="27"/>
      <c r="B108" s="27" t="s">
        <v>50</v>
      </c>
      <c r="C108" s="45" t="s">
        <v>315</v>
      </c>
      <c r="E108" s="49">
        <v>44173.52601851852</v>
      </c>
    </row>
    <row r="109" hidden="1">
      <c r="A109" s="27"/>
      <c r="B109" s="27" t="s">
        <v>50</v>
      </c>
      <c r="C109" s="45" t="s">
        <v>316</v>
      </c>
      <c r="E109" s="49">
        <v>44173.52648148148</v>
      </c>
    </row>
    <row r="110" hidden="1">
      <c r="A110" s="27"/>
      <c r="B110" s="27" t="s">
        <v>50</v>
      </c>
      <c r="C110" s="45" t="s">
        <v>317</v>
      </c>
      <c r="E110" s="49">
        <v>44173.52695601852</v>
      </c>
    </row>
    <row r="111" hidden="1">
      <c r="A111" s="27"/>
      <c r="B111" s="27" t="s">
        <v>50</v>
      </c>
      <c r="C111" s="45" t="s">
        <v>318</v>
      </c>
      <c r="E111" s="49">
        <v>44173.52747685185</v>
      </c>
    </row>
    <row r="112" hidden="1">
      <c r="A112" s="27"/>
      <c r="B112" s="27" t="s">
        <v>51</v>
      </c>
      <c r="C112" s="45" t="s">
        <v>319</v>
      </c>
      <c r="E112" s="49">
        <v>44173.527974537035</v>
      </c>
    </row>
    <row r="113" hidden="1">
      <c r="A113" s="27"/>
      <c r="B113" s="27" t="s">
        <v>51</v>
      </c>
      <c r="C113" s="45" t="s">
        <v>320</v>
      </c>
      <c r="E113" s="49">
        <v>44173.52842592593</v>
      </c>
    </row>
    <row r="114" hidden="1">
      <c r="A114" s="27"/>
      <c r="B114" s="27" t="s">
        <v>51</v>
      </c>
      <c r="C114" s="45" t="s">
        <v>321</v>
      </c>
      <c r="E114" s="49">
        <v>44173.52892361111</v>
      </c>
    </row>
    <row r="115" hidden="1">
      <c r="A115" s="27"/>
      <c r="B115" s="27" t="s">
        <v>51</v>
      </c>
      <c r="C115" s="45" t="s">
        <v>322</v>
      </c>
      <c r="E115" s="49">
        <v>44173.530810185184</v>
      </c>
    </row>
    <row r="116" hidden="1">
      <c r="A116" s="27"/>
      <c r="B116" s="27" t="s">
        <v>51</v>
      </c>
      <c r="C116" s="45" t="s">
        <v>323</v>
      </c>
      <c r="E116" s="49">
        <v>44173.5312962963</v>
      </c>
    </row>
    <row r="117" hidden="1">
      <c r="A117" s="27"/>
      <c r="B117" s="27" t="s">
        <v>51</v>
      </c>
      <c r="C117" s="45" t="s">
        <v>324</v>
      </c>
      <c r="E117" s="49">
        <v>44173.53318287037</v>
      </c>
    </row>
    <row r="118" hidden="1">
      <c r="A118" s="27"/>
      <c r="B118" s="27" t="s">
        <v>51</v>
      </c>
      <c r="C118" s="45" t="s">
        <v>325</v>
      </c>
      <c r="E118" s="49">
        <v>44173.53365740741</v>
      </c>
    </row>
    <row r="119" hidden="1">
      <c r="A119" s="27"/>
      <c r="B119" s="27" t="s">
        <v>33</v>
      </c>
      <c r="C119" s="50" t="str">
        <f>hyperlink("https://au.indeed.com/viewjob?from=iaBackPress&amp;jk=dc230bcbcdb4be34&amp;vjs=3","Design Engineer")</f>
        <v>Design Engineer</v>
      </c>
      <c r="D119" s="27" t="s">
        <v>326</v>
      </c>
      <c r="E119" s="46">
        <v>44173.95092592593</v>
      </c>
    </row>
    <row r="120" hidden="1">
      <c r="A120" s="27"/>
      <c r="B120" s="27" t="s">
        <v>26</v>
      </c>
      <c r="C120" s="50" t="str">
        <f>hyperlink("https://au.indeed.com/viewjob?from=iaBackPress&amp;jk=b3a323a3b47fca8d&amp;vjs=3","Mechanical Engineer Submariner")</f>
        <v>Mechanical Engineer Submariner</v>
      </c>
      <c r="D120" s="27" t="s">
        <v>327</v>
      </c>
      <c r="E120" s="46">
        <v>44174.50068287037</v>
      </c>
    </row>
    <row r="121" hidden="1">
      <c r="A121" s="27"/>
      <c r="B121" s="27" t="s">
        <v>26</v>
      </c>
      <c r="C121" s="50" t="str">
        <f>hyperlink("https://au.indeed.com/viewjob?from=iaBackPress&amp;jk=c4e076f51cd11864&amp;vjs=3","Mechanical Engineer - Defence University Sponsorship")</f>
        <v>Mechanical Engineer - Defence University Sponsorship</v>
      </c>
      <c r="D121" s="27" t="s">
        <v>327</v>
      </c>
      <c r="E121" s="46">
        <v>44174.501122685186</v>
      </c>
    </row>
    <row r="122" hidden="1">
      <c r="A122" s="27"/>
      <c r="B122" s="27" t="s">
        <v>36</v>
      </c>
      <c r="C122" s="50" t="str">
        <f>hyperlink("https://au.indeed.com/viewjob?from=iaBackPress&amp;jk=2cb9b38cf2cd0070&amp;vjs=3","Senior Infrastructure Engineer - Leading Cloud Services Provider")</f>
        <v>Senior Infrastructure Engineer - Leading Cloud Services Provider</v>
      </c>
      <c r="D122" s="27" t="s">
        <v>328</v>
      </c>
      <c r="E122" s="46">
        <v>44174.50430555556</v>
      </c>
    </row>
    <row r="123" hidden="1">
      <c r="A123" s="27"/>
      <c r="B123" s="27" t="s">
        <v>26</v>
      </c>
      <c r="C123" s="50" t="str">
        <f>hyperlink("https://au.indeed.com/viewjob?from=iaBackPress&amp;jk=a9b0da652c3b5d44&amp;vjs=3","Senior Lead Mechanical Engineer")</f>
        <v>Senior Lead Mechanical Engineer</v>
      </c>
      <c r="D123" s="27" t="s">
        <v>329</v>
      </c>
      <c r="E123" s="51">
        <v>44175.37287037037</v>
      </c>
    </row>
    <row r="124" hidden="1">
      <c r="A124" s="27"/>
      <c r="B124" s="27" t="s">
        <v>33</v>
      </c>
      <c r="C124" s="50" t="str">
        <f>hyperlink("https://au.indeed.com/viewjob?from=iaBackPress&amp;jk=69072debe41f2737&amp;vjs=3","Electrical Design Engineer")</f>
        <v>Electrical Design Engineer</v>
      </c>
      <c r="D124" s="27" t="s">
        <v>330</v>
      </c>
      <c r="E124" s="51">
        <v>44175.37783564815</v>
      </c>
    </row>
    <row r="125" hidden="1">
      <c r="A125" s="27"/>
      <c r="B125" s="27" t="s">
        <v>45</v>
      </c>
      <c r="C125" s="50" t="str">
        <f>hyperlink("https://au.indeed.com/viewjob?from=iaBackPress&amp;jk=8db4920235a060bb&amp;vjs=3","Engineer (Site &amp; Project)")</f>
        <v>Engineer (Site &amp; Project)</v>
      </c>
      <c r="D125" s="27" t="s">
        <v>331</v>
      </c>
      <c r="E125" s="51">
        <v>44175.38222222222</v>
      </c>
    </row>
    <row r="126" hidden="1">
      <c r="A126" s="27"/>
      <c r="B126" s="27" t="s">
        <v>45</v>
      </c>
      <c r="C126" s="50" t="str">
        <f>hyperlink("https://au.indeed.com/viewjob?from=iaBackPress&amp;jk=6c5716cfe2e65ad1&amp;vjs=3","Senior Project Engineer - civil")</f>
        <v>Senior Project Engineer - civil</v>
      </c>
      <c r="D126" s="27" t="s">
        <v>332</v>
      </c>
      <c r="E126" s="51">
        <v>44175.38548611111</v>
      </c>
    </row>
    <row r="127">
      <c r="A127" s="27"/>
      <c r="B127" s="27" t="s">
        <v>51</v>
      </c>
      <c r="C127" s="50" t="str">
        <f>hyperlink("https://au.indeed.com/viewjob?from=iaBackPress&amp;jk=4c2d8cf0d15aca77&amp;vjs=3","Site Engineer")</f>
        <v>Site Engineer</v>
      </c>
      <c r="D127" s="27" t="s">
        <v>333</v>
      </c>
      <c r="E127" s="51">
        <v>44186.591886574075</v>
      </c>
    </row>
    <row r="128">
      <c r="A128" s="27"/>
      <c r="B128" s="27" t="s">
        <v>26</v>
      </c>
      <c r="C128" s="50" t="str">
        <f>hyperlink("https://au.indeed.com/viewjob?from=iaBackPress&amp;jk=01ddcf9cb658a7aa&amp;vjs=3","Mechanical Engineer")</f>
        <v>Mechanical Engineer</v>
      </c>
      <c r="D128" s="27" t="s">
        <v>334</v>
      </c>
      <c r="E128" s="51">
        <v>44186.560590277775</v>
      </c>
    </row>
    <row r="129">
      <c r="A129" s="27"/>
      <c r="B129" s="27" t="s">
        <v>45</v>
      </c>
      <c r="C129" s="50" t="str">
        <f>hyperlink("https://au.indeed.com/viewjob?from=iaBackPress&amp;jk=3ae358bc2594d5c8&amp;vjs=3","Senior Project Engineer - (Northern NSW)")</f>
        <v>Senior Project Engineer - (Northern NSW)</v>
      </c>
      <c r="D129" s="27" t="s">
        <v>335</v>
      </c>
      <c r="E129" s="51">
        <v>44186.57324074074</v>
      </c>
    </row>
    <row r="130">
      <c r="A130" s="27"/>
      <c r="B130" s="27" t="s">
        <v>45</v>
      </c>
      <c r="C130" s="50" t="str">
        <f>hyperlink("https://au.indeed.com/viewjob?from=iaBackPress&amp;jk=8f88ce1149fb00fe&amp;vjs=3","Project Engineer")</f>
        <v>Project Engineer</v>
      </c>
      <c r="D130" s="27" t="s">
        <v>335</v>
      </c>
      <c r="E130" s="51">
        <v>44186.58002314815</v>
      </c>
    </row>
    <row r="131">
      <c r="A131" s="27"/>
      <c r="B131" s="27" t="s">
        <v>45</v>
      </c>
      <c r="C131" s="50" t="str">
        <f>hyperlink("https://au.indeed.com/viewjob?from=iaBackPress&amp;jk=d69bce7a8d7e8fea&amp;vjs=3","Senior Project Engineer - (Seven Hills)")</f>
        <v>Senior Project Engineer - (Seven Hills)</v>
      </c>
      <c r="D131" s="27" t="s">
        <v>335</v>
      </c>
      <c r="E131" s="51">
        <v>44186.58170138889</v>
      </c>
    </row>
    <row r="132">
      <c r="A132" s="27"/>
      <c r="B132" s="27" t="s">
        <v>45</v>
      </c>
      <c r="C132" s="50" t="str">
        <f>hyperlink("https://au.indeed.com/viewjob?from=iaBackPress&amp;jk=b642300cbb6f15b9&amp;vjs=3","Project Engineer - civil")</f>
        <v>Project Engineer - civil</v>
      </c>
      <c r="D132" s="27" t="s">
        <v>332</v>
      </c>
      <c r="E132" s="51">
        <v>44186.58306712963</v>
      </c>
    </row>
    <row r="133">
      <c r="A133" s="27"/>
      <c r="B133" s="27" t="s">
        <v>49</v>
      </c>
      <c r="C133" s="50" t="str">
        <f>hyperlink("https://au.indeed.com/viewjob?from=iaBackPress&amp;jk=44605c6dcc39cac7&amp;vjs=3","Site Reliability Engineer | Python | 100% Remote")</f>
        <v>Site Reliability Engineer | Python | 100% Remote</v>
      </c>
      <c r="D133" s="27" t="s">
        <v>336</v>
      </c>
      <c r="E133" s="51">
        <v>44186.5877662037</v>
      </c>
    </row>
    <row r="134">
      <c r="A134" s="27"/>
      <c r="B134" s="27" t="s">
        <v>45</v>
      </c>
      <c r="C134" s="50" t="str">
        <f>hyperlink("https://au.indeed.com/viewjob?from=iaBackPress&amp;jk=1949f32be146ef3d&amp;vjs=3","Project Engineer")</f>
        <v>Project Engineer</v>
      </c>
      <c r="D134" s="27" t="s">
        <v>337</v>
      </c>
      <c r="E134" s="51">
        <v>44186.576574074075</v>
      </c>
    </row>
    <row r="135">
      <c r="A135" s="27"/>
      <c r="B135" s="27" t="s">
        <v>49</v>
      </c>
      <c r="C135" s="50" t="str">
        <f>hyperlink("https://au.indeed.com/viewjob?from=iaBackPress&amp;jk=02edf59ddb1a3d78&amp;vjs=3","Senior Site Reliability Engineer - Storage")</f>
        <v>Senior Site Reliability Engineer - Storage</v>
      </c>
      <c r="D135" s="27" t="s">
        <v>338</v>
      </c>
      <c r="E135" s="51">
        <v>44186.58384259259</v>
      </c>
    </row>
    <row r="136">
      <c r="A136" s="27"/>
      <c r="B136" s="27" t="s">
        <v>45</v>
      </c>
      <c r="C136" s="50" t="str">
        <f>hyperlink("https://au.indeed.com/viewjob?from=iaBackPress&amp;jk=00519ef2e9d85464&amp;vjs=3","Project Engineer - Track")</f>
        <v>Project Engineer - Track</v>
      </c>
      <c r="D136" s="27" t="s">
        <v>331</v>
      </c>
      <c r="E136" s="51">
        <v>44186.571875</v>
      </c>
    </row>
    <row r="137">
      <c r="A137" s="27"/>
      <c r="B137" s="27" t="s">
        <v>45</v>
      </c>
      <c r="C137" s="50" t="str">
        <f>hyperlink("https://au.indeed.com/viewjob?from=iaBackPress&amp;jk=48789c3bb67f49ac&amp;vjs=3","Services Project Engineer / Coordinator")</f>
        <v>Services Project Engineer / Coordinator</v>
      </c>
      <c r="D137" s="27" t="s">
        <v>331</v>
      </c>
      <c r="E137" s="51">
        <v>44186.576145833336</v>
      </c>
    </row>
    <row r="138">
      <c r="A138" s="27"/>
      <c r="B138" s="27" t="s">
        <v>45</v>
      </c>
      <c r="C138" s="50" t="str">
        <f>hyperlink("https://au.indeed.com/viewjob?from=iaBackPress&amp;jk=9cd870d524d064df&amp;vjs=3","Project Engineer - Stations")</f>
        <v>Project Engineer - Stations</v>
      </c>
      <c r="D138" s="27" t="s">
        <v>331</v>
      </c>
      <c r="E138" s="51">
        <v>44186.57798611111</v>
      </c>
    </row>
    <row r="139">
      <c r="A139" s="27"/>
      <c r="B139" s="27" t="s">
        <v>45</v>
      </c>
      <c r="C139" s="50" t="str">
        <f>hyperlink("https://au.indeed.com/viewjob?from=iaBackPress&amp;jk=49eae43bb03955d4&amp;vjs=3","Senior Project Engineer")</f>
        <v>Senior Project Engineer</v>
      </c>
      <c r="D139" s="27" t="s">
        <v>339</v>
      </c>
      <c r="E139" s="51">
        <v>44186.5737037037</v>
      </c>
    </row>
    <row r="140">
      <c r="A140" s="27"/>
      <c r="B140" s="27" t="s">
        <v>45</v>
      </c>
      <c r="C140" s="50" t="str">
        <f>hyperlink("https://au.indeed.com/viewjob?from=iaBackPress&amp;jk=76ac1343d324189e&amp;vjs=3","Project Engineer")</f>
        <v>Project Engineer</v>
      </c>
      <c r="D140" s="27" t="s">
        <v>340</v>
      </c>
      <c r="E140" s="51">
        <v>44186.57703703704</v>
      </c>
    </row>
    <row r="141">
      <c r="A141" s="27"/>
      <c r="B141" s="27" t="s">
        <v>45</v>
      </c>
      <c r="C141" s="50" t="str">
        <f>hyperlink("https://au.indeed.com/viewjob?from=iaBackPress&amp;jk=7d070519e2b3a61b&amp;vjs=3","Project Manager &amp; Project Engineer | Civil")</f>
        <v>Project Manager &amp; Project Engineer | Civil</v>
      </c>
      <c r="D141" s="27" t="s">
        <v>341</v>
      </c>
      <c r="E141" s="51">
        <v>44186.57879629629</v>
      </c>
    </row>
    <row r="142">
      <c r="A142" s="27"/>
      <c r="B142" s="27" t="s">
        <v>45</v>
      </c>
      <c r="C142" s="50" t="str">
        <f>hyperlink("https://au.indeed.com/viewjob?from=iaBackPress&amp;jk=c305f5ff28f1135e&amp;vjs=3","Site &amp; Project Engineers | Infrastructure and Renewable | NSW DIDO 14/7 roster")</f>
        <v>Site &amp; Project Engineers | Infrastructure and Renewable | NSW DIDO 14/7 roster</v>
      </c>
      <c r="D142" s="27" t="s">
        <v>341</v>
      </c>
      <c r="E142" s="51">
        <v>44186.58116898148</v>
      </c>
    </row>
    <row r="143">
      <c r="A143" s="27"/>
      <c r="B143" s="27" t="s">
        <v>51</v>
      </c>
      <c r="C143" s="50" t="str">
        <f>hyperlink("https://au.indeed.com/viewjob?from=iaBackPress&amp;jk=3716623003404439&amp;vjs=3","Site and Project Engineers | Civil | Western Sydney")</f>
        <v>Site and Project Engineers | Civil | Western Sydney</v>
      </c>
      <c r="D143" s="27" t="s">
        <v>341</v>
      </c>
      <c r="E143" s="51">
        <v>44186.59274305555</v>
      </c>
    </row>
    <row r="144">
      <c r="A144" s="27"/>
      <c r="B144" s="27" t="s">
        <v>45</v>
      </c>
      <c r="C144" s="50" t="str">
        <f>hyperlink("https://au.indeed.com/viewjob?from=iaBackPress&amp;jk=3eea48da5b3614c8&amp;vjs=3","Project engineer")</f>
        <v>Project engineer</v>
      </c>
      <c r="D144" s="27" t="s">
        <v>342</v>
      </c>
      <c r="E144" s="51">
        <v>44186.58210648148</v>
      </c>
    </row>
    <row r="145">
      <c r="A145" s="27"/>
      <c r="B145" s="27" t="s">
        <v>51</v>
      </c>
      <c r="C145" s="50" t="str">
        <f>hyperlink("https://au.indeed.com/viewjob?from=iaBackPress&amp;jk=9c1f2f1a96a2d84c&amp;vjs=3","Site Engineer")</f>
        <v>Site Engineer</v>
      </c>
      <c r="D145" s="27" t="s">
        <v>342</v>
      </c>
      <c r="E145" s="51">
        <v>44186.591145833336</v>
      </c>
    </row>
    <row r="146">
      <c r="A146" s="27"/>
      <c r="B146" s="27" t="s">
        <v>37</v>
      </c>
      <c r="C146" s="50" t="str">
        <f>hyperlink("https://au.indeed.com/viewjob?from=iaBackPress&amp;jk=d5452815a92d2592&amp;vjs=3","Licensed Aircraft Maintenance Engineer-Bell 412, B2")</f>
        <v>Licensed Aircraft Maintenance Engineer-Bell 412, B2</v>
      </c>
      <c r="D146" s="27" t="s">
        <v>343</v>
      </c>
      <c r="E146" s="51">
        <v>44186.56859953704</v>
      </c>
    </row>
    <row r="147">
      <c r="A147" s="27"/>
      <c r="B147" s="27" t="s">
        <v>37</v>
      </c>
      <c r="C147" s="50" t="str">
        <f>hyperlink("https://au.indeed.com/viewjob?from=iaBackPress&amp;jk=daefe1b9fd80fa77&amp;vjs=3","Licensed Aircraft Maintenance Engineer-Citation V (C560)")</f>
        <v>Licensed Aircraft Maintenance Engineer-Citation V (C560)</v>
      </c>
      <c r="D147" s="27" t="s">
        <v>343</v>
      </c>
      <c r="E147" s="51">
        <v>44186.5690625</v>
      </c>
    </row>
    <row r="148">
      <c r="A148" s="27"/>
      <c r="B148" s="27" t="s">
        <v>49</v>
      </c>
      <c r="C148" s="50" t="str">
        <f>hyperlink("https://au.indeed.com/viewjob?from=iaBackPress&amp;jk=c9a5d49c9357af07&amp;vjs=3","Site Reliability Engineer - Endpoint Management")</f>
        <v>Site Reliability Engineer - Endpoint Management</v>
      </c>
      <c r="D148" s="27" t="s">
        <v>344</v>
      </c>
      <c r="E148" s="51">
        <v>44186.585231481484</v>
      </c>
    </row>
    <row r="149">
      <c r="A149" s="27"/>
      <c r="B149" s="27" t="s">
        <v>49</v>
      </c>
      <c r="C149" s="50" t="str">
        <f>hyperlink("https://au.indeed.com/viewjob?from=iaBackPress&amp;jk=3da80f9020d632f3&amp;vjs=3","Senior Site Reliability Engineer - Endpoint Management Consultant")</f>
        <v>Senior Site Reliability Engineer - Endpoint Management Consultant</v>
      </c>
      <c r="D149" s="27" t="s">
        <v>344</v>
      </c>
      <c r="E149" s="51">
        <v>44186.58641203704</v>
      </c>
    </row>
    <row r="150">
      <c r="A150" s="27"/>
      <c r="B150" s="27" t="s">
        <v>26</v>
      </c>
      <c r="C150" s="50" t="str">
        <f>hyperlink("https://au.indeed.com/viewjob?from=iaBackPress&amp;jk=f6646d46461d1851&amp;vjs=3","Principle Mechanical Engineer")</f>
        <v>Principle Mechanical Engineer</v>
      </c>
      <c r="D150" s="27" t="s">
        <v>261</v>
      </c>
      <c r="E150" s="51">
        <v>44186.55987268518</v>
      </c>
    </row>
    <row r="151">
      <c r="A151" s="27"/>
      <c r="B151" s="27" t="s">
        <v>45</v>
      </c>
      <c r="C151" s="50" t="str">
        <f>hyperlink("https://au.indeed.com/viewjob?from=iaBackPress&amp;jk=ce60377aa6d19287&amp;vjs=3","Project Engineer")</f>
        <v>Project Engineer</v>
      </c>
      <c r="D151" s="27" t="s">
        <v>261</v>
      </c>
      <c r="E151" s="51">
        <v>44186.57090277778</v>
      </c>
    </row>
    <row r="152">
      <c r="A152" s="27"/>
      <c r="B152" s="27" t="s">
        <v>45</v>
      </c>
      <c r="C152" s="50" t="str">
        <f>hyperlink("https://au.indeed.com/viewjob?from=iaBackPress&amp;jk=b2eb28c2ecf4406a&amp;vjs=3","Electrical Project Engineer")</f>
        <v>Electrical Project Engineer</v>
      </c>
      <c r="D152" s="27" t="s">
        <v>261</v>
      </c>
      <c r="E152" s="51">
        <v>44186.57232638889</v>
      </c>
    </row>
    <row r="153">
      <c r="A153" s="27"/>
      <c r="B153" s="27" t="s">
        <v>45</v>
      </c>
      <c r="C153" s="50" t="str">
        <f>hyperlink("https://au.indeed.com/viewjob?from=iaBackPress&amp;jk=1df1cac293aedb33&amp;vjs=3","Senior Project Engineer")</f>
        <v>Senior Project Engineer</v>
      </c>
      <c r="D153" s="27" t="s">
        <v>261</v>
      </c>
      <c r="E153" s="51">
        <v>44186.58251157407</v>
      </c>
    </row>
    <row r="154">
      <c r="A154" s="27"/>
      <c r="B154" s="27" t="s">
        <v>45</v>
      </c>
      <c r="C154" s="50" t="str">
        <f>hyperlink("https://au.indeed.com/viewjob?from=iaBackPress&amp;jk=73e076ef1295e687&amp;vjs=3","Electrical Project Engineer")</f>
        <v>Electrical Project Engineer</v>
      </c>
      <c r="D154" s="27" t="s">
        <v>345</v>
      </c>
      <c r="E154" s="51">
        <v>44186.57130787037</v>
      </c>
    </row>
    <row r="155">
      <c r="A155" s="27"/>
      <c r="B155" s="27" t="s">
        <v>45</v>
      </c>
      <c r="C155" s="50" t="str">
        <f>hyperlink("https://au.indeed.com/viewjob?from=iaBackPress&amp;jk=fca7a23a2d8d274f&amp;vjs=3","Mechanical Project Engineer")</f>
        <v>Mechanical Project Engineer</v>
      </c>
      <c r="D155" s="27" t="s">
        <v>345</v>
      </c>
      <c r="E155" s="51">
        <v>44186.5783912037</v>
      </c>
    </row>
    <row r="156">
      <c r="A156" s="27"/>
      <c r="B156" s="27" t="s">
        <v>34</v>
      </c>
      <c r="C156" s="50" t="str">
        <f>hyperlink("https://au.indeed.com/viewjob?from=iaBackPress&amp;jk=7344467d94dea87f&amp;vjs=3","Development Engineer - Fast Track")</f>
        <v>Development Engineer - Fast Track</v>
      </c>
      <c r="D156" s="27" t="s">
        <v>346</v>
      </c>
      <c r="E156" s="51">
        <v>44186.565833333334</v>
      </c>
    </row>
    <row r="157">
      <c r="A157" s="27"/>
      <c r="B157" s="27" t="s">
        <v>26</v>
      </c>
      <c r="C157" s="50" t="str">
        <f>hyperlink("https://au.indeed.com/viewjob?from=iaBackPress&amp;jk=375f43dbe7ab737a&amp;vjs=3","Undergraduate Mechanical Engineer")</f>
        <v>Undergraduate Mechanical Engineer</v>
      </c>
      <c r="D157" s="27" t="s">
        <v>347</v>
      </c>
      <c r="E157" s="51">
        <v>44186.01359953704</v>
      </c>
    </row>
    <row r="158">
      <c r="A158" s="27"/>
      <c r="B158" s="27" t="s">
        <v>42</v>
      </c>
      <c r="C158" s="50" t="str">
        <f>hyperlink("https://au.indeed.com/viewjob?from=iaBackPress&amp;jk=56f0943b8b4d104a&amp;vjs=3","Production Engineer")</f>
        <v>Production Engineer</v>
      </c>
      <c r="D158" s="27" t="s">
        <v>348</v>
      </c>
      <c r="E158" s="51">
        <v>44186.57019675926</v>
      </c>
    </row>
    <row r="159">
      <c r="A159" s="27"/>
      <c r="B159" s="27" t="s">
        <v>51</v>
      </c>
      <c r="C159" s="50" t="str">
        <f>hyperlink("https://au.indeed.com/viewjob?from=iaBackPress&amp;jk=cf34d8548bedaf67&amp;vjs=3","Site Engineer")</f>
        <v>Site Engineer</v>
      </c>
      <c r="D159" s="27" t="s">
        <v>349</v>
      </c>
      <c r="E159" s="51">
        <v>44186.59232638889</v>
      </c>
    </row>
    <row r="160">
      <c r="A160" s="27"/>
      <c r="B160" s="27" t="s">
        <v>34</v>
      </c>
      <c r="C160" s="50" t="str">
        <f>hyperlink("https://au.indeed.com/viewjob?from=iaBackPress&amp;jk=921a680333363494&amp;vjs=3","Senior Software Development Engineer in Test")</f>
        <v>Senior Software Development Engineer in Test</v>
      </c>
      <c r="D160" s="27" t="s">
        <v>350</v>
      </c>
      <c r="E160" s="51">
        <v>44186.565254629626</v>
      </c>
    </row>
    <row r="161">
      <c r="A161" s="27"/>
      <c r="B161" s="27" t="s">
        <v>26</v>
      </c>
      <c r="C161" s="50" t="str">
        <f>hyperlink("https://au.indeed.com/viewjob?from=iaBackPress&amp;jk=e70f1930594875fe&amp;vjs=3","Hands On Mechanical Engineer")</f>
        <v>Hands On Mechanical Engineer</v>
      </c>
      <c r="D161" s="27" t="s">
        <v>351</v>
      </c>
      <c r="E161" s="51">
        <v>44186.5594212963</v>
      </c>
    </row>
    <row r="162">
      <c r="A162" s="27"/>
      <c r="B162" s="27" t="s">
        <v>50</v>
      </c>
      <c r="C162" s="50" t="str">
        <f>hyperlink("https://au.indeed.com/viewjob?from=iaBackPress&amp;jk=a9b8a748b30d1a73&amp;vjs=3","Services Engineer / Manager")</f>
        <v>Services Engineer / Manager</v>
      </c>
      <c r="D162" s="27" t="s">
        <v>352</v>
      </c>
      <c r="E162" s="51">
        <v>44186.588738425926</v>
      </c>
    </row>
    <row r="163">
      <c r="A163" s="27"/>
      <c r="B163" s="27" t="s">
        <v>33</v>
      </c>
      <c r="C163" s="50" t="str">
        <f>hyperlink("https://au.indeed.com/viewjob?from=iaBackPress&amp;jk=62cb103c21f8ce1b&amp;vjs=3","Project Design Engineer")</f>
        <v>Project Design Engineer</v>
      </c>
      <c r="D163" s="27" t="s">
        <v>353</v>
      </c>
      <c r="E163" s="51">
        <v>44186.564108796294</v>
      </c>
    </row>
    <row r="164">
      <c r="A164" s="27"/>
      <c r="B164" s="27" t="s">
        <v>49</v>
      </c>
      <c r="C164" s="50" t="str">
        <f>hyperlink("https://au.indeed.com/viewjob?from=iaBackPress&amp;jk=31c3ba680bbcbe28&amp;vjs=3","Site Reliability Engineer")</f>
        <v>Site Reliability Engineer</v>
      </c>
      <c r="D164" s="27" t="s">
        <v>354</v>
      </c>
      <c r="E164" s="51">
        <v>44186.58480324074</v>
      </c>
    </row>
    <row r="165">
      <c r="A165" s="27"/>
      <c r="B165" s="27" t="s">
        <v>49</v>
      </c>
      <c r="C165" s="50" t="str">
        <f>hyperlink("https://au.indeed.com/viewjob?from=iaBackPress&amp;jk=f5b8921533ff29af&amp;vjs=3","Lead Site Reliability Engineer (SRE)")</f>
        <v>Lead Site Reliability Engineer (SRE)</v>
      </c>
      <c r="D165" s="27" t="s">
        <v>355</v>
      </c>
      <c r="E165" s="51">
        <v>44186.58697916667</v>
      </c>
    </row>
    <row r="166">
      <c r="A166" s="27"/>
      <c r="B166" s="27" t="s">
        <v>26</v>
      </c>
      <c r="C166" s="50" t="str">
        <f>hyperlink("https://au.indeed.com/viewjob?from=iaBackPress&amp;jk=6619e0114adad1d1&amp;vjs=3","Mechanical Engineer")</f>
        <v>Mechanical Engineer</v>
      </c>
      <c r="D166" s="27" t="s">
        <v>356</v>
      </c>
      <c r="E166" s="51">
        <v>44186.01590277778</v>
      </c>
    </row>
    <row r="167">
      <c r="A167" s="27"/>
      <c r="B167" s="27" t="s">
        <v>26</v>
      </c>
      <c r="C167" s="50" t="str">
        <f>hyperlink("https://au.indeed.com/viewjob?from=iaBackPress&amp;jk=7dc77672ea1634c8&amp;vjs=3","Senior Lead Mechanical Engineer")</f>
        <v>Senior Lead Mechanical Engineer</v>
      </c>
      <c r="D167" s="27" t="s">
        <v>329</v>
      </c>
      <c r="E167" s="51">
        <v>44186.558958333335</v>
      </c>
    </row>
    <row r="168">
      <c r="A168" s="27"/>
      <c r="B168" s="27" t="s">
        <v>50</v>
      </c>
      <c r="C168" s="50" t="str">
        <f>hyperlink("https://au.indeed.com/viewjob?from=iaBackPress&amp;jk=961a18ea1c1639b5&amp;vjs=3","Fire Services Engineer")</f>
        <v>Fire Services Engineer</v>
      </c>
      <c r="D168" s="27" t="s">
        <v>357</v>
      </c>
      <c r="E168" s="51">
        <v>44186.59023148148</v>
      </c>
    </row>
    <row r="169">
      <c r="A169" s="27"/>
      <c r="B169" s="27" t="s">
        <v>49</v>
      </c>
      <c r="C169" s="50" t="str">
        <f>hyperlink("https://au.indeed.com/viewjob?from=iaBackPress&amp;jk=1e7c8ccdb950da6a&amp;vjs=3","SITE RELIABILITY ENGINEER / SENIOR SOFTWARE DEVELOPER ( PYTHON FOCUSED)")</f>
        <v>SITE RELIABILITY ENGINEER / SENIOR SOFTWARE DEVELOPER ( PYTHON FOCUSED)</v>
      </c>
      <c r="D169" s="27" t="s">
        <v>358</v>
      </c>
      <c r="E169" s="51">
        <v>44186.58824074074</v>
      </c>
    </row>
    <row r="170">
      <c r="A170" s="27"/>
      <c r="B170" s="27" t="s">
        <v>33</v>
      </c>
      <c r="C170" s="50" t="str">
        <f>hyperlink("https://au.indeed.com/viewjob?from=iaBackPress&amp;jk=33335defd95b0b90&amp;vjs=3","Design Engineer")</f>
        <v>Design Engineer</v>
      </c>
      <c r="D170" s="27" t="s">
        <v>359</v>
      </c>
      <c r="E170" s="51">
        <v>44186.56239583333</v>
      </c>
    </row>
    <row r="171">
      <c r="A171" s="27"/>
      <c r="B171" s="27" t="s">
        <v>45</v>
      </c>
      <c r="C171" s="50" t="str">
        <f>hyperlink("https://au.indeed.com/viewjob?from=iaBackPress&amp;jk=3377a43713fe3bda&amp;vjs=3","Project Engineer")</f>
        <v>Project Engineer</v>
      </c>
      <c r="D171" s="27" t="s">
        <v>360</v>
      </c>
      <c r="E171" s="51">
        <v>44186.575740740744</v>
      </c>
    </row>
    <row r="172">
      <c r="A172" s="27"/>
      <c r="B172" s="27" t="s">
        <v>45</v>
      </c>
      <c r="C172" s="50" t="str">
        <f>hyperlink("https://au.indeed.com/viewjob?from=iaBackPress&amp;jk=37483abb3f1464d6&amp;vjs=3","Project Engineer")</f>
        <v>Project Engineer</v>
      </c>
      <c r="D172" s="27" t="s">
        <v>360</v>
      </c>
      <c r="E172" s="51">
        <v>44186.579375</v>
      </c>
    </row>
    <row r="173">
      <c r="A173" s="27"/>
      <c r="B173" s="27" t="s">
        <v>50</v>
      </c>
      <c r="C173" s="50" t="str">
        <f>hyperlink("https://au.indeed.com/viewjob?from=iaBackPress&amp;jk=a5c3625418ff39a4&amp;vjs=3","Senior Technical Services Engineer")</f>
        <v>Senior Technical Services Engineer</v>
      </c>
      <c r="D173" s="27" t="s">
        <v>361</v>
      </c>
      <c r="E173" s="51">
        <v>44186.58954861111</v>
      </c>
    </row>
    <row r="174">
      <c r="A174" s="27"/>
      <c r="B174" s="27" t="s">
        <v>36</v>
      </c>
      <c r="C174" s="50" t="str">
        <f>hyperlink("https://au.indeed.com/viewjob?from=iaBackPress&amp;jk=948ad2baa8e72e26&amp;vjs=3","Senior Infrastructure Engineer")</f>
        <v>Senior Infrastructure Engineer</v>
      </c>
      <c r="D174" s="27" t="s">
        <v>362</v>
      </c>
      <c r="E174" s="51">
        <v>44186.56728009259</v>
      </c>
    </row>
    <row r="175">
      <c r="A175" s="27"/>
      <c r="B175" s="27" t="s">
        <v>26</v>
      </c>
      <c r="C175" s="50" t="str">
        <f>hyperlink("https://au.indeed.com/viewjob?from=iaBackPress&amp;jk=e97553ec23fb1706&amp;vjs=3","Mechanical Engineer - Lead role")</f>
        <v>Mechanical Engineer - Lead role</v>
      </c>
      <c r="D175" s="27" t="s">
        <v>363</v>
      </c>
      <c r="E175" s="51">
        <v>44188.74070601852</v>
      </c>
    </row>
    <row r="176">
      <c r="A176" s="27"/>
      <c r="B176" s="27" t="s">
        <v>32</v>
      </c>
      <c r="C176" s="50" t="str">
        <f>hyperlink("https://au.indeed.com/viewjob?from=iaBackPress&amp;jk=6b4bf03830e361fd&amp;vjs=3","Asset Engineer")</f>
        <v>Asset Engineer</v>
      </c>
      <c r="D176" s="27" t="s">
        <v>346</v>
      </c>
      <c r="E176" s="51">
        <v>44189.540347222224</v>
      </c>
    </row>
    <row r="177">
      <c r="A177" s="27"/>
      <c r="B177" s="27" t="s">
        <v>33</v>
      </c>
      <c r="C177" s="50" t="str">
        <f>hyperlink("https://au.indeed.com/viewjob?from=iaBackPress&amp;jk=8b0082cbb4e6c25a&amp;vjs=3","Senior SAED Design Engineer")</f>
        <v>Senior SAED Design Engineer</v>
      </c>
      <c r="D177" s="27" t="s">
        <v>364</v>
      </c>
      <c r="E177" s="51">
        <v>44189.70569444444</v>
      </c>
    </row>
    <row r="178">
      <c r="A178" s="27"/>
      <c r="B178" s="27" t="s">
        <v>33</v>
      </c>
      <c r="C178" s="50" t="str">
        <f>hyperlink("https://au.indeed.com/viewjob?from=iaBackPress&amp;jk=0511c6c669659e5e&amp;vjs=3","Civil Design Engineer")</f>
        <v>Civil Design Engineer</v>
      </c>
      <c r="D178" s="27" t="s">
        <v>365</v>
      </c>
      <c r="E178" s="51">
        <v>44189.70633101852</v>
      </c>
    </row>
    <row r="179">
      <c r="A179" s="27"/>
      <c r="B179" s="27" t="s">
        <v>35</v>
      </c>
      <c r="C179" s="50" t="str">
        <f>hyperlink("https://au.indeed.com/viewjob?from=iaBackPress&amp;jk=082b6958466ca9aa&amp;vjs=3","Industrial Engineer")</f>
        <v>Industrial Engineer</v>
      </c>
      <c r="D179" s="27" t="s">
        <v>366</v>
      </c>
      <c r="E179" s="51">
        <v>44189.71128472222</v>
      </c>
    </row>
    <row r="180">
      <c r="A180" s="27"/>
      <c r="B180" s="27" t="s">
        <v>36</v>
      </c>
      <c r="C180" s="50" t="str">
        <f>hyperlink("https://au.indeed.com/viewjob?from=iaBackPress&amp;jk=535f334bf6c0c641&amp;vjs=3","CT Senior Infrastructure Engineer")</f>
        <v>CT Senior Infrastructure Engineer</v>
      </c>
      <c r="D180" s="27" t="s">
        <v>367</v>
      </c>
      <c r="E180" s="51">
        <v>44189.71266203704</v>
      </c>
    </row>
    <row r="181">
      <c r="A181" s="27"/>
      <c r="B181" s="27" t="s">
        <v>41</v>
      </c>
      <c r="C181" s="50" t="str">
        <f>hyperlink("https://au.indeed.com/viewjob?from=iaBackPress&amp;jk=d56ee77bb1dc0221&amp;vjs=3","Process Engineer")</f>
        <v>Process Engineer</v>
      </c>
      <c r="D181" s="27" t="s">
        <v>368</v>
      </c>
      <c r="E181" s="51">
        <v>44189.715162037035</v>
      </c>
    </row>
    <row r="182">
      <c r="A182" s="27"/>
      <c r="B182" s="27" t="s">
        <v>41</v>
      </c>
      <c r="C182" s="50" t="str">
        <f>hyperlink("https://au.indeed.com/viewjob?from=iaBackPress&amp;jk=7dac59fb25933732&amp;vjs=3","Process Engineer")</f>
        <v>Process Engineer</v>
      </c>
      <c r="D182" s="27" t="s">
        <v>369</v>
      </c>
      <c r="E182" s="51">
        <v>44189.71560185185</v>
      </c>
    </row>
    <row r="183">
      <c r="A183" s="27"/>
      <c r="B183" s="27" t="s">
        <v>42</v>
      </c>
      <c r="C183" s="50" t="str">
        <f>hyperlink("https://au.indeed.com/viewjob?from=iaBackPress&amp;jk=d57d405724da108f&amp;vjs=3","Industrial Production Engineer")</f>
        <v>Industrial Production Engineer</v>
      </c>
      <c r="D183" s="27" t="s">
        <v>370</v>
      </c>
      <c r="E183" s="51">
        <v>44189.71633101852</v>
      </c>
    </row>
    <row r="184">
      <c r="A184" s="27"/>
      <c r="B184" s="27" t="s">
        <v>45</v>
      </c>
      <c r="C184" s="50" t="str">
        <f>hyperlink("https://au.indeed.com/viewjob?from=iaBackPress&amp;jk=36634744cbf1abfe&amp;vjs=3","Project Engineer - Water Infrastructure")</f>
        <v>Project Engineer - Water Infrastructure</v>
      </c>
      <c r="D184" s="27" t="s">
        <v>371</v>
      </c>
      <c r="E184" s="51">
        <v>44189.717141203706</v>
      </c>
    </row>
    <row r="185">
      <c r="A185" s="27"/>
      <c r="B185" s="27" t="s">
        <v>49</v>
      </c>
      <c r="C185" s="50" t="str">
        <f>hyperlink("https://au.indeed.com/viewjob?from=iaBackPress&amp;jk=61a8c24d2c7b1e79&amp;vjs=3","Site Reliability Engineer")</f>
        <v>Site Reliability Engineer</v>
      </c>
      <c r="D185" s="27" t="s">
        <v>372</v>
      </c>
      <c r="E185" s="51">
        <v>44189.72645833333</v>
      </c>
    </row>
    <row r="186">
      <c r="A186" s="27"/>
      <c r="B186" s="27" t="s">
        <v>51</v>
      </c>
      <c r="C186" s="50" t="str">
        <f>hyperlink("https://au.indeed.com/viewjob?from=iaBackPress&amp;jk=0c394fdc12c06e90&amp;vjs=3","Contracts Administrator / Site Engineer")</f>
        <v>Contracts Administrator / Site Engineer</v>
      </c>
      <c r="D186" s="27" t="s">
        <v>373</v>
      </c>
      <c r="E186" s="51">
        <v>44189.73068287037</v>
      </c>
    </row>
    <row r="187">
      <c r="A187" s="27"/>
      <c r="B187" s="27" t="s">
        <v>26</v>
      </c>
      <c r="C187" s="50" t="str">
        <f>hyperlink("https://au.indeed.com/viewjob?from=iaBackPress&amp;jk=8955ae96424cef68&amp;vjs=3","Mechanical Engineer | Mission Critical")</f>
        <v>Mechanical Engineer | Mission Critical</v>
      </c>
      <c r="D187" s="27" t="s">
        <v>374</v>
      </c>
      <c r="E187" s="46">
        <v>44202.361030092594</v>
      </c>
    </row>
    <row r="188">
      <c r="A188" s="27"/>
      <c r="B188" s="27" t="s">
        <v>26</v>
      </c>
      <c r="C188" s="50" t="str">
        <f>hyperlink("https://au.indeed.com/viewjob?from=iaBackPress&amp;jk=08f72bf5afe14ac1&amp;vjs=3","Mechanical Engineer | Building Services")</f>
        <v>Mechanical Engineer | Building Services</v>
      </c>
      <c r="D188" s="27" t="s">
        <v>261</v>
      </c>
      <c r="E188" s="46">
        <v>44202.361875</v>
      </c>
    </row>
    <row r="189">
      <c r="A189" s="27"/>
      <c r="B189" s="27" t="s">
        <v>26</v>
      </c>
      <c r="C189" s="50" t="str">
        <f>hyperlink("https://au.indeed.com/viewjob?from=iaBackPress&amp;jk=e357d022b60c27f7&amp;vjs=3","Senior Lead Mechanical Engineer")</f>
        <v>Senior Lead Mechanical Engineer</v>
      </c>
      <c r="D189" s="27" t="s">
        <v>329</v>
      </c>
      <c r="E189" s="46">
        <v>44202.36236111111</v>
      </c>
    </row>
    <row r="190">
      <c r="A190" s="27"/>
      <c r="B190" s="27" t="s">
        <v>33</v>
      </c>
      <c r="C190" s="50" t="str">
        <f>hyperlink("https://au.indeed.com/viewjob?from=iaBackPress&amp;jk=af61a5dc3e4afc29&amp;vjs=3","Civil Design Engineer")</f>
        <v>Civil Design Engineer</v>
      </c>
      <c r="D190" s="27" t="s">
        <v>346</v>
      </c>
      <c r="E190" s="46">
        <v>44202.36366898148</v>
      </c>
    </row>
    <row r="191">
      <c r="A191" s="27"/>
      <c r="B191" s="27" t="s">
        <v>33</v>
      </c>
      <c r="C191" s="50" t="str">
        <f>hyperlink("https://au.indeed.com/viewjob?from=iaBackPress&amp;jk=90b85e9797cbef29&amp;vjs=3","Mechanical Design Engineer")</f>
        <v>Mechanical Design Engineer</v>
      </c>
      <c r="D191" s="27" t="s">
        <v>375</v>
      </c>
      <c r="E191" s="46">
        <v>44202.36444444444</v>
      </c>
    </row>
    <row r="192">
      <c r="A192" s="27"/>
      <c r="B192" s="27" t="s">
        <v>45</v>
      </c>
      <c r="C192" s="50" t="str">
        <f>hyperlink("https://au.indeed.com/viewjob?from=iaBackPress&amp;jk=3e5686c694d834ec&amp;vjs=3","Project Engineer (Defence)")</f>
        <v>Project Engineer (Defence)</v>
      </c>
      <c r="D192" s="27" t="s">
        <v>376</v>
      </c>
      <c r="E192" s="46">
        <v>44202.36785879629</v>
      </c>
    </row>
    <row r="193">
      <c r="A193" s="27"/>
      <c r="B193" s="27" t="s">
        <v>45</v>
      </c>
      <c r="C193" s="50" t="str">
        <f>hyperlink("https://au.indeed.com/viewjob?from=iaBackPress&amp;jk=ea6982fd9db5f1ec&amp;vjs=3","Project Engineer")</f>
        <v>Project Engineer</v>
      </c>
      <c r="D193" s="27" t="s">
        <v>377</v>
      </c>
      <c r="E193" s="46">
        <v>44202.36832175926</v>
      </c>
    </row>
    <row r="194">
      <c r="A194" s="27"/>
      <c r="B194" s="27" t="s">
        <v>26</v>
      </c>
      <c r="C194" s="50" t="str">
        <f>hyperlink("https://au.indeed.com/viewjob?from=iaBackPress&amp;jk=d01888f334a8de3f&amp;vjs=3","Mechanical Engineer")</f>
        <v>Mechanical Engineer</v>
      </c>
      <c r="D194" s="27" t="s">
        <v>378</v>
      </c>
      <c r="E194" s="46">
        <v>44209.72445601852</v>
      </c>
    </row>
    <row r="195">
      <c r="A195" s="27"/>
      <c r="B195" s="27" t="s">
        <v>26</v>
      </c>
      <c r="C195" s="50" t="str">
        <f>hyperlink("https://au.indeed.com/viewjob?from=iaBackPress&amp;jk=e7a8d09dba9d088f&amp;vjs=3","Senior Lead Mechanical Engineer")</f>
        <v>Senior Lead Mechanical Engineer</v>
      </c>
      <c r="D195" s="27" t="s">
        <v>329</v>
      </c>
      <c r="E195" s="46">
        <v>44209.72483796296</v>
      </c>
    </row>
    <row r="196">
      <c r="A196" s="27"/>
      <c r="B196" s="27" t="s">
        <v>26</v>
      </c>
      <c r="C196" s="50" t="str">
        <f>hyperlink("https://au.indeed.com/viewjob?from=iaBackPress&amp;jk=fe430dfde63944f1&amp;vjs=3","Senior / Associate Mechanical Engineer")</f>
        <v>Senior / Associate Mechanical Engineer</v>
      </c>
      <c r="D196" s="27" t="s">
        <v>357</v>
      </c>
      <c r="E196" s="46">
        <v>44209.72969907407</v>
      </c>
    </row>
    <row r="197">
      <c r="A197" s="27"/>
      <c r="B197" s="27" t="s">
        <v>26</v>
      </c>
      <c r="C197" s="50" t="str">
        <f>hyperlink("https://au.indeed.com/viewjob?from=iaBackPress&amp;jk=3b14489d9d923ddf&amp;vjs=3","Senior Mechanical Commissioning Engineer")</f>
        <v>Senior Mechanical Commissioning Engineer</v>
      </c>
      <c r="D197" s="27" t="s">
        <v>329</v>
      </c>
      <c r="E197" s="46">
        <v>44209.73012731481</v>
      </c>
    </row>
    <row r="198">
      <c r="A198" s="27"/>
      <c r="B198" s="27" t="s">
        <v>26</v>
      </c>
      <c r="C198" s="50" t="str">
        <f>hyperlink("https://au.indeed.com/viewjob?from=iaBackPress&amp;jk=e6ec9dbf9e92370c&amp;vjs=3","Electrical / Mechanical - Service Engineer")</f>
        <v>Electrical / Mechanical - Service Engineer</v>
      </c>
      <c r="D198" s="27" t="s">
        <v>379</v>
      </c>
      <c r="E198" s="46">
        <v>44209.73144675926</v>
      </c>
    </row>
    <row r="199">
      <c r="A199" s="27"/>
      <c r="B199" s="27" t="s">
        <v>26</v>
      </c>
      <c r="C199" s="50" t="str">
        <f>hyperlink("https://au.indeed.com/viewjob?from=iaBackPress&amp;jk=07467dbe2737ed3c&amp;vjs=3","Mechanical Design Engineer")</f>
        <v>Mechanical Design Engineer</v>
      </c>
      <c r="D199" s="27" t="s">
        <v>380</v>
      </c>
      <c r="E199" s="46">
        <v>44209.731875</v>
      </c>
    </row>
    <row r="200">
      <c r="A200" s="27"/>
      <c r="B200" s="27" t="s">
        <v>26</v>
      </c>
      <c r="C200" s="50" t="str">
        <f>hyperlink("https://au.indeed.com/viewjob?from=iaBackPress&amp;jk=cb4749132521326f&amp;vjs=3","Mechanical Engineer")</f>
        <v>Mechanical Engineer</v>
      </c>
      <c r="D200" s="27" t="s">
        <v>381</v>
      </c>
      <c r="E200" s="46">
        <v>44209.732407407406</v>
      </c>
    </row>
    <row r="201">
      <c r="A201" s="27"/>
      <c r="B201" s="27" t="s">
        <v>26</v>
      </c>
      <c r="C201" s="50" t="str">
        <f>hyperlink("https://au.indeed.com/viewjob?from=iaBackPress&amp;jk=43d414c3a7348e52&amp;vjs=3","Mechanical/Electrical Engineer Full-Time")</f>
        <v>Mechanical/Electrical Engineer Full-Time</v>
      </c>
      <c r="D201" s="27" t="s">
        <v>382</v>
      </c>
      <c r="E201" s="46">
        <v>44209.73324074074</v>
      </c>
    </row>
    <row r="202">
      <c r="A202" s="27"/>
      <c r="B202" s="27" t="s">
        <v>26</v>
      </c>
      <c r="C202" s="50" t="str">
        <f>hyperlink("https://au.indeed.com/viewjob?from=iaBackPress&amp;jk=19d57a0b64a6fb49&amp;vjs=3","Senior Mechanical Engineer")</f>
        <v>Senior Mechanical Engineer</v>
      </c>
      <c r="D202" s="27" t="s">
        <v>357</v>
      </c>
      <c r="E202" s="46">
        <v>44209.735983796294</v>
      </c>
    </row>
    <row r="203">
      <c r="A203" s="27"/>
      <c r="B203" s="27" t="s">
        <v>26</v>
      </c>
      <c r="C203" s="50" t="str">
        <f>hyperlink("https://au.indeed.com/viewjob?from=iaBackPress&amp;jk=6a1090073c60b239&amp;vjs=3","Principal Mechanical Engineer")</f>
        <v>Principal Mechanical Engineer</v>
      </c>
      <c r="D203" s="27" t="s">
        <v>383</v>
      </c>
      <c r="E203" s="46">
        <v>44209.73643518519</v>
      </c>
    </row>
    <row r="204">
      <c r="A204" s="27"/>
      <c r="B204" s="27" t="s">
        <v>26</v>
      </c>
      <c r="C204" s="50" t="str">
        <f>hyperlink("https://au.indeed.com/viewjob?from=iaBackPress&amp;jk=ca4c2fa2b13eba84&amp;vjs=3","Building Services Engineers - Mechanical, Electrical, Hydraulic, Fire and ESD.")</f>
        <v>Building Services Engineers - Mechanical, Electrical, Hydraulic, Fire and ESD.</v>
      </c>
      <c r="D204" s="27" t="s">
        <v>383</v>
      </c>
      <c r="E204" s="46">
        <v>44209.737337962964</v>
      </c>
    </row>
    <row r="205">
      <c r="A205" s="27"/>
      <c r="B205" s="27" t="s">
        <v>32</v>
      </c>
      <c r="C205" s="50" t="str">
        <f>hyperlink("https://au.indeed.com/viewjob?from=iaBackPress&amp;jk=6dae6e750e1b4917&amp;vjs=3","Graduate Asset Engineer")</f>
        <v>Graduate Asset Engineer</v>
      </c>
      <c r="D205" s="27" t="s">
        <v>353</v>
      </c>
      <c r="E205" s="46">
        <v>44209.7377662037</v>
      </c>
    </row>
    <row r="206">
      <c r="A206" s="27"/>
      <c r="B206" s="27" t="s">
        <v>32</v>
      </c>
      <c r="C206" s="50" t="str">
        <f>hyperlink("https://au.indeed.com/viewjob?from=iaBackPress&amp;jk=b43a9c10fe7763f5&amp;vjs=3","Senior Structural Engineer | Asset Management| Sydney CBD")</f>
        <v>Senior Structural Engineer | Asset Management| Sydney CBD</v>
      </c>
      <c r="D206" s="27" t="s">
        <v>384</v>
      </c>
      <c r="E206" s="46">
        <v>44209.73818287037</v>
      </c>
    </row>
    <row r="207">
      <c r="A207" s="27"/>
      <c r="B207" s="27" t="s">
        <v>33</v>
      </c>
      <c r="C207" s="50" t="str">
        <f>hyperlink("https://au.indeed.com/viewjob?from=iaBackPress&amp;jk=43cc0a961fa07a80&amp;vjs=3","Product Design Engineer")</f>
        <v>Product Design Engineer</v>
      </c>
      <c r="D207" s="27" t="s">
        <v>385</v>
      </c>
      <c r="E207" s="46">
        <v>44209.739907407406</v>
      </c>
    </row>
    <row r="208">
      <c r="A208" s="27"/>
      <c r="B208" s="27" t="s">
        <v>33</v>
      </c>
      <c r="C208" s="50" t="str">
        <f>hyperlink("https://au.indeed.com/viewjob?from=iaBackPress&amp;jk=354c690b8d654423&amp;vjs=3","Hydraulic Design Engineer")</f>
        <v>Hydraulic Design Engineer</v>
      </c>
      <c r="D208" s="27" t="s">
        <v>383</v>
      </c>
      <c r="E208" s="46">
        <v>44209.74087962963</v>
      </c>
    </row>
    <row r="209">
      <c r="A209" s="27"/>
      <c r="B209" s="27" t="s">
        <v>33</v>
      </c>
      <c r="C209" s="50" t="str">
        <f>hyperlink("https://au.indeed.com/viewjob?from=iaBackPress&amp;jk=25ca2e021970a7fc&amp;vjs=3","Structural Design Engineers - Buildings &amp; Bridges - Perth Based")</f>
        <v>Structural Design Engineers - Buildings &amp; Bridges - Perth Based</v>
      </c>
      <c r="D209" s="27" t="s">
        <v>386</v>
      </c>
      <c r="E209" s="46">
        <v>44209.74222222222</v>
      </c>
    </row>
    <row r="210">
      <c r="A210" s="27"/>
      <c r="B210" s="27" t="s">
        <v>33</v>
      </c>
      <c r="C210" s="50" t="str">
        <f>hyperlink("https://au.indeed.com/viewjob?from=iaBackPress&amp;jk=f39733eececb8f0b&amp;vjs=3","Engineer - HVAC Projects &amp; Design")</f>
        <v>Engineer - HVAC Projects &amp; Design</v>
      </c>
      <c r="D210" s="27" t="s">
        <v>387</v>
      </c>
      <c r="E210" s="46">
        <v>44209.74277777778</v>
      </c>
    </row>
    <row r="211">
      <c r="A211" s="27"/>
      <c r="B211" s="27" t="s">
        <v>33</v>
      </c>
      <c r="C211" s="50" t="str">
        <f>hyperlink("https://au.indeed.com/viewjob?from=iaBackPress&amp;jk=a181559b1bc7d826&amp;vjs=3","Formwork Design Engineer")</f>
        <v>Formwork Design Engineer</v>
      </c>
      <c r="D211" s="27" t="s">
        <v>388</v>
      </c>
      <c r="E211" s="46">
        <v>44209.743576388886</v>
      </c>
    </row>
    <row r="212">
      <c r="A212" s="27"/>
      <c r="B212" s="27" t="s">
        <v>33</v>
      </c>
      <c r="C212" s="50" t="str">
        <f>hyperlink("https://au.indeed.com/viewjob?from=iaBackPress&amp;jk=73aa6bd2556fce51&amp;vjs=3","Hydraulic Design Engineer")</f>
        <v>Hydraulic Design Engineer</v>
      </c>
      <c r="D212" s="27" t="s">
        <v>383</v>
      </c>
      <c r="E212" s="46">
        <v>44209.744166666664</v>
      </c>
    </row>
    <row r="213">
      <c r="A213" s="27"/>
      <c r="B213" s="27" t="s">
        <v>33</v>
      </c>
      <c r="C213" s="50" t="str">
        <f>hyperlink("https://au.indeed.com/viewjob?from=iaBackPress&amp;jk=af339c5783dc660c&amp;vjs=3","Senior UI Design Technologist/Design Systems Engineer")</f>
        <v>Senior UI Design Technologist/Design Systems Engineer</v>
      </c>
      <c r="D213" s="27" t="s">
        <v>389</v>
      </c>
      <c r="E213" s="46">
        <v>44209.748078703706</v>
      </c>
    </row>
    <row r="214">
      <c r="A214" s="27"/>
      <c r="B214" s="27" t="s">
        <v>34</v>
      </c>
      <c r="C214" s="50" t="str">
        <f>hyperlink("https://au.indeed.com/viewjob?from=iaBackPress&amp;jk=9a95468a94c892fd&amp;vjs=3","Business Development Manager / Sales Engineer")</f>
        <v>Business Development Manager / Sales Engineer</v>
      </c>
      <c r="D214" s="27" t="s">
        <v>390</v>
      </c>
      <c r="E214" s="46">
        <v>44209.750925925924</v>
      </c>
    </row>
    <row r="215">
      <c r="A215" s="27"/>
      <c r="B215" s="27" t="s">
        <v>34</v>
      </c>
      <c r="C215" s="50" t="str">
        <f>hyperlink("https://au.indeed.com/viewjob?from=iaBackPress&amp;jk=14be0c44cac6cd0d&amp;vjs=3","Systems Engineer - Automation | Application Development")</f>
        <v>Systems Engineer - Automation | Application Development</v>
      </c>
      <c r="D215" s="27" t="s">
        <v>391</v>
      </c>
      <c r="E215" s="46">
        <v>44209.75268518519</v>
      </c>
    </row>
    <row r="216">
      <c r="A216" s="27"/>
      <c r="B216" s="27" t="s">
        <v>36</v>
      </c>
      <c r="C216" s="50" t="str">
        <f>hyperlink("https://au.indeed.com/viewjob?from=iaBackPress&amp;jk=c1edf9b8d096b381&amp;vjs=3","Lead Infrastructure / DevOps Engineer - NFP Christian Organisation")</f>
        <v>Lead Infrastructure / DevOps Engineer - NFP Christian Organisation</v>
      </c>
      <c r="D216" s="27" t="s">
        <v>392</v>
      </c>
      <c r="E216" s="46">
        <v>44209.75398148148</v>
      </c>
    </row>
    <row r="217">
      <c r="A217" s="27"/>
      <c r="B217" s="27" t="s">
        <v>36</v>
      </c>
      <c r="C217" s="50" t="str">
        <f>hyperlink("https://au.indeed.com/viewjob?from=iaBackPress&amp;jk=d0e371d2fa181f70&amp;vjs=3","Site Reliability Engineer, Infrastructure")</f>
        <v>Site Reliability Engineer, Infrastructure</v>
      </c>
      <c r="D217" s="27" t="s">
        <v>393</v>
      </c>
      <c r="E217" s="46">
        <v>44209.75451388889</v>
      </c>
    </row>
    <row r="218">
      <c r="A218" s="27"/>
      <c r="B218" s="27" t="s">
        <v>36</v>
      </c>
      <c r="C218" s="50" t="str">
        <f>hyperlink("https://au.indeed.com/viewjob?from=iaBackPress&amp;jk=f4f130405e621c47&amp;vjs=3","Senior Infrastructure Engineer")</f>
        <v>Senior Infrastructure Engineer</v>
      </c>
      <c r="D218" s="27" t="s">
        <v>394</v>
      </c>
      <c r="E218" s="46">
        <v>44209.755057870374</v>
      </c>
    </row>
    <row r="219">
      <c r="A219" s="27"/>
      <c r="B219" s="27" t="s">
        <v>36</v>
      </c>
      <c r="C219" s="50" t="str">
        <f>hyperlink("https://au.indeed.com/viewjob?from=iaBackPress&amp;jk=4beb112c73c460a0&amp;vjs=3","DevOps Infrastructure Engineer")</f>
        <v>DevOps Infrastructure Engineer</v>
      </c>
      <c r="D219" s="27" t="s">
        <v>395</v>
      </c>
      <c r="E219" s="46">
        <v>44209.755520833336</v>
      </c>
    </row>
    <row r="220">
      <c r="A220" s="27"/>
      <c r="B220" s="27" t="s">
        <v>36</v>
      </c>
      <c r="C220" s="50" t="str">
        <f>hyperlink("https://au.indeed.com/viewjob?from=iaBackPress&amp;jk=73cae473b2a71861&amp;vjs=3","Senior Cloud Infrastructure Engineer")</f>
        <v>Senior Cloud Infrastructure Engineer</v>
      </c>
      <c r="D220" s="27" t="s">
        <v>396</v>
      </c>
      <c r="E220" s="46">
        <v>44209.756215277775</v>
      </c>
    </row>
    <row r="221">
      <c r="A221" s="27"/>
      <c r="B221" s="27" t="s">
        <v>36</v>
      </c>
      <c r="C221" s="50" t="str">
        <f>hyperlink("https://au.indeed.com/viewjob?from=iaBackPress&amp;jk=973405981a656b95&amp;vjs=3","IT Infrastructure &amp; Networks Engineer")</f>
        <v>IT Infrastructure &amp; Networks Engineer</v>
      </c>
      <c r="D221" s="27" t="s">
        <v>397</v>
      </c>
      <c r="E221" s="46">
        <v>44209.75743055555</v>
      </c>
    </row>
    <row r="222">
      <c r="A222" s="27"/>
      <c r="B222" s="27" t="s">
        <v>36</v>
      </c>
      <c r="C222" s="50" t="str">
        <f>hyperlink("https://au.indeed.com/viewjob?from=iaBackPress&amp;jk=6e015e38243a6e9e&amp;vjs=3","Level 3 - System/Infrastructure Engineer")</f>
        <v>Level 3 - System/Infrastructure Engineer</v>
      </c>
      <c r="D222" s="27" t="s">
        <v>395</v>
      </c>
      <c r="E222" s="46">
        <v>44209.757893518516</v>
      </c>
    </row>
    <row r="223">
      <c r="A223" s="27"/>
      <c r="B223" s="27" t="s">
        <v>36</v>
      </c>
      <c r="C223" s="50" t="str">
        <f>hyperlink("https://au.indeed.com/viewjob?from=iaBackPress&amp;jk=2e03be5a2e1ac20e&amp;vjs=3","Infrastructure Engineer")</f>
        <v>Infrastructure Engineer</v>
      </c>
      <c r="D223" s="27" t="s">
        <v>394</v>
      </c>
      <c r="E223" s="46">
        <v>44209.7583912037</v>
      </c>
    </row>
    <row r="224">
      <c r="A224" s="27"/>
      <c r="B224" s="27" t="s">
        <v>36</v>
      </c>
      <c r="C224" s="50" t="str">
        <f>hyperlink("https://au.indeed.com/viewjob?from=iaBackPress&amp;jk=35c2928aa9cf920f&amp;vjs=3","Infrastructure Engineer")</f>
        <v>Infrastructure Engineer</v>
      </c>
      <c r="D224" s="27" t="s">
        <v>395</v>
      </c>
      <c r="E224" s="46">
        <v>44209.75883101852</v>
      </c>
    </row>
    <row r="225">
      <c r="A225" s="27"/>
      <c r="B225" s="27" t="s">
        <v>36</v>
      </c>
      <c r="C225" s="50" t="str">
        <f>hyperlink("https://au.indeed.com/viewjob?from=iaBackPress&amp;jk=08fb4c02a8780c9e&amp;vjs=3","Infrastructure Security Engineer &amp; DevSecOps")</f>
        <v>Infrastructure Security Engineer &amp; DevSecOps</v>
      </c>
      <c r="D225" s="27" t="s">
        <v>394</v>
      </c>
      <c r="E225" s="46">
        <v>44209.75962962963</v>
      </c>
    </row>
    <row r="226">
      <c r="A226" s="27"/>
      <c r="B226" s="27" t="s">
        <v>36</v>
      </c>
      <c r="C226" s="50" t="str">
        <f>hyperlink("https://au.indeed.com/viewjob?from=iaBackPress&amp;jk=9dd85bb23219e8fa&amp;vjs=3","Lead Civil Engineer/Section Lead - Urban Civil &amp; Infrastructure - Perth Based")</f>
        <v>Lead Civil Engineer/Section Lead - Urban Civil &amp; Infrastructure - Perth Based</v>
      </c>
      <c r="D226" s="27" t="s">
        <v>398</v>
      </c>
      <c r="E226" s="46">
        <v>44209.76054398148</v>
      </c>
    </row>
    <row r="227">
      <c r="A227" s="27"/>
      <c r="B227" s="27" t="s">
        <v>36</v>
      </c>
      <c r="C227" s="50" t="str">
        <f>hyperlink("https://au.indeed.com/viewjob?from=iaBackPress&amp;jk=01551ac4c53b8dd7&amp;vjs=3","Site Engineer- Water Infrastructure - Sydney")</f>
        <v>Site Engineer- Water Infrastructure - Sydney</v>
      </c>
      <c r="D227" s="27" t="s">
        <v>399</v>
      </c>
      <c r="E227" s="46">
        <v>44209.76125</v>
      </c>
    </row>
    <row r="228">
      <c r="A228" s="27"/>
      <c r="B228" s="27" t="s">
        <v>39</v>
      </c>
      <c r="C228" s="50" t="str">
        <f>hyperlink("https://au.indeed.com/viewjob?from=iaBackPress&amp;jk=56312d13c1c0bdc0&amp;vjs=3","Senior Mining Engineer")</f>
        <v>Senior Mining Engineer</v>
      </c>
      <c r="D228" s="27" t="s">
        <v>400</v>
      </c>
      <c r="E228" s="46">
        <v>44209.76263888889</v>
      </c>
    </row>
    <row r="229">
      <c r="A229" s="27"/>
      <c r="B229" s="27" t="s">
        <v>41</v>
      </c>
      <c r="C229" s="50" t="str">
        <f>hyperlink("https://au.indeed.com/viewjob?from=iaBackPress&amp;jk=56d73b9073aca0fa&amp;vjs=3","Senior Project Engineer - Process")</f>
        <v>Senior Project Engineer - Process</v>
      </c>
      <c r="D229" s="27" t="s">
        <v>390</v>
      </c>
      <c r="E229" s="46">
        <v>44209.76526620371</v>
      </c>
    </row>
    <row r="230">
      <c r="A230" s="27"/>
      <c r="B230" s="27" t="s">
        <v>41</v>
      </c>
      <c r="C230" s="50" t="str">
        <f>hyperlink("https://au.indeed.com/viewjob?from=iaBackPress&amp;jk=ebbfdb0199806512&amp;vjs=3","Senior Project Engineer - Process")</f>
        <v>Senior Project Engineer - Process</v>
      </c>
      <c r="D230" s="27" t="s">
        <v>390</v>
      </c>
      <c r="E230" s="46">
        <v>44209.76571759259</v>
      </c>
    </row>
    <row r="231">
      <c r="A231" s="27"/>
      <c r="B231" s="27" t="s">
        <v>41</v>
      </c>
      <c r="C231" s="50" t="str">
        <f>hyperlink("https://au.indeed.com/viewjob?from=iaBackPress&amp;jk=bce9ab5e16a2a7d0&amp;vjs=3","Senior Project Engineer - Process")</f>
        <v>Senior Project Engineer - Process</v>
      </c>
      <c r="D231" s="27" t="s">
        <v>390</v>
      </c>
      <c r="E231" s="46">
        <v>44209.7662037037</v>
      </c>
    </row>
    <row r="232">
      <c r="A232" s="27"/>
      <c r="B232" s="27" t="s">
        <v>45</v>
      </c>
      <c r="C232" s="50" t="str">
        <f>hyperlink("https://au.indeed.com/viewjob?from=iaBackPress&amp;jk=d67ba4eea23ebd68&amp;vjs=3","Project Engineer")</f>
        <v>Project Engineer</v>
      </c>
      <c r="D232" s="27" t="s">
        <v>401</v>
      </c>
      <c r="E232" s="46">
        <v>44209.76988425926</v>
      </c>
    </row>
    <row r="233">
      <c r="A233" s="27"/>
      <c r="B233" s="27" t="s">
        <v>45</v>
      </c>
      <c r="C233" s="50" t="str">
        <f>hyperlink("https://au.indeed.com/viewjob?from=iaBackPress&amp;jk=3581b97568a8e381&amp;vjs=3","Mechanical Project Engineer | Water Infrastructure")</f>
        <v>Mechanical Project Engineer | Water Infrastructure</v>
      </c>
      <c r="D233" s="27" t="s">
        <v>402</v>
      </c>
      <c r="E233" s="46">
        <v>44209.77034722222</v>
      </c>
    </row>
    <row r="234">
      <c r="A234" s="27"/>
      <c r="B234" s="27" t="s">
        <v>45</v>
      </c>
      <c r="C234" s="50" t="str">
        <f>hyperlink("https://au.indeed.com/viewjob?from=iaBackPress&amp;jk=4265049714739e83&amp;vjs=3","Electrical Worker/Project Engineer")</f>
        <v>Electrical Worker/Project Engineer</v>
      </c>
      <c r="D234" s="27" t="s">
        <v>403</v>
      </c>
      <c r="E234" s="46">
        <v>44209.77148148148</v>
      </c>
    </row>
    <row r="235">
      <c r="A235" s="27"/>
      <c r="B235" s="27" t="s">
        <v>45</v>
      </c>
      <c r="C235" s="50" t="str">
        <f>hyperlink("https://au.indeed.com/viewjob?from=iaBackPress&amp;jk=2e4c79007fe5630c&amp;vjs=3","Project Engineer")</f>
        <v>Project Engineer</v>
      </c>
      <c r="D235" s="27" t="s">
        <v>404</v>
      </c>
      <c r="E235" s="46">
        <v>44209.77190972222</v>
      </c>
    </row>
    <row r="236">
      <c r="A236" s="27"/>
      <c r="B236" s="27" t="s">
        <v>45</v>
      </c>
      <c r="C236" s="50" t="str">
        <f>hyperlink("https://au.indeed.com/viewjob?from=iaBackPress&amp;jk=5cb89291fc90bd04&amp;vjs=3","Project Engineer")</f>
        <v>Project Engineer</v>
      </c>
      <c r="D236" s="27" t="s">
        <v>405</v>
      </c>
      <c r="E236" s="46">
        <v>44209.77590277778</v>
      </c>
    </row>
    <row r="237">
      <c r="A237" s="27"/>
      <c r="B237" s="27" t="s">
        <v>45</v>
      </c>
      <c r="C237" s="50" t="str">
        <f>hyperlink("https://au.indeed.com/viewjob?from=iaBackPress&amp;jk=b4793d9ed1365d6c&amp;vjs=3","Electrical Project Engineer | Water Infrastructure")</f>
        <v>Electrical Project Engineer | Water Infrastructure</v>
      </c>
      <c r="D237" s="27" t="s">
        <v>402</v>
      </c>
      <c r="E237" s="46">
        <v>44209.776412037034</v>
      </c>
    </row>
    <row r="238">
      <c r="A238" s="27"/>
      <c r="B238" s="27" t="s">
        <v>45</v>
      </c>
      <c r="C238" s="50" t="str">
        <f>hyperlink("https://au.indeed.com/viewjob?from=iaBackPress&amp;jk=1d9e9fff3f7b48bc&amp;vjs=3","Senior Project Engineer")</f>
        <v>Senior Project Engineer</v>
      </c>
      <c r="D238" s="27" t="s">
        <v>261</v>
      </c>
      <c r="E238" s="46">
        <v>44209.777094907404</v>
      </c>
    </row>
    <row r="239">
      <c r="A239" s="27"/>
      <c r="B239" s="27" t="s">
        <v>45</v>
      </c>
      <c r="C239" s="50" t="str">
        <f>hyperlink("https://au.indeed.com/viewjob?from=iaBackPress&amp;jk=9a1d835066a40edd&amp;vjs=3","Project Engineer")</f>
        <v>Project Engineer</v>
      </c>
      <c r="D239" s="27" t="s">
        <v>331</v>
      </c>
      <c r="E239" s="46">
        <v>44209.77780092593</v>
      </c>
    </row>
    <row r="240">
      <c r="A240" s="27"/>
      <c r="B240" s="27" t="s">
        <v>45</v>
      </c>
      <c r="C240" s="50" t="str">
        <f>hyperlink("https://au.indeed.com/viewjob?from=iaBackPress&amp;jk=5a062624caab9a52&amp;vjs=3","Project Engineer - Formwork and Temporary works - Sydney")</f>
        <v>Project Engineer - Formwork and Temporary works - Sydney</v>
      </c>
      <c r="D240" s="27" t="s">
        <v>399</v>
      </c>
      <c r="E240" s="46">
        <v>44209.77825231481</v>
      </c>
    </row>
    <row r="241">
      <c r="A241" s="27"/>
      <c r="B241" s="27" t="s">
        <v>45</v>
      </c>
      <c r="C241" s="50" t="str">
        <f>hyperlink("https://au.indeed.com/viewjob?from=iaBackPress&amp;jk=2c7f3b18d6e653eb&amp;vjs=3","Project Engineer - Communications")</f>
        <v>Project Engineer - Communications</v>
      </c>
      <c r="D241" s="27" t="s">
        <v>333</v>
      </c>
      <c r="E241" s="46">
        <v>44209.778761574074</v>
      </c>
    </row>
    <row r="242">
      <c r="A242" s="27"/>
      <c r="B242" s="27" t="s">
        <v>45</v>
      </c>
      <c r="C242" s="50" t="str">
        <f>hyperlink("https://au.indeed.com/viewjob?from=iaBackPress&amp;jk=2ab2c78ffea5b9a1&amp;vjs=3","Project Engineer - Formwork and Temporary works - Brisbane")</f>
        <v>Project Engineer - Formwork and Temporary works - Brisbane</v>
      </c>
      <c r="D242" s="27" t="s">
        <v>399</v>
      </c>
      <c r="E242" s="46">
        <v>44209.779398148145</v>
      </c>
    </row>
    <row r="243">
      <c r="A243" s="27"/>
      <c r="B243" s="27" t="s">
        <v>45</v>
      </c>
      <c r="C243" s="50" t="str">
        <f>hyperlink("https://au.indeed.com/viewjob?from=iaBackPress&amp;jk=08b766b577728296&amp;vjs=3","Project Engineer")</f>
        <v>Project Engineer</v>
      </c>
      <c r="D243" s="27" t="s">
        <v>406</v>
      </c>
      <c r="E243" s="46">
        <v>44209.77984953704</v>
      </c>
    </row>
    <row r="244">
      <c r="A244" s="27"/>
      <c r="B244" s="27" t="s">
        <v>45</v>
      </c>
      <c r="C244" s="50" t="str">
        <f>hyperlink("https://au.indeed.com/viewjob?from=iaBackPress&amp;jk=090e47988ac9b362&amp;vjs=3","Project Engineer")</f>
        <v>Project Engineer</v>
      </c>
      <c r="D244" s="27" t="s">
        <v>405</v>
      </c>
      <c r="E244" s="46">
        <v>44209.78091435185</v>
      </c>
    </row>
    <row r="245">
      <c r="A245" s="27"/>
      <c r="B245" s="27" t="s">
        <v>45</v>
      </c>
      <c r="C245" s="50" t="str">
        <f>hyperlink("https://au.indeed.com/viewjob?from=iaBackPress&amp;jk=0627b17bce528a9d&amp;vjs=3","Site Engineer and Project Engineers | Civil | 10/4 roster")</f>
        <v>Site Engineer and Project Engineers | Civil | 10/4 roster</v>
      </c>
      <c r="D245" s="27" t="s">
        <v>341</v>
      </c>
      <c r="E245" s="46">
        <v>44209.781377314815</v>
      </c>
    </row>
    <row r="246">
      <c r="A246" s="27"/>
      <c r="B246" s="27" t="s">
        <v>45</v>
      </c>
      <c r="C246" s="50" t="str">
        <f>hyperlink("https://au.indeed.com/viewjob?from=iaBackPress&amp;jk=6a5300996b068665&amp;vjs=3","Project/Solution Engineers x 3")</f>
        <v>Project/Solution Engineers x 3</v>
      </c>
      <c r="D246" s="27" t="s">
        <v>407</v>
      </c>
      <c r="E246" s="46">
        <v>44209.78184027778</v>
      </c>
    </row>
    <row r="247">
      <c r="A247" s="27"/>
      <c r="B247" s="27" t="s">
        <v>45</v>
      </c>
      <c r="C247" s="50" t="str">
        <f>hyperlink("https://au.indeed.com/viewjob?from=iaBackPress&amp;jk=c643aabbc4db8173&amp;vjs=3","Project Engineer - Rail")</f>
        <v>Project Engineer - Rail</v>
      </c>
      <c r="D247" s="27" t="s">
        <v>340</v>
      </c>
      <c r="E247" s="46">
        <v>44209.782430555555</v>
      </c>
    </row>
    <row r="248">
      <c r="A248" s="27"/>
      <c r="B248" s="27" t="s">
        <v>45</v>
      </c>
      <c r="C248" s="50" t="str">
        <f>hyperlink("https://au.indeed.com/viewjob?from=iaBackPress&amp;jk=4fc4f6bff834fffd&amp;vjs=3","Project Engineer")</f>
        <v>Project Engineer</v>
      </c>
      <c r="D248" s="27" t="s">
        <v>408</v>
      </c>
      <c r="E248" s="46">
        <v>44209.78298611111</v>
      </c>
    </row>
    <row r="249">
      <c r="A249" s="27"/>
      <c r="B249" s="27" t="s">
        <v>45</v>
      </c>
      <c r="C249" s="50" t="str">
        <f>hyperlink("https://au.indeed.com/viewjob?from=iaBackPress&amp;jk=c48e38c7f61eae49&amp;vjs=3","Senior Civil Project Engineers - Hunter Valley")</f>
        <v>Senior Civil Project Engineers - Hunter Valley</v>
      </c>
      <c r="D249" s="27" t="s">
        <v>409</v>
      </c>
      <c r="E249" s="46">
        <v>44209.78341435185</v>
      </c>
    </row>
    <row r="250">
      <c r="A250" s="27"/>
      <c r="B250" s="27" t="s">
        <v>45</v>
      </c>
      <c r="C250" s="50" t="str">
        <f>hyperlink("https://au.indeed.com/viewjob?from=iaBackPress&amp;jk=74b89b33ba9ba9ec&amp;vjs=3","BMS Project Engineer")</f>
        <v>BMS Project Engineer</v>
      </c>
      <c r="D250" s="27" t="s">
        <v>410</v>
      </c>
      <c r="E250" s="46">
        <v>44209.784004629626</v>
      </c>
    </row>
    <row r="251">
      <c r="A251" s="27"/>
      <c r="B251" s="27" t="s">
        <v>45</v>
      </c>
      <c r="C251" s="50" t="str">
        <f>hyperlink("https://au.indeed.com/viewjob?from=iaBackPress&amp;jk=d8737c0f602848e6&amp;vjs=3","Civil Site / Project Engineer - Sydney")</f>
        <v>Civil Site / Project Engineer - Sydney</v>
      </c>
      <c r="D251" s="27" t="s">
        <v>411</v>
      </c>
      <c r="E251" s="46">
        <v>44209.78444444444</v>
      </c>
    </row>
    <row r="252">
      <c r="A252" s="27"/>
      <c r="B252" s="27" t="s">
        <v>26</v>
      </c>
      <c r="C252" s="50" t="str">
        <f>hyperlink("https://au.indeed.com/viewjob?from=iaBackPress&amp;jk=460de221e657ff8c&amp;vjs=3","Mechanical Engineer - HVAC")</f>
        <v>Mechanical Engineer - HVAC</v>
      </c>
      <c r="D252" s="27" t="s">
        <v>412</v>
      </c>
      <c r="E252" s="46">
        <v>44217.74135416667</v>
      </c>
    </row>
    <row r="253">
      <c r="A253" s="27"/>
      <c r="B253" s="27" t="s">
        <v>26</v>
      </c>
      <c r="C253" s="50" t="str">
        <f>hyperlink("https://au.indeed.com/viewjob?from=iaBackPress&amp;jk=2a7d8e2e18390f6b&amp;vjs=3","Senior Mechanical Engineer")</f>
        <v>Senior Mechanical Engineer</v>
      </c>
      <c r="D253" s="27" t="s">
        <v>413</v>
      </c>
      <c r="E253" s="46">
        <v>44217.741747685184</v>
      </c>
    </row>
    <row r="254">
      <c r="A254" s="27"/>
      <c r="B254" s="27" t="s">
        <v>26</v>
      </c>
      <c r="C254" s="50" t="str">
        <f>hyperlink("https://au.indeed.com/viewjob?from=iaBackPress&amp;jk=82f5cf0901d9b72b&amp;vjs=3","Senior Mechanical Engineer")</f>
        <v>Senior Mechanical Engineer</v>
      </c>
      <c r="D254" s="27" t="s">
        <v>374</v>
      </c>
      <c r="E254" s="46">
        <v>44217.74303240741</v>
      </c>
    </row>
    <row r="255">
      <c r="A255" s="27"/>
      <c r="B255" s="27" t="s">
        <v>26</v>
      </c>
      <c r="C255" s="50" t="str">
        <f>hyperlink("https://au.indeed.com/viewjob?from=iaBackPress&amp;jk=fb68f4783df39592&amp;vjs=3","Mechanical Project Engineer | Water Infrastructure")</f>
        <v>Mechanical Project Engineer | Water Infrastructure</v>
      </c>
      <c r="D255" s="27" t="s">
        <v>402</v>
      </c>
      <c r="E255" s="46">
        <v>44217.743576388886</v>
      </c>
    </row>
    <row r="256">
      <c r="A256" s="27"/>
      <c r="B256" s="27" t="s">
        <v>26</v>
      </c>
      <c r="C256" s="50" t="str">
        <f>hyperlink("https://au.indeed.com/viewjob?from=iaBackPress&amp;jk=2bbbc1212fb6fc28&amp;vjs=3","Apprentices &amp; Trades Assistants - Mechanical Engineer/Fitter")</f>
        <v>Apprentices &amp; Trades Assistants - Mechanical Engineer/Fitter</v>
      </c>
      <c r="D256" s="27" t="s">
        <v>414</v>
      </c>
      <c r="E256" s="46">
        <v>44217.74569444444</v>
      </c>
    </row>
    <row r="257">
      <c r="A257" s="27"/>
      <c r="B257" s="27" t="s">
        <v>26</v>
      </c>
      <c r="C257" s="50" t="str">
        <f>hyperlink("https://au.indeed.com/viewjob?from=iaBackPress&amp;jk=3531d97eb844648c&amp;vjs=3","Mechanical Engineer")</f>
        <v>Mechanical Engineer</v>
      </c>
      <c r="D257" s="27" t="s">
        <v>415</v>
      </c>
      <c r="E257" s="46">
        <v>44217.74627314815</v>
      </c>
    </row>
    <row r="258">
      <c r="A258" s="27"/>
      <c r="B258" s="27" t="s">
        <v>26</v>
      </c>
      <c r="C258" s="50" t="str">
        <f>hyperlink("https://au.indeed.com/viewjob?from=iaBackPress&amp;jk=84723638d7db3719&amp;vjs=3","Senior Mechanical Engineer - Contract")</f>
        <v>Senior Mechanical Engineer - Contract</v>
      </c>
      <c r="D258" s="27" t="s">
        <v>346</v>
      </c>
      <c r="E258" s="46">
        <v>44217.74667824074</v>
      </c>
    </row>
    <row r="259">
      <c r="A259" s="27"/>
      <c r="B259" s="27" t="s">
        <v>33</v>
      </c>
      <c r="C259" s="50" t="str">
        <f>hyperlink("https://au.indeed.com/viewjob?from=iaBackPress&amp;jk=f9ee731ba1d5da57&amp;vjs=3","Design Engineer - Electrical")</f>
        <v>Design Engineer - Electrical</v>
      </c>
      <c r="D259" s="27" t="s">
        <v>416</v>
      </c>
      <c r="E259" s="46">
        <v>44217.748344907406</v>
      </c>
    </row>
    <row r="260">
      <c r="A260" s="27"/>
      <c r="B260" s="27" t="s">
        <v>33</v>
      </c>
      <c r="C260" s="50" t="str">
        <f>hyperlink("https://au.indeed.com/viewjob?from=iaBackPress&amp;jk=2007714dfb8ae67a&amp;vjs=3","Electronics Hardware Design Engineer | Permanent Part Time")</f>
        <v>Electronics Hardware Design Engineer | Permanent Part Time</v>
      </c>
      <c r="D260" s="27" t="s">
        <v>385</v>
      </c>
      <c r="E260" s="46">
        <v>44217.74912037037</v>
      </c>
    </row>
    <row r="261">
      <c r="A261" s="27"/>
      <c r="B261" s="27" t="s">
        <v>33</v>
      </c>
      <c r="C261" s="50" t="str">
        <f>hyperlink("https://au.indeed.com/viewjob?from=iaBackPress&amp;jk=e57f8e7b0f658efe&amp;vjs=3","Design Engineer")</f>
        <v>Design Engineer</v>
      </c>
      <c r="D261" s="27" t="s">
        <v>417</v>
      </c>
      <c r="E261" s="46">
        <v>44217.74961805555</v>
      </c>
    </row>
    <row r="262">
      <c r="A262" s="27"/>
      <c r="B262" s="27" t="s">
        <v>33</v>
      </c>
      <c r="C262" s="50" t="str">
        <f>hyperlink("https://au.indeed.com/viewjob?from=iaBackPress&amp;jk=d894945892940759&amp;vjs=3","Civil Design Engineer")</f>
        <v>Civil Design Engineer</v>
      </c>
      <c r="D262" s="27" t="s">
        <v>346</v>
      </c>
      <c r="E262" s="46">
        <v>44217.75017361111</v>
      </c>
    </row>
    <row r="263">
      <c r="A263" s="27"/>
      <c r="B263" s="27" t="s">
        <v>26</v>
      </c>
      <c r="C263" s="50" t="str">
        <f>hyperlink("https://au.indeed.com/viewjob?from=iaBackPress&amp;jk=6803b1b0c07ff100&amp;vjs=3","Mechanical Project Engineer | Water Infrastructure")</f>
        <v>Mechanical Project Engineer | Water Infrastructure</v>
      </c>
      <c r="D263" s="27" t="s">
        <v>402</v>
      </c>
      <c r="E263" s="46">
        <v>44221.64025462963</v>
      </c>
    </row>
    <row r="264">
      <c r="A264" s="27"/>
      <c r="B264" s="27" t="s">
        <v>26</v>
      </c>
      <c r="C264" s="50" t="str">
        <f>hyperlink("https://au.indeed.com/viewjob?from=iaBackPress&amp;jk=a1091032f1f96f04&amp;vjs=3","Principal Mechanical Engineer")</f>
        <v>Principal Mechanical Engineer</v>
      </c>
      <c r="D264" s="27" t="s">
        <v>383</v>
      </c>
      <c r="E264" s="46">
        <v>44221.641539351855</v>
      </c>
    </row>
    <row r="265">
      <c r="A265" s="27"/>
      <c r="B265" s="27" t="s">
        <v>33</v>
      </c>
      <c r="C265" s="50" t="str">
        <f>hyperlink("https://au.indeed.com/viewjob?from=iaBackPress&amp;jk=d741cfc22fd2e230&amp;vjs=3","Intermediate Electrical Design Engineer")</f>
        <v>Intermediate Electrical Design Engineer</v>
      </c>
      <c r="D265" s="27" t="s">
        <v>383</v>
      </c>
      <c r="E265" s="46">
        <v>44221.642372685186</v>
      </c>
    </row>
    <row r="266">
      <c r="A266" s="27"/>
      <c r="B266" s="27" t="s">
        <v>33</v>
      </c>
      <c r="C266" s="50" t="str">
        <f>hyperlink("https://au.indeed.com/viewjob?from=iaBackPress&amp;jk=d9d0de92bc1fdbb4&amp;vjs=3","Design Drafter / Engineer (Aluminium &amp; Curtain Wall)")</f>
        <v>Design Drafter / Engineer (Aluminium &amp; Curtain Wall)</v>
      </c>
      <c r="D266" s="27" t="s">
        <v>363</v>
      </c>
      <c r="E266" s="46">
        <v>44221.64282407407</v>
      </c>
    </row>
    <row r="267">
      <c r="A267" s="27"/>
      <c r="B267" s="27" t="s">
        <v>33</v>
      </c>
      <c r="C267" s="50" t="str">
        <f>hyperlink("https://au.indeed.com/viewjob?from=iaBackPress&amp;jk=ab26b126ff8d3e91&amp;vjs=3","Hydraulic Design Engineer")</f>
        <v>Hydraulic Design Engineer</v>
      </c>
      <c r="D267" s="27" t="s">
        <v>383</v>
      </c>
      <c r="E267" s="46">
        <v>44221.64332175926</v>
      </c>
    </row>
    <row r="268">
      <c r="A268" s="27"/>
      <c r="B268" s="27" t="s">
        <v>33</v>
      </c>
      <c r="C268" s="50" t="str">
        <f>hyperlink("https://au.indeed.com/viewjob?from=iaBackPress&amp;jk=8f3b8fdc78630681&amp;vjs=3","Design Engineer - 12D")</f>
        <v>Design Engineer - 12D</v>
      </c>
      <c r="D268" s="27" t="s">
        <v>353</v>
      </c>
      <c r="E268" s="46">
        <v>44221.64388888889</v>
      </c>
    </row>
    <row r="269">
      <c r="A269" s="27"/>
      <c r="B269" s="27" t="s">
        <v>33</v>
      </c>
      <c r="C269" s="50" t="str">
        <f>hyperlink("https://au.indeed.com/viewjob?from=iaBackPress&amp;jk=c5ced33cfefcb3c6&amp;vjs=3","Senior Network Design Engineer- Major Bank")</f>
        <v>Senior Network Design Engineer- Major Bank</v>
      </c>
      <c r="D269" s="27" t="s">
        <v>418</v>
      </c>
      <c r="E269" s="46">
        <v>44221.64496527778</v>
      </c>
    </row>
    <row r="270">
      <c r="A270" s="27"/>
      <c r="B270" s="27" t="s">
        <v>33</v>
      </c>
      <c r="C270" s="50" t="str">
        <f>hyperlink("https://au.indeed.com/viewjob?from=iaBackPress&amp;jk=0385890dca6b4608&amp;vjs=3","Hydraulic Design Engineer")</f>
        <v>Hydraulic Design Engineer</v>
      </c>
      <c r="D270" s="27" t="s">
        <v>383</v>
      </c>
      <c r="E270" s="46">
        <v>44221.64538194444</v>
      </c>
    </row>
    <row r="271">
      <c r="A271" s="27"/>
      <c r="B271" s="27" t="s">
        <v>34</v>
      </c>
      <c r="C271" s="50" t="str">
        <f>hyperlink("https://au.indeed.com/viewjob?from=iaBackPress&amp;jk=dfb9f5aa7b06c75a&amp;vjs=3","Product Development Engineer")</f>
        <v>Product Development Engineer</v>
      </c>
      <c r="D271" s="27" t="s">
        <v>419</v>
      </c>
      <c r="E271" s="46">
        <v>44221.647210648145</v>
      </c>
    </row>
    <row r="272">
      <c r="A272" s="27"/>
      <c r="B272" s="27" t="s">
        <v>34</v>
      </c>
      <c r="C272" s="50" t="str">
        <f>hyperlink("https://au.indeed.com/viewjob?from=iaBackPress&amp;jk=71e6191252c6c41d&amp;vjs=3","Software Development Engineer in Test (SDET) - SaaS product")</f>
        <v>Software Development Engineer in Test (SDET) - SaaS product</v>
      </c>
      <c r="D272" s="27" t="s">
        <v>420</v>
      </c>
      <c r="E272" s="46">
        <v>44221.649872685186</v>
      </c>
    </row>
    <row r="273">
      <c r="A273" s="27"/>
      <c r="B273" s="27" t="s">
        <v>35</v>
      </c>
      <c r="C273" s="50" t="str">
        <f>hyperlink("https://au.indeed.com/viewjob?from=iaBackPress&amp;jk=3c453662511c190c&amp;vjs=3","Lead Test Engineer - Industrial Communication Systems")</f>
        <v>Lead Test Engineer - Industrial Communication Systems</v>
      </c>
      <c r="D273" s="27" t="s">
        <v>350</v>
      </c>
      <c r="E273" s="46">
        <v>44221.650671296295</v>
      </c>
    </row>
    <row r="274">
      <c r="A274" s="27"/>
      <c r="B274" s="27" t="s">
        <v>35</v>
      </c>
      <c r="C274" s="50" t="str">
        <f>hyperlink("https://au.indeed.com/viewjob?from=iaBackPress&amp;jk=948393fe9c9a9190&amp;vjs=3","Industrial Engineer")</f>
        <v>Industrial Engineer</v>
      </c>
      <c r="D274" s="27" t="s">
        <v>421</v>
      </c>
      <c r="E274" s="46">
        <v>44221.65109953703</v>
      </c>
    </row>
    <row r="275">
      <c r="A275" s="27"/>
      <c r="B275" s="27" t="s">
        <v>36</v>
      </c>
      <c r="C275" s="50" t="str">
        <f>hyperlink("https://au.indeed.com/viewjob?from=iaBackPress&amp;jk=b3b0f38ca059c751&amp;vjs=3","3x Senior DevOps/Infrastructure Engineer - Kubernetes implementation!")</f>
        <v>3x Senior DevOps/Infrastructure Engineer - Kubernetes implementation!</v>
      </c>
      <c r="D275" s="27" t="s">
        <v>422</v>
      </c>
      <c r="E275" s="46">
        <v>44221.651655092595</v>
      </c>
    </row>
    <row r="276">
      <c r="A276" s="27"/>
      <c r="B276" s="27" t="s">
        <v>36</v>
      </c>
      <c r="C276" s="50" t="str">
        <f>hyperlink("https://au.indeed.com/viewjob?from=iaBackPress&amp;jk=5bbe98e65e933198&amp;vjs=3","Senior Geotechnical Engineer - Sydney CBD Infrastructure")</f>
        <v>Senior Geotechnical Engineer - Sydney CBD Infrastructure</v>
      </c>
      <c r="D276" s="27" t="s">
        <v>384</v>
      </c>
      <c r="E276" s="46">
        <v>44221.653032407405</v>
      </c>
    </row>
    <row r="277">
      <c r="A277" s="27"/>
      <c r="B277" s="27" t="s">
        <v>36</v>
      </c>
      <c r="C277" s="50" t="str">
        <f>hyperlink("https://au.indeed.com/viewjob?from=iaBackPress&amp;jk=76df0d31e02d6158&amp;vjs=3","Electrical Project Engineer | Water Infrastructure")</f>
        <v>Electrical Project Engineer | Water Infrastructure</v>
      </c>
      <c r="D277" s="27" t="s">
        <v>402</v>
      </c>
      <c r="E277" s="46">
        <v>44221.6534375</v>
      </c>
    </row>
    <row r="278">
      <c r="A278" s="27"/>
      <c r="B278" s="27" t="s">
        <v>36</v>
      </c>
      <c r="C278" s="50" t="str">
        <f>hyperlink("https://au.indeed.com/viewjob?from=iaBackPress&amp;jk=af1b55b733fc2a02&amp;vjs=3","Senior Linux Infrastructure Engineer")</f>
        <v>Senior Linux Infrastructure Engineer</v>
      </c>
      <c r="D278" s="27" t="s">
        <v>423</v>
      </c>
      <c r="E278" s="46">
        <v>44221.65387731481</v>
      </c>
    </row>
    <row r="279">
      <c r="A279" s="27"/>
      <c r="B279" s="27" t="s">
        <v>36</v>
      </c>
      <c r="C279" s="50" t="str">
        <f>hyperlink("https://au.indeed.com/viewjob?from=iaBackPress&amp;jk=da59262b622737c1&amp;vjs=3","Rail Infrastructure - Engineers, Senior Managers, Administration, Safety")</f>
        <v>Rail Infrastructure - Engineers, Senior Managers, Administration, Safety</v>
      </c>
      <c r="D279" s="27" t="s">
        <v>424</v>
      </c>
      <c r="E279" s="46">
        <v>44221.654282407406</v>
      </c>
    </row>
    <row r="280">
      <c r="A280" s="27"/>
      <c r="B280" s="27" t="s">
        <v>36</v>
      </c>
      <c r="C280" s="50" t="str">
        <f>hyperlink("https://au.indeed.com/viewjob?from=iaBackPress&amp;jk=884ca5b70b563ae0&amp;vjs=3","Electrical Project Engineer | Water Infrastructure")</f>
        <v>Electrical Project Engineer | Water Infrastructure</v>
      </c>
      <c r="D280" s="27" t="s">
        <v>402</v>
      </c>
      <c r="E280" s="46">
        <v>44221.6550462963</v>
      </c>
    </row>
    <row r="281">
      <c r="A281" s="27"/>
      <c r="B281" s="27" t="s">
        <v>41</v>
      </c>
      <c r="C281" s="50" t="str">
        <f>hyperlink("https://au.indeed.com/viewjob?from=iaBackPress&amp;jk=ae228b844e579487&amp;vjs=3","Automation &amp; Process Engineer")</f>
        <v>Automation &amp; Process Engineer</v>
      </c>
      <c r="D281" s="27" t="s">
        <v>425</v>
      </c>
      <c r="E281" s="46">
        <v>44221.656689814816</v>
      </c>
    </row>
    <row r="282">
      <c r="A282" s="27"/>
      <c r="B282" s="27" t="s">
        <v>42</v>
      </c>
      <c r="C282" s="50" t="str">
        <f>hyperlink("https://au.indeed.com/viewjob?from=iaBackPress&amp;jk=055073db3b0fcab6&amp;vjs=3","Senior Production Support Engineer")</f>
        <v>Senior Production Support Engineer</v>
      </c>
      <c r="D282" s="27" t="s">
        <v>423</v>
      </c>
      <c r="E282" s="46">
        <v>44221.65723379629</v>
      </c>
    </row>
    <row r="283">
      <c r="A283" s="27"/>
      <c r="B283" s="27" t="s">
        <v>45</v>
      </c>
      <c r="C283" s="50" t="str">
        <f>hyperlink("https://au.indeed.com/viewjob?from=iaBackPress&amp;jk=ab0475ec51a21a17&amp;vjs=3","Project Engineer")</f>
        <v>Project Engineer</v>
      </c>
      <c r="D283" s="27" t="s">
        <v>426</v>
      </c>
      <c r="E283" s="46">
        <v>44221.65849537037</v>
      </c>
    </row>
    <row r="284">
      <c r="A284" s="27"/>
      <c r="B284" s="27" t="s">
        <v>45</v>
      </c>
      <c r="C284" s="50" t="str">
        <f>hyperlink("https://au.indeed.com/viewjob?from=iaBackPress&amp;jk=00191838bddad40b&amp;vjs=3","EOI (Project Engineer &amp; Project Manager) - Senior Consultant")</f>
        <v>EOI (Project Engineer &amp; Project Manager) - Senior Consultant</v>
      </c>
      <c r="D284" s="27" t="s">
        <v>427</v>
      </c>
      <c r="E284" s="46">
        <v>44221.65956018519</v>
      </c>
    </row>
    <row r="285">
      <c r="A285" s="27"/>
      <c r="B285" s="27" t="s">
        <v>45</v>
      </c>
      <c r="C285" s="50" t="str">
        <f>hyperlink("https://au.indeed.com/viewjob?from=iaBackPress&amp;jk=7721b72ea59db5f0&amp;vjs=3","BMS Project Engineer")</f>
        <v>BMS Project Engineer</v>
      </c>
      <c r="D285" s="27" t="s">
        <v>428</v>
      </c>
      <c r="E285" s="46">
        <v>44221.66023148148</v>
      </c>
    </row>
    <row r="286">
      <c r="A286" s="27"/>
      <c r="B286" s="27" t="s">
        <v>45</v>
      </c>
      <c r="C286" s="50" t="str">
        <f>hyperlink("https://au.indeed.com/viewjob?from=iaBackPress&amp;jk=9e40592d65a2f494&amp;vjs=3","Project Engineer")</f>
        <v>Project Engineer</v>
      </c>
      <c r="D286" s="27" t="s">
        <v>335</v>
      </c>
      <c r="E286" s="46">
        <v>44221.661990740744</v>
      </c>
    </row>
    <row r="287">
      <c r="A287" s="27"/>
      <c r="B287" s="27" t="s">
        <v>45</v>
      </c>
      <c r="C287" s="50" t="str">
        <f>hyperlink("https://au.indeed.com/viewjob?from=iaBackPress&amp;jk=cf9d12e2749adcda&amp;vjs=3","Project Engineer - RMS Roadworks")</f>
        <v>Project Engineer - RMS Roadworks</v>
      </c>
      <c r="D287" s="27" t="s">
        <v>346</v>
      </c>
      <c r="E287" s="46">
        <v>44221.66320601852</v>
      </c>
    </row>
    <row r="288">
      <c r="A288" s="27"/>
      <c r="B288" s="27" t="s">
        <v>45</v>
      </c>
      <c r="C288" s="50" t="str">
        <f>hyperlink("https://au.indeed.com/viewjob?from=iaBackPress&amp;jk=146541d6f6a4908d&amp;vjs=3","Senior Project Engineer - civil")</f>
        <v>Senior Project Engineer - civil</v>
      </c>
      <c r="D288" s="27" t="s">
        <v>332</v>
      </c>
      <c r="E288" s="46">
        <v>44221.66417824074</v>
      </c>
    </row>
    <row r="289">
      <c r="A289" s="27"/>
      <c r="B289" s="27" t="s">
        <v>45</v>
      </c>
      <c r="C289" s="50" t="str">
        <f>hyperlink("https://au.indeed.com/viewjob?from=iaBackPress&amp;jk=f7d5778bc579072f&amp;vjs=3","Project Engineers  (Mech, Elec, Civil) Major Solar Farm Project (NSW)")</f>
        <v>Project Engineers  (Mech, Elec, Civil) Major Solar Farm Project (NSW)</v>
      </c>
      <c r="D289" s="27" t="s">
        <v>429</v>
      </c>
      <c r="E289" s="46">
        <v>44221.66459490741</v>
      </c>
    </row>
    <row r="290">
      <c r="A290" s="27"/>
      <c r="B290" s="27" t="s">
        <v>45</v>
      </c>
      <c r="C290" s="50" t="str">
        <f>hyperlink("https://au.indeed.com/viewjob?from=iaBackPress&amp;jk=c762922d9690e7a4&amp;vjs=3","Electrical Project Engineer")</f>
        <v>Electrical Project Engineer</v>
      </c>
      <c r="D290" s="27" t="s">
        <v>261</v>
      </c>
      <c r="E290" s="46">
        <v>44221.665</v>
      </c>
    </row>
    <row r="291">
      <c r="A291" s="27"/>
      <c r="B291" s="27" t="s">
        <v>45</v>
      </c>
      <c r="C291" s="50" t="str">
        <f>hyperlink("https://au.indeed.com/viewjob?from=iaBackPress&amp;jk=c6cefe97a6bb6afa&amp;vjs=3","Project Engineer/Estimator")</f>
        <v>Project Engineer/Estimator</v>
      </c>
      <c r="D291" s="27" t="s">
        <v>430</v>
      </c>
      <c r="E291" s="46">
        <v>44221.66541666666</v>
      </c>
    </row>
    <row r="292">
      <c r="A292" s="27"/>
      <c r="B292" s="27" t="s">
        <v>45</v>
      </c>
      <c r="C292" s="50" t="str">
        <f>hyperlink("https://au.indeed.com/viewjob?from=iaBackPress&amp;jk=4e3f453f43cb2133&amp;vjs=3","Senior Project Engineer")</f>
        <v>Senior Project Engineer</v>
      </c>
      <c r="D292" s="27" t="s">
        <v>340</v>
      </c>
      <c r="E292" s="46">
        <v>44221.66594907407</v>
      </c>
    </row>
    <row r="293">
      <c r="A293" s="27"/>
      <c r="B293" s="27" t="s">
        <v>45</v>
      </c>
      <c r="C293" s="50" t="str">
        <f>hyperlink("https://au.indeed.com/viewjob?from=iaBackPress&amp;jk=28da9a2be3456653&amp;vjs=3","Senior Project Engineer")</f>
        <v>Senior Project Engineer</v>
      </c>
      <c r="D293" s="27" t="s">
        <v>261</v>
      </c>
      <c r="E293" s="46">
        <v>44221.666354166664</v>
      </c>
    </row>
    <row r="294">
      <c r="A294" s="27"/>
      <c r="B294" s="27" t="s">
        <v>45</v>
      </c>
      <c r="C294" s="50" t="str">
        <f>hyperlink("https://au.indeed.com/viewjob?from=iaBackPress&amp;jk=afcfc9510bf09396&amp;vjs=3","Signalling Site Supervisor &amp; Project Engineer")</f>
        <v>Signalling Site Supervisor &amp; Project Engineer</v>
      </c>
      <c r="D294" s="27" t="s">
        <v>431</v>
      </c>
      <c r="E294" s="46">
        <v>44221.66680555556</v>
      </c>
    </row>
    <row r="295">
      <c r="A295" s="27"/>
      <c r="B295" s="27" t="s">
        <v>45</v>
      </c>
      <c r="C295" s="50" t="str">
        <f>hyperlink("https://au.indeed.com/viewjob?from=iaBackPress&amp;jk=f1a999d7a232158b&amp;vjs=3","Level 2/3 Engineer / Project Engineer")</f>
        <v>Level 2/3 Engineer / Project Engineer</v>
      </c>
      <c r="D295" s="27" t="s">
        <v>395</v>
      </c>
      <c r="E295" s="46">
        <v>44221.66782407407</v>
      </c>
    </row>
    <row r="296">
      <c r="A296" s="27"/>
      <c r="B296" s="27" t="s">
        <v>45</v>
      </c>
      <c r="C296" s="50" t="str">
        <f>hyperlink("https://au.indeed.com/viewjob?from=iaBackPress&amp;jk=64d04b79433ce931&amp;vjs=3","Project Engineer")</f>
        <v>Project Engineer</v>
      </c>
      <c r="D296" s="27" t="s">
        <v>432</v>
      </c>
      <c r="E296" s="46">
        <v>44221.66869212963</v>
      </c>
    </row>
    <row r="297">
      <c r="A297" s="27"/>
      <c r="B297" s="27" t="s">
        <v>45</v>
      </c>
      <c r="C297" s="50" t="str">
        <f>hyperlink("https://au.indeed.com/viewjob?from=iaBackPress&amp;jk=4f7c8ecd33cc6caf&amp;vjs=3","Project Engineer - Roads / Structures")</f>
        <v>Project Engineer - Roads / Structures</v>
      </c>
      <c r="D297" s="27" t="s">
        <v>433</v>
      </c>
      <c r="E297" s="46">
        <v>44221.66909722222</v>
      </c>
    </row>
    <row r="298">
      <c r="A298" s="27"/>
      <c r="B298" s="27" t="s">
        <v>45</v>
      </c>
      <c r="C298" s="50" t="str">
        <f>hyperlink("https://au.indeed.com/viewjob?from=iaBackPress&amp;jk=671a4886c82d275d&amp;vjs=3","Senior Project Engineer")</f>
        <v>Senior Project Engineer</v>
      </c>
      <c r="D298" s="27" t="s">
        <v>405</v>
      </c>
      <c r="E298" s="46">
        <v>44221.670219907406</v>
      </c>
    </row>
    <row r="299">
      <c r="A299" s="27"/>
      <c r="B299" s="27" t="s">
        <v>45</v>
      </c>
      <c r="C299" s="50" t="str">
        <f>hyperlink("https://au.indeed.com/viewjob?from=iaBackPress&amp;jk=07959557cab6b65f&amp;vjs=3","Communications Project Engineer")</f>
        <v>Communications Project Engineer</v>
      </c>
      <c r="D299" s="27" t="s">
        <v>331</v>
      </c>
      <c r="E299" s="46">
        <v>44221.670625</v>
      </c>
    </row>
    <row r="300">
      <c r="A300" s="27"/>
      <c r="B300" s="27" t="s">
        <v>45</v>
      </c>
      <c r="C300" s="50" t="str">
        <f>hyperlink("https://au.indeed.com/viewjob?from=iaBackPress&amp;jk=40f05dd02d1e6092&amp;vjs=3","Project Engineer")</f>
        <v>Project Engineer</v>
      </c>
      <c r="D300" s="27" t="s">
        <v>331</v>
      </c>
      <c r="E300" s="46">
        <v>44221.67103009259</v>
      </c>
    </row>
    <row r="301">
      <c r="A301" s="27"/>
      <c r="B301" s="27" t="s">
        <v>45</v>
      </c>
      <c r="C301" s="50" t="str">
        <f>hyperlink("https://au.indeed.com/viewjob?from=iaBackPress&amp;jk=8d9b1ecf427eebf4&amp;vjs=3","Project Engineer")</f>
        <v>Project Engineer</v>
      </c>
      <c r="D301" s="27" t="s">
        <v>434</v>
      </c>
      <c r="E301" s="46">
        <v>44221.671435185184</v>
      </c>
    </row>
    <row r="302">
      <c r="A302" s="27"/>
      <c r="B302" s="27" t="s">
        <v>45</v>
      </c>
      <c r="C302" s="50" t="str">
        <f>hyperlink("https://au.indeed.com/viewjob?from=iaBackPress&amp;jk=30b51af19d8e02fc&amp;vjs=3","Senior Environmental Scientist / Engineer – Project Management")</f>
        <v>Senior Environmental Scientist / Engineer – Project Management</v>
      </c>
      <c r="D302" s="27" t="s">
        <v>435</v>
      </c>
      <c r="E302" s="46">
        <v>44221.672106481485</v>
      </c>
    </row>
    <row r="303">
      <c r="A303" s="27"/>
      <c r="B303" s="27" t="s">
        <v>45</v>
      </c>
      <c r="C303" s="50" t="str">
        <f>hyperlink("https://au.indeed.com/viewjob?from=iaBackPress&amp;jk=2f8a3202f18ba304&amp;vjs=3","Senior System Engineer - 100% Projects - IT Solutions Provider")</f>
        <v>Senior System Engineer - 100% Projects - IT Solutions Provider</v>
      </c>
      <c r="D303" s="27" t="s">
        <v>328</v>
      </c>
      <c r="E303" s="46">
        <v>44221.672534722224</v>
      </c>
    </row>
    <row r="304">
      <c r="A304" s="27"/>
      <c r="B304" s="27" t="s">
        <v>45</v>
      </c>
      <c r="C304" s="50" t="str">
        <f>hyperlink("https://au.indeed.com/viewjob?from=iaBackPress&amp;jk=f910b6a39f270440&amp;vjs=3","Senior Structural Engineer - Tier 1 Projects")</f>
        <v>Senior Structural Engineer - Tier 1 Projects</v>
      </c>
      <c r="D304" s="27" t="s">
        <v>261</v>
      </c>
      <c r="E304" s="46">
        <v>44221.672939814816</v>
      </c>
    </row>
    <row r="305">
      <c r="A305" s="27"/>
      <c r="B305" s="27" t="s">
        <v>45</v>
      </c>
      <c r="C305" s="50" t="str">
        <f>hyperlink("https://au.indeed.com/viewjob?from=iaBackPress&amp;jk=65c80ff9e13e795a&amp;vjs=3","Senior Structural Engineer - Tier 1 Projects")</f>
        <v>Senior Structural Engineer - Tier 1 Projects</v>
      </c>
      <c r="D305" s="27" t="s">
        <v>261</v>
      </c>
      <c r="E305" s="46">
        <v>44221.673472222225</v>
      </c>
    </row>
    <row r="306">
      <c r="A306" s="27"/>
      <c r="B306" s="27" t="s">
        <v>45</v>
      </c>
      <c r="C306" s="50" t="str">
        <f>hyperlink("https://au.indeed.com/viewjob?from=iaBackPress&amp;jk=2406b1c973044f4b&amp;vjs=3","Project Engineer - Rail")</f>
        <v>Project Engineer - Rail</v>
      </c>
      <c r="D306" s="27" t="s">
        <v>405</v>
      </c>
      <c r="E306" s="46">
        <v>44221.67403935185</v>
      </c>
    </row>
    <row r="307">
      <c r="A307" s="27"/>
      <c r="B307" s="27" t="s">
        <v>45</v>
      </c>
      <c r="C307" s="50" t="str">
        <f>hyperlink("https://au.indeed.com/viewjob?from=iaBackPress&amp;jk=1767cb5bc7c5c76e&amp;vjs=3","Engineers/ supervisor/ Project Manager - Anchors")</f>
        <v>Engineers/ supervisor/ Project Manager - Anchors</v>
      </c>
      <c r="D307" s="27" t="s">
        <v>399</v>
      </c>
      <c r="E307" s="46">
        <v>44221.674675925926</v>
      </c>
    </row>
    <row r="308">
      <c r="A308" s="27"/>
      <c r="B308" s="27" t="s">
        <v>45</v>
      </c>
      <c r="C308" s="50" t="str">
        <f>hyperlink("https://au.indeed.com/viewjob?from=iaBackPress&amp;jk=bded1ea7950b81b2&amp;vjs=3","Project Engineer")</f>
        <v>Project Engineer</v>
      </c>
      <c r="D308" s="27" t="s">
        <v>340</v>
      </c>
      <c r="E308" s="46">
        <v>44221.67524305556</v>
      </c>
    </row>
    <row r="309">
      <c r="A309" s="27"/>
      <c r="B309" s="27" t="s">
        <v>45</v>
      </c>
      <c r="C309" s="50" t="str">
        <f>hyperlink("https://au.indeed.com/viewjob?from=iaBackPress&amp;jk=2c3bff315d14e90e&amp;vjs=3","Project Engineer")</f>
        <v>Project Engineer</v>
      </c>
      <c r="D309" s="27" t="s">
        <v>376</v>
      </c>
      <c r="E309" s="46">
        <v>44221.67585648148</v>
      </c>
    </row>
    <row r="310">
      <c r="A310" s="27"/>
      <c r="B310" s="27" t="s">
        <v>46</v>
      </c>
      <c r="C310" s="50" t="str">
        <f>hyperlink("https://au.indeed.com/viewjob?from=iaBackPress&amp;jk=8bc7d173f1800655&amp;vjs=3","Mechanical Fitter | Field Service and Projects")</f>
        <v>Mechanical Fitter | Field Service and Projects</v>
      </c>
      <c r="D310" s="27" t="s">
        <v>385</v>
      </c>
      <c r="E310" s="46">
        <v>44221.67642361111</v>
      </c>
    </row>
    <row r="311">
      <c r="A311" s="27"/>
      <c r="B311" s="27" t="s">
        <v>49</v>
      </c>
      <c r="C311" s="50" t="str">
        <f>hyperlink("https://au.indeed.com/viewjob?from=iaBackPress&amp;jk=2d1e22324db18c62&amp;vjs=3","SITE RELIABILITY ENGINEER / SENIOR SOFTWARE DEVELOPER ( PYTHON FOCUSED)")</f>
        <v>SITE RELIABILITY ENGINEER / SENIOR SOFTWARE DEVELOPER ( PYTHON FOCUSED)</v>
      </c>
      <c r="D311" s="27" t="s">
        <v>358</v>
      </c>
      <c r="E311" s="46">
        <v>44221.67994212963</v>
      </c>
    </row>
    <row r="312">
      <c r="A312" s="27"/>
      <c r="B312" s="27" t="s">
        <v>49</v>
      </c>
      <c r="C312" s="50" t="str">
        <f>hyperlink("https://au.indeed.com/viewjob?from=iaBackPress&amp;jk=1e0d5481fcf0c07f&amp;vjs=3","Site Reliability Engineer | Kubernetes")</f>
        <v>Site Reliability Engineer | Kubernetes</v>
      </c>
      <c r="D312" s="27" t="s">
        <v>336</v>
      </c>
      <c r="E312" s="46">
        <v>44221.68046296296</v>
      </c>
    </row>
    <row r="313">
      <c r="A313" s="27"/>
      <c r="B313" s="27" t="s">
        <v>49</v>
      </c>
      <c r="C313" s="50" t="str">
        <f>hyperlink("https://au.indeed.com/viewjob?from=iaBackPress&amp;jk=a131bfb2f76dacb8&amp;vjs=3","Site Reliability Engineer | Kubernetes")</f>
        <v>Site Reliability Engineer | Kubernetes</v>
      </c>
      <c r="D313" s="27" t="s">
        <v>336</v>
      </c>
      <c r="E313" s="46">
        <v>44221.681539351855</v>
      </c>
    </row>
    <row r="314">
      <c r="A314" s="27"/>
      <c r="B314" s="27" t="s">
        <v>49</v>
      </c>
      <c r="C314" s="50" t="str">
        <f>hyperlink("https://au.indeed.com/viewjob?from=iaBackPress&amp;jk=8271f89020bce848&amp;vjs=3","Lead Site Reliability &amp; DevOps Engineers (Multi roles)")</f>
        <v>Lead Site Reliability &amp; DevOps Engineers (Multi roles)</v>
      </c>
      <c r="D314" s="27" t="s">
        <v>436</v>
      </c>
      <c r="E314" s="46">
        <v>44221.68230324074</v>
      </c>
    </row>
    <row r="315">
      <c r="A315" s="27"/>
      <c r="B315" s="27" t="s">
        <v>49</v>
      </c>
      <c r="C315" s="50" t="str">
        <f>hyperlink("https://au.indeed.com/viewjob?from=iaBackPress&amp;jk=4b3dc1946072122f&amp;vjs=3","Site Reliability Engineer - (Remote)")</f>
        <v>Site Reliability Engineer - (Remote)</v>
      </c>
      <c r="D315" s="27" t="s">
        <v>437</v>
      </c>
      <c r="E315" s="46">
        <v>44221.682962962965</v>
      </c>
    </row>
    <row r="316">
      <c r="A316" s="27"/>
      <c r="B316" s="27" t="s">
        <v>49</v>
      </c>
      <c r="C316" s="50" t="str">
        <f>hyperlink("https://au.indeed.com/viewjob?from=iaBackPress&amp;jk=933d2922da7e15f4&amp;vjs=3","Senior Site Reliability Engineer (Fully Remote)")</f>
        <v>Senior Site Reliability Engineer (Fully Remote)</v>
      </c>
      <c r="D316" s="27" t="s">
        <v>437</v>
      </c>
      <c r="E316" s="46">
        <v>44221.684699074074</v>
      </c>
    </row>
    <row r="317">
      <c r="A317" s="27"/>
      <c r="B317" s="27" t="s">
        <v>50</v>
      </c>
      <c r="C317" s="50" t="str">
        <f>hyperlink("https://au.indeed.com/viewjob?from=iaBackPress&amp;jk=637291d23fc19d97&amp;vjs=3","Senior Automation Engineer (Financial Services)")</f>
        <v>Senior Automation Engineer (Financial Services)</v>
      </c>
      <c r="D317" s="27" t="s">
        <v>438</v>
      </c>
      <c r="E317" s="46">
        <v>44221.6853587963</v>
      </c>
    </row>
    <row r="318">
      <c r="A318" s="27"/>
      <c r="B318" s="27" t="s">
        <v>50</v>
      </c>
      <c r="C318" s="50" t="str">
        <f>hyperlink("https://au.indeed.com/viewjob?from=iaBackPress&amp;jk=b58f044900899de3&amp;vjs=3","LEVEL 1.5-2 ENGINEER - MANAGED SERVICES - AUSSIE SUCCESS STORY!")</f>
        <v>LEVEL 1.5-2 ENGINEER - MANAGED SERVICES - AUSSIE SUCCESS STORY!</v>
      </c>
      <c r="D318" s="27" t="s">
        <v>439</v>
      </c>
      <c r="E318" s="46">
        <v>44221.68587962963</v>
      </c>
    </row>
    <row r="319">
      <c r="A319" s="27"/>
      <c r="B319" s="27" t="s">
        <v>50</v>
      </c>
      <c r="C319" s="50" t="str">
        <f>hyperlink("https://au.indeed.com/viewjob?from=iaBackPress&amp;jk=9876cb3897d35bc1&amp;vjs=3","Technical Services Escalation Engineer")</f>
        <v>Technical Services Escalation Engineer</v>
      </c>
      <c r="D319" s="27" t="s">
        <v>440</v>
      </c>
      <c r="E319" s="46">
        <v>44221.686736111114</v>
      </c>
    </row>
    <row r="320">
      <c r="A320" s="27"/>
      <c r="B320" s="27" t="s">
        <v>50</v>
      </c>
      <c r="C320" s="50" t="str">
        <f>hyperlink("https://au.indeed.com/viewjob?from=iaBackPress&amp;jk=ecf2d8ab2095261c&amp;vjs=3","LEV 2.5-3 ENGINEER - MANAGED SERVICES - SUPERB AUSSIE MSP!")</f>
        <v>LEV 2.5-3 ENGINEER - MANAGED SERVICES - SUPERB AUSSIE MSP!</v>
      </c>
      <c r="D320" s="27" t="s">
        <v>439</v>
      </c>
      <c r="E320" s="46">
        <v>44221.687372685185</v>
      </c>
    </row>
    <row r="321">
      <c r="A321" s="27"/>
      <c r="B321" s="27" t="s">
        <v>50</v>
      </c>
      <c r="C321" s="50" t="str">
        <f>hyperlink("https://au.indeed.com/viewjob?from=iaBackPress&amp;jk=9d88eaaf05c369b7&amp;vjs=3","Technical Services Engineer")</f>
        <v>Technical Services Engineer</v>
      </c>
      <c r="D321" s="27" t="s">
        <v>441</v>
      </c>
      <c r="E321" s="46">
        <v>44221.68777777778</v>
      </c>
    </row>
    <row r="322">
      <c r="A322" s="27"/>
      <c r="B322" s="27" t="s">
        <v>50</v>
      </c>
      <c r="C322" s="50" t="str">
        <f>hyperlink("https://au.indeed.com/viewjob?from=iaBackPress&amp;jk=3f2746c9c93fb568&amp;vjs=3","Field Service Engineer")</f>
        <v>Field Service Engineer</v>
      </c>
      <c r="D322" s="27" t="s">
        <v>442</v>
      </c>
      <c r="E322" s="46">
        <v>44221.688310185185</v>
      </c>
    </row>
    <row r="323">
      <c r="A323" s="27"/>
      <c r="B323" s="27" t="s">
        <v>50</v>
      </c>
      <c r="C323" s="50" t="str">
        <f>hyperlink("https://au.indeed.com/viewjob?from=iaBackPress&amp;jk=c0c4bdfb1960c03b&amp;vjs=3","Acoustic Engineer - Building Services")</f>
        <v>Acoustic Engineer - Building Services</v>
      </c>
      <c r="D323" s="27" t="s">
        <v>443</v>
      </c>
      <c r="E323" s="46">
        <v>44221.69090277778</v>
      </c>
    </row>
    <row r="324">
      <c r="A324" s="27"/>
      <c r="B324" s="27" t="s">
        <v>50</v>
      </c>
      <c r="C324" s="50" t="str">
        <f>hyperlink("https://au.indeed.com/viewjob?from=iaBackPress&amp;jk=722af4b3aaf47d15&amp;vjs=3","Level 2 Service Engineer")</f>
        <v>Level 2 Service Engineer</v>
      </c>
      <c r="D324" s="27" t="s">
        <v>444</v>
      </c>
      <c r="E324" s="46">
        <v>44221.69241898148</v>
      </c>
    </row>
    <row r="325">
      <c r="A325" s="27"/>
      <c r="B325" s="27" t="s">
        <v>50</v>
      </c>
      <c r="C325" s="50" t="str">
        <f>hyperlink("https://au.indeed.com/viewjob?from=iaBackPress&amp;jk=3effb121a97937ff&amp;vjs=3","Security Engineer - Professional Services")</f>
        <v>Security Engineer - Professional Services</v>
      </c>
      <c r="D325" s="27" t="s">
        <v>445</v>
      </c>
      <c r="E325" s="46">
        <v>44221.693194444444</v>
      </c>
    </row>
    <row r="326">
      <c r="A326" s="27"/>
      <c r="B326" s="27" t="s">
        <v>50</v>
      </c>
      <c r="C326" s="50" t="str">
        <f>hyperlink("https://au.indeed.com/viewjob?from=iaBackPress&amp;jk=b501854a131376d3&amp;vjs=3","New Position, Laboratory Instrumentation - Field Service Engineer")</f>
        <v>New Position, Laboratory Instrumentation - Field Service Engineer</v>
      </c>
      <c r="D326" s="27" t="s">
        <v>446</v>
      </c>
      <c r="E326" s="46">
        <v>44221.693703703706</v>
      </c>
    </row>
    <row r="327">
      <c r="A327" s="27"/>
      <c r="B327" s="27" t="s">
        <v>50</v>
      </c>
      <c r="C327" s="50" t="str">
        <f>hyperlink("https://au.indeed.com/viewjob?from=iaBackPress&amp;jk=60523b0e041bf255&amp;vjs=3","Hydraulic Engineer | Building Services")</f>
        <v>Hydraulic Engineer | Building Services</v>
      </c>
      <c r="D327" s="27" t="s">
        <v>357</v>
      </c>
      <c r="E327" s="46">
        <v>44221.694247685184</v>
      </c>
    </row>
    <row r="328">
      <c r="A328" s="27"/>
      <c r="B328" s="27" t="s">
        <v>50</v>
      </c>
      <c r="C328" s="50" t="str">
        <f>hyperlink("https://au.indeed.com/viewjob?from=iaBackPress&amp;jk=69f93d105dff2cbf&amp;vjs=3","Senior Software Engineer (.Net &amp; AWS) - Financial Services (ASX listed)")</f>
        <v>Senior Software Engineer (.Net &amp; AWS) - Financial Services (ASX listed)</v>
      </c>
      <c r="D328" s="27" t="s">
        <v>447</v>
      </c>
      <c r="E328" s="46">
        <v>44221.694652777776</v>
      </c>
    </row>
    <row r="329">
      <c r="A329" s="27"/>
      <c r="B329" s="27" t="s">
        <v>50</v>
      </c>
      <c r="C329" s="50" t="str">
        <f>hyperlink("https://au.indeed.com/viewjob?from=iaBackPress&amp;jk=360b966f3ed796af&amp;vjs=3","Intermediate-Senior Fire Protection Engineer - Building Services")</f>
        <v>Intermediate-Senior Fire Protection Engineer - Building Services</v>
      </c>
      <c r="D329" s="27" t="s">
        <v>443</v>
      </c>
      <c r="E329" s="46">
        <v>44221.69505787037</v>
      </c>
    </row>
    <row r="330">
      <c r="A330" s="27"/>
      <c r="B330" s="27" t="s">
        <v>50</v>
      </c>
      <c r="C330" s="50" t="str">
        <f>hyperlink("https://au.indeed.com/viewjob?from=iaBackPress&amp;jk=37968d2352e280df&amp;vjs=3","Senior Services Engineer")</f>
        <v>Senior Services Engineer</v>
      </c>
      <c r="D330" s="27" t="s">
        <v>448</v>
      </c>
      <c r="E330" s="46">
        <v>44221.69567129629</v>
      </c>
    </row>
    <row r="331">
      <c r="A331" s="27"/>
      <c r="B331" s="27" t="s">
        <v>50</v>
      </c>
      <c r="C331" s="50" t="str">
        <f>hyperlink("https://au.indeed.com/viewjob?from=iaBackPress&amp;jk=e5572d05b1661c80&amp;vjs=3","Principle Hydraulics Engineer | Building Services")</f>
        <v>Principle Hydraulics Engineer | Building Services</v>
      </c>
      <c r="D331" s="27" t="s">
        <v>261</v>
      </c>
      <c r="E331" s="46">
        <v>44221.696076388886</v>
      </c>
    </row>
    <row r="332">
      <c r="A332" s="27"/>
      <c r="B332" s="27" t="s">
        <v>50</v>
      </c>
      <c r="C332" s="50" t="str">
        <f>hyperlink("https://au.indeed.com/viewjob?from=iaBackPress&amp;jk=1e8d84bc15379a10&amp;vjs=3","Service Now Engineer- Major Bank- long term contract")</f>
        <v>Service Now Engineer- Major Bank- long term contract</v>
      </c>
      <c r="D332" s="27" t="s">
        <v>418</v>
      </c>
      <c r="E332" s="46">
        <v>44221.69672453704</v>
      </c>
    </row>
    <row r="333">
      <c r="A333" s="27"/>
      <c r="B333" s="27" t="s">
        <v>50</v>
      </c>
      <c r="C333" s="50" t="str">
        <f>hyperlink("https://au.indeed.com/viewjob?from=iaBackPress&amp;jk=b4b3094ad4735fc7&amp;vjs=3","Service Engineer")</f>
        <v>Service Engineer</v>
      </c>
      <c r="D333" s="27" t="s">
        <v>360</v>
      </c>
      <c r="E333" s="46">
        <v>44221.697650462964</v>
      </c>
    </row>
    <row r="334">
      <c r="A334" s="27"/>
      <c r="B334" s="27" t="s">
        <v>50</v>
      </c>
      <c r="C334" s="50" t="str">
        <f>hyperlink("https://au.indeed.com/viewjob?from=iaBackPress&amp;jk=c8250c57d3a56373&amp;vjs=3","Senior Hydraulics Engineer | Building Services")</f>
        <v>Senior Hydraulics Engineer | Building Services</v>
      </c>
      <c r="D334" s="27" t="s">
        <v>261</v>
      </c>
      <c r="E334" s="46">
        <v>44221.698171296295</v>
      </c>
    </row>
    <row r="335">
      <c r="A335" s="27"/>
      <c r="B335" s="27" t="s">
        <v>51</v>
      </c>
      <c r="C335" s="50" t="str">
        <f>hyperlink("https://au.indeed.com/viewjob?from=iaBackPress&amp;jk=2f066f161eaaa8a0&amp;vjs=3","Site Engineer")</f>
        <v>Site Engineer</v>
      </c>
      <c r="D335" s="27" t="s">
        <v>331</v>
      </c>
      <c r="E335" s="46">
        <v>44221.70024305556</v>
      </c>
    </row>
    <row r="336">
      <c r="A336" s="27"/>
      <c r="B336" s="27" t="s">
        <v>51</v>
      </c>
      <c r="C336" s="50" t="str">
        <f>hyperlink("https://au.indeed.com/viewjob?from=iaBackPress&amp;jk=01382cc887cd484a&amp;vjs=3","Site Engineers")</f>
        <v>Site Engineers</v>
      </c>
      <c r="D336" s="27" t="s">
        <v>409</v>
      </c>
      <c r="E336" s="46">
        <v>44221.70141203704</v>
      </c>
    </row>
    <row r="337">
      <c r="A337" s="27"/>
      <c r="B337" s="27" t="s">
        <v>51</v>
      </c>
      <c r="C337" s="50" t="str">
        <f>hyperlink("https://au.indeed.com/viewjob?from=iaBackPress&amp;jk=aa67aae1b0162b91&amp;vjs=3","Site Engineer")</f>
        <v>Site Engineer</v>
      </c>
      <c r="D337" s="27" t="s">
        <v>404</v>
      </c>
      <c r="E337" s="46">
        <v>44221.702210648145</v>
      </c>
    </row>
    <row r="338">
      <c r="A338" s="27"/>
      <c r="B338" s="27" t="s">
        <v>51</v>
      </c>
      <c r="C338" s="50" t="str">
        <f>hyperlink("https://au.indeed.com/viewjob?from=iaBackPress&amp;jk=87960887c6a5bb0d&amp;vjs=3","Site / Project Engineer (concrete) - 3-5 yrs experience - Sydney")</f>
        <v>Site / Project Engineer (concrete) - 3-5 yrs experience - Sydney</v>
      </c>
      <c r="D338" s="27" t="s">
        <v>449</v>
      </c>
      <c r="E338" s="46">
        <v>44221.70265046296</v>
      </c>
    </row>
    <row r="339">
      <c r="A339" s="27"/>
      <c r="B339" s="27" t="s">
        <v>51</v>
      </c>
      <c r="C339" s="50" t="str">
        <f>hyperlink("https://au.indeed.com/viewjob?from=iaBackPress&amp;jk=ddad60030d2e8840&amp;vjs=3","Site Engineer")</f>
        <v>Site Engineer</v>
      </c>
      <c r="D339" s="27" t="s">
        <v>342</v>
      </c>
      <c r="E339" s="46">
        <v>44221.703055555554</v>
      </c>
    </row>
    <row r="340">
      <c r="A340" s="27"/>
      <c r="B340" s="27" t="s">
        <v>51</v>
      </c>
      <c r="C340" s="50" t="str">
        <f>hyperlink("https://au.indeed.com/viewjob?from=iaBackPress&amp;jk=5a1d66bcbd0bad68&amp;vjs=3","Site Engineers")</f>
        <v>Site Engineers</v>
      </c>
      <c r="D340" s="27" t="s">
        <v>450</v>
      </c>
      <c r="E340" s="46">
        <v>44221.703576388885</v>
      </c>
    </row>
    <row r="341">
      <c r="A341" s="27"/>
      <c r="B341" s="27" t="s">
        <v>51</v>
      </c>
      <c r="C341" s="50" t="str">
        <f>hyperlink("https://au.indeed.com/viewjob?from=iaBackPress&amp;jk=48d5206125fec564&amp;vjs=3","Site Engineer")</f>
        <v>Site Engineer</v>
      </c>
      <c r="D341" s="27" t="s">
        <v>360</v>
      </c>
      <c r="E341" s="46">
        <v>44221.70517361111</v>
      </c>
    </row>
    <row r="342">
      <c r="A342" s="27"/>
      <c r="B342" s="27" t="s">
        <v>51</v>
      </c>
      <c r="C342" s="50" t="str">
        <f>hyperlink("https://au.indeed.com/viewjob?from=iaBackPress&amp;jk=4f857f556165dfa4&amp;vjs=3","Contracts Administrator &amp; Site Engineers - Mandarin Speaking")</f>
        <v>Contracts Administrator &amp; Site Engineers - Mandarin Speaking</v>
      </c>
      <c r="D342" s="27" t="s">
        <v>451</v>
      </c>
      <c r="E342" s="46">
        <v>44221.70586805556</v>
      </c>
    </row>
    <row r="343">
      <c r="A343" s="27"/>
      <c r="B343" s="27" t="s">
        <v>51</v>
      </c>
      <c r="C343" s="50" t="str">
        <f>hyperlink("https://au.indeed.com/viewjob?from=iaBackPress&amp;jk=056a377f6a2d0cf3&amp;vjs=3","Senior Environmental Scientist / Engineer – Contaminated Sites")</f>
        <v>Senior Environmental Scientist / Engineer – Contaminated Sites</v>
      </c>
      <c r="D343" s="27" t="s">
        <v>435</v>
      </c>
      <c r="E343" s="46">
        <v>44221.70630787037</v>
      </c>
    </row>
    <row r="344">
      <c r="A344" s="27"/>
      <c r="B344" s="27" t="s">
        <v>54</v>
      </c>
      <c r="C344" s="50" t="str">
        <f>hyperlink("https://au.indeed.com/viewjob?from=iaBackPress&amp;jk=152e7cb239a97d2f&amp;vjs=3","Senior SRE Engineer (Improve) - MedTech SaaS Product - Competitive Salary")</f>
        <v>Senior SRE Engineer (Improve) - MedTech SaaS Product - Competitive Salary</v>
      </c>
      <c r="D344" s="27" t="s">
        <v>452</v>
      </c>
      <c r="E344" s="46">
        <v>44221.707662037035</v>
      </c>
    </row>
    <row r="345">
      <c r="A345" s="27"/>
      <c r="B345" s="27" t="s">
        <v>54</v>
      </c>
      <c r="C345" s="50" t="str">
        <f>hyperlink("https://au.indeed.com/viewjob?from=iaBackPress&amp;jk=df1aa84cb5e4402e&amp;vjs=3","Full Stack Engineer * Greenfield Fintech Product *  Up to $150K + Super + Perks")</f>
        <v>Full Stack Engineer * Greenfield Fintech Product *  Up to $150K + Super + Perks</v>
      </c>
      <c r="D345" s="27" t="s">
        <v>452</v>
      </c>
      <c r="E345" s="46">
        <v>44221.70891203704</v>
      </c>
    </row>
    <row r="346">
      <c r="A346" s="27"/>
      <c r="B346" s="27" t="s">
        <v>54</v>
      </c>
      <c r="C346" s="50" t="str">
        <f>hyperlink("https://au.indeed.com/viewjob?from=iaBackPress&amp;jk=4f9f5d38764d5d50&amp;vjs=3","2x Senior Golang Engineer | Global Tech Products")</f>
        <v>2x Senior Golang Engineer | Global Tech Products</v>
      </c>
      <c r="D346" s="27" t="s">
        <v>453</v>
      </c>
      <c r="E346" s="46">
        <v>44221.709328703706</v>
      </c>
    </row>
    <row r="347">
      <c r="A347" s="27"/>
      <c r="B347" s="27" t="s">
        <v>54</v>
      </c>
      <c r="C347" s="50" t="str">
        <f>hyperlink("https://au.indeed.com/viewjob?from=iaBackPress&amp;jk=f2a7de4527f872cc&amp;vjs=3","Leading Data SaaS Product Company -2x Senior Data Engineers.")</f>
        <v>Leading Data SaaS Product Company -2x Senior Data Engineers.</v>
      </c>
      <c r="D347" s="27" t="s">
        <v>452</v>
      </c>
      <c r="E347" s="46">
        <v>44221.71024305555</v>
      </c>
    </row>
    <row r="348">
      <c r="A348" s="27"/>
      <c r="B348" s="27" t="s">
        <v>54</v>
      </c>
      <c r="C348" s="50" t="str">
        <f>hyperlink("https://au.indeed.com/viewjob?from=iaBackPress&amp;jk=d01de3713084d754&amp;vjs=3","Leading Data SaaS Product Company -2x Senior Data Engineers.")</f>
        <v>Leading Data SaaS Product Company -2x Senior Data Engineers.</v>
      </c>
      <c r="D348" s="27" t="s">
        <v>452</v>
      </c>
      <c r="E348" s="46">
        <v>44221.710648148146</v>
      </c>
    </row>
    <row r="349">
      <c r="A349" s="27"/>
      <c r="B349" s="27" t="s">
        <v>54</v>
      </c>
      <c r="C349" s="50" t="str">
        <f>hyperlink("https://au.indeed.com/viewjob?from=iaBackPress&amp;jk=833dae7696c54785&amp;vjs=3","Product Technologist / Engineer Technologist - Medical Mobility Equipment")</f>
        <v>Product Technologist / Engineer Technologist - Medical Mobility Equipment</v>
      </c>
      <c r="D349" s="27" t="s">
        <v>454</v>
      </c>
      <c r="E349" s="46">
        <v>44221.711539351854</v>
      </c>
    </row>
    <row r="350">
      <c r="A350" s="13"/>
      <c r="B350" s="13"/>
      <c r="C350" s="13"/>
      <c r="D350" s="13"/>
      <c r="E350" s="14"/>
    </row>
    <row r="351">
      <c r="A351" s="13"/>
      <c r="B351" s="13"/>
      <c r="C351" s="13"/>
      <c r="D351" s="13"/>
      <c r="E351" s="14"/>
    </row>
    <row r="352">
      <c r="A352" s="13"/>
      <c r="B352" s="13"/>
      <c r="C352" s="13"/>
      <c r="D352" s="13"/>
      <c r="E352" s="14"/>
    </row>
    <row r="353">
      <c r="A353" s="13"/>
      <c r="B353" s="13"/>
      <c r="C353" s="13"/>
      <c r="D353" s="13"/>
      <c r="E353" s="14"/>
    </row>
    <row r="354">
      <c r="A354" s="13"/>
      <c r="B354" s="13"/>
      <c r="C354" s="13"/>
      <c r="D354" s="13"/>
      <c r="E354" s="14"/>
    </row>
    <row r="355">
      <c r="A355" s="13"/>
      <c r="B355" s="13"/>
      <c r="C355" s="13"/>
      <c r="D355" s="13"/>
      <c r="E355" s="14"/>
    </row>
    <row r="356">
      <c r="A356" s="13"/>
      <c r="B356" s="13"/>
      <c r="C356" s="13"/>
      <c r="D356" s="13"/>
      <c r="E356" s="14"/>
    </row>
    <row r="357">
      <c r="A357" s="13"/>
      <c r="B357" s="13"/>
      <c r="C357" s="13"/>
      <c r="D357" s="13"/>
      <c r="E357" s="14"/>
    </row>
    <row r="358">
      <c r="A358" s="13"/>
      <c r="B358" s="13"/>
      <c r="C358" s="13"/>
      <c r="D358" s="13"/>
      <c r="E358" s="14"/>
    </row>
    <row r="359">
      <c r="A359" s="13"/>
      <c r="B359" s="13"/>
      <c r="C359" s="13"/>
      <c r="D359" s="13"/>
      <c r="E359" s="14"/>
    </row>
    <row r="360">
      <c r="A360" s="13"/>
      <c r="B360" s="13"/>
      <c r="C360" s="13"/>
      <c r="D360" s="13"/>
      <c r="E360" s="14"/>
    </row>
    <row r="361">
      <c r="A361" s="13"/>
      <c r="B361" s="13"/>
      <c r="C361" s="13"/>
      <c r="D361" s="13"/>
      <c r="E361" s="14"/>
    </row>
    <row r="362">
      <c r="A362" s="13"/>
      <c r="B362" s="13"/>
      <c r="C362" s="13"/>
      <c r="D362" s="13"/>
      <c r="E362" s="14"/>
    </row>
    <row r="363">
      <c r="A363" s="13"/>
      <c r="B363" s="13"/>
      <c r="C363" s="13"/>
      <c r="D363" s="13"/>
      <c r="E363" s="14"/>
    </row>
    <row r="364">
      <c r="A364" s="13"/>
      <c r="B364" s="13"/>
      <c r="C364" s="13"/>
      <c r="D364" s="13"/>
      <c r="E364" s="14"/>
    </row>
    <row r="365">
      <c r="A365" s="13"/>
      <c r="B365" s="13"/>
      <c r="C365" s="13"/>
      <c r="D365" s="13"/>
      <c r="E365" s="14"/>
    </row>
    <row r="366">
      <c r="A366" s="13"/>
      <c r="B366" s="13"/>
      <c r="C366" s="13"/>
      <c r="D366" s="13"/>
      <c r="E366" s="14"/>
    </row>
    <row r="367">
      <c r="A367" s="13"/>
      <c r="B367" s="13"/>
      <c r="C367" s="13"/>
      <c r="D367" s="13"/>
      <c r="E367" s="14"/>
    </row>
    <row r="368">
      <c r="A368" s="13"/>
      <c r="B368" s="13"/>
      <c r="C368" s="13"/>
      <c r="D368" s="13"/>
      <c r="E368" s="14"/>
    </row>
    <row r="369">
      <c r="A369" s="13"/>
      <c r="B369" s="13"/>
      <c r="C369" s="13"/>
      <c r="D369" s="13"/>
      <c r="E369" s="14"/>
    </row>
    <row r="370">
      <c r="A370" s="13"/>
      <c r="B370" s="13"/>
      <c r="C370" s="13"/>
      <c r="D370" s="13"/>
      <c r="E370" s="14"/>
    </row>
    <row r="371">
      <c r="A371" s="13"/>
      <c r="B371" s="13"/>
      <c r="C371" s="13"/>
      <c r="D371" s="13"/>
      <c r="E371" s="14"/>
    </row>
    <row r="372">
      <c r="A372" s="13"/>
      <c r="B372" s="13"/>
      <c r="C372" s="13"/>
      <c r="D372" s="13"/>
      <c r="E372" s="14"/>
    </row>
    <row r="373">
      <c r="A373" s="13"/>
      <c r="B373" s="13"/>
      <c r="C373" s="13"/>
      <c r="D373" s="13"/>
      <c r="E373" s="14"/>
    </row>
    <row r="374">
      <c r="A374" s="13"/>
      <c r="B374" s="13"/>
      <c r="C374" s="13"/>
      <c r="D374" s="13"/>
      <c r="E374" s="14"/>
    </row>
    <row r="375">
      <c r="A375" s="13"/>
      <c r="B375" s="13"/>
      <c r="C375" s="13"/>
      <c r="D375" s="13"/>
      <c r="E375" s="14"/>
    </row>
    <row r="376">
      <c r="A376" s="13"/>
      <c r="B376" s="13"/>
      <c r="C376" s="13"/>
      <c r="D376" s="13"/>
      <c r="E376" s="14"/>
    </row>
    <row r="377">
      <c r="A377" s="13"/>
      <c r="B377" s="13"/>
      <c r="C377" s="13"/>
      <c r="D377" s="13"/>
      <c r="E377" s="14"/>
    </row>
    <row r="378">
      <c r="A378" s="13"/>
      <c r="B378" s="13"/>
      <c r="C378" s="13"/>
      <c r="D378" s="13"/>
      <c r="E378" s="14"/>
    </row>
    <row r="379">
      <c r="A379" s="13"/>
      <c r="B379" s="13"/>
      <c r="C379" s="13"/>
      <c r="D379" s="13"/>
      <c r="E379" s="14"/>
    </row>
    <row r="380">
      <c r="A380" s="13"/>
      <c r="B380" s="13"/>
      <c r="C380" s="13"/>
      <c r="D380" s="13"/>
      <c r="E380" s="14"/>
    </row>
    <row r="381">
      <c r="A381" s="13"/>
      <c r="B381" s="13"/>
      <c r="C381" s="13"/>
      <c r="D381" s="13"/>
      <c r="E381" s="14"/>
    </row>
    <row r="382">
      <c r="A382" s="13"/>
      <c r="B382" s="13"/>
      <c r="C382" s="13"/>
      <c r="D382" s="13"/>
      <c r="E382" s="14"/>
    </row>
    <row r="383">
      <c r="A383" s="13"/>
      <c r="B383" s="13"/>
      <c r="C383" s="13"/>
      <c r="D383" s="13"/>
      <c r="E383" s="14"/>
    </row>
    <row r="384">
      <c r="A384" s="13"/>
      <c r="B384" s="13"/>
      <c r="C384" s="13"/>
      <c r="D384" s="13"/>
      <c r="E384" s="14"/>
    </row>
    <row r="385">
      <c r="A385" s="13"/>
      <c r="B385" s="13"/>
      <c r="C385" s="13"/>
      <c r="D385" s="13"/>
      <c r="E385" s="14"/>
    </row>
    <row r="386">
      <c r="A386" s="13"/>
      <c r="B386" s="13"/>
      <c r="C386" s="13"/>
      <c r="D386" s="13"/>
      <c r="E386" s="14"/>
    </row>
    <row r="387">
      <c r="A387" s="13"/>
      <c r="B387" s="13"/>
      <c r="C387" s="13"/>
      <c r="D387" s="13"/>
      <c r="E387" s="14"/>
    </row>
    <row r="388">
      <c r="A388" s="13"/>
      <c r="B388" s="13"/>
      <c r="C388" s="13"/>
      <c r="D388" s="13"/>
      <c r="E388" s="14"/>
    </row>
    <row r="389">
      <c r="A389" s="13"/>
      <c r="B389" s="13"/>
      <c r="C389" s="13"/>
      <c r="D389" s="13"/>
      <c r="E389" s="14"/>
    </row>
    <row r="390">
      <c r="A390" s="13"/>
      <c r="B390" s="13"/>
      <c r="C390" s="13"/>
      <c r="D390" s="13"/>
      <c r="E390" s="14"/>
    </row>
    <row r="391">
      <c r="A391" s="13"/>
      <c r="B391" s="13"/>
      <c r="C391" s="13"/>
      <c r="D391" s="13"/>
      <c r="E391" s="14"/>
    </row>
    <row r="392">
      <c r="A392" s="13"/>
      <c r="B392" s="13"/>
      <c r="C392" s="13"/>
      <c r="D392" s="13"/>
      <c r="E392" s="14"/>
    </row>
    <row r="393">
      <c r="A393" s="13"/>
      <c r="B393" s="13"/>
      <c r="C393" s="13"/>
      <c r="D393" s="13"/>
      <c r="E393" s="14"/>
    </row>
    <row r="394">
      <c r="A394" s="13"/>
      <c r="B394" s="13"/>
      <c r="C394" s="13"/>
      <c r="D394" s="13"/>
      <c r="E394" s="14"/>
    </row>
    <row r="395">
      <c r="A395" s="13"/>
      <c r="B395" s="13"/>
      <c r="C395" s="13"/>
      <c r="D395" s="13"/>
      <c r="E395" s="14"/>
    </row>
    <row r="396">
      <c r="A396" s="13"/>
      <c r="B396" s="13"/>
      <c r="C396" s="13"/>
      <c r="D396" s="13"/>
      <c r="E396" s="14"/>
    </row>
    <row r="397">
      <c r="A397" s="13"/>
      <c r="B397" s="13"/>
      <c r="C397" s="13"/>
      <c r="D397" s="13"/>
      <c r="E397" s="14"/>
    </row>
    <row r="398">
      <c r="A398" s="13"/>
      <c r="B398" s="13"/>
      <c r="C398" s="13"/>
      <c r="D398" s="13"/>
      <c r="E398" s="14"/>
    </row>
    <row r="399">
      <c r="A399" s="13"/>
      <c r="B399" s="13"/>
      <c r="C399" s="13"/>
      <c r="D399" s="13"/>
      <c r="E399" s="14"/>
    </row>
    <row r="400">
      <c r="A400" s="13"/>
      <c r="B400" s="13"/>
      <c r="C400" s="13"/>
      <c r="D400" s="13"/>
      <c r="E400" s="14"/>
    </row>
    <row r="401">
      <c r="A401" s="13"/>
      <c r="B401" s="13"/>
      <c r="C401" s="13"/>
      <c r="D401" s="13"/>
      <c r="E401" s="14"/>
    </row>
    <row r="402">
      <c r="A402" s="13"/>
      <c r="B402" s="13"/>
      <c r="C402" s="13"/>
      <c r="D402" s="13"/>
      <c r="E402" s="14"/>
    </row>
    <row r="403">
      <c r="A403" s="13"/>
      <c r="B403" s="13"/>
      <c r="C403" s="13"/>
      <c r="D403" s="13"/>
      <c r="E403" s="14"/>
    </row>
    <row r="404">
      <c r="A404" s="13"/>
      <c r="B404" s="13"/>
      <c r="C404" s="13"/>
      <c r="D404" s="13"/>
      <c r="E404" s="14"/>
    </row>
    <row r="405">
      <c r="A405" s="13"/>
      <c r="B405" s="13"/>
      <c r="C405" s="13"/>
      <c r="D405" s="13"/>
      <c r="E405" s="14"/>
    </row>
    <row r="406">
      <c r="A406" s="13"/>
      <c r="B406" s="13"/>
      <c r="C406" s="13"/>
      <c r="D406" s="13"/>
      <c r="E406" s="14"/>
    </row>
    <row r="407">
      <c r="A407" s="13"/>
      <c r="B407" s="13"/>
      <c r="C407" s="13"/>
      <c r="D407" s="13"/>
      <c r="E407" s="14"/>
    </row>
    <row r="408">
      <c r="A408" s="13"/>
      <c r="B408" s="13"/>
      <c r="C408" s="13"/>
      <c r="D408" s="13"/>
      <c r="E408" s="14"/>
    </row>
    <row r="409">
      <c r="A409" s="13"/>
      <c r="B409" s="13"/>
      <c r="C409" s="13"/>
      <c r="D409" s="13"/>
      <c r="E409" s="14"/>
    </row>
    <row r="410">
      <c r="A410" s="13"/>
      <c r="B410" s="13"/>
      <c r="C410" s="13"/>
      <c r="D410" s="13"/>
      <c r="E410" s="14"/>
    </row>
    <row r="411">
      <c r="A411" s="13"/>
      <c r="B411" s="13"/>
      <c r="C411" s="13"/>
      <c r="D411" s="13"/>
      <c r="E411" s="14"/>
    </row>
    <row r="412">
      <c r="A412" s="13"/>
      <c r="B412" s="13"/>
      <c r="C412" s="13"/>
      <c r="D412" s="13"/>
      <c r="E412" s="14"/>
    </row>
    <row r="413">
      <c r="A413" s="13"/>
      <c r="B413" s="13"/>
      <c r="C413" s="13"/>
      <c r="D413" s="13"/>
      <c r="E413" s="14"/>
    </row>
    <row r="414">
      <c r="A414" s="13"/>
      <c r="B414" s="13"/>
      <c r="C414" s="13"/>
      <c r="D414" s="13"/>
      <c r="E414" s="14"/>
    </row>
    <row r="415">
      <c r="A415" s="13"/>
      <c r="B415" s="13"/>
      <c r="C415" s="13"/>
      <c r="D415" s="13"/>
      <c r="E415" s="14"/>
    </row>
    <row r="416">
      <c r="A416" s="13"/>
      <c r="B416" s="13"/>
      <c r="C416" s="13"/>
      <c r="D416" s="13"/>
      <c r="E416" s="14"/>
    </row>
    <row r="417">
      <c r="A417" s="13"/>
      <c r="B417" s="13"/>
      <c r="C417" s="13"/>
      <c r="D417" s="13"/>
      <c r="E417" s="14"/>
    </row>
    <row r="418">
      <c r="A418" s="13"/>
      <c r="B418" s="13"/>
      <c r="C418" s="13"/>
      <c r="D418" s="13"/>
      <c r="E418" s="14"/>
    </row>
    <row r="419">
      <c r="A419" s="13"/>
      <c r="B419" s="13"/>
      <c r="C419" s="13"/>
      <c r="D419" s="13"/>
      <c r="E419" s="14"/>
    </row>
    <row r="420">
      <c r="A420" s="13"/>
      <c r="B420" s="13"/>
      <c r="C420" s="13"/>
      <c r="D420" s="13"/>
      <c r="E420" s="14"/>
    </row>
    <row r="421">
      <c r="A421" s="13"/>
      <c r="B421" s="13"/>
      <c r="C421" s="13"/>
      <c r="D421" s="13"/>
      <c r="E421" s="14"/>
    </row>
    <row r="422">
      <c r="A422" s="13"/>
      <c r="B422" s="13"/>
      <c r="C422" s="13"/>
      <c r="D422" s="13"/>
      <c r="E422" s="14"/>
    </row>
    <row r="423">
      <c r="A423" s="13"/>
      <c r="B423" s="13"/>
      <c r="C423" s="13"/>
      <c r="D423" s="13"/>
      <c r="E423" s="14"/>
    </row>
    <row r="424">
      <c r="A424" s="13"/>
      <c r="B424" s="13"/>
      <c r="C424" s="13"/>
      <c r="D424" s="13"/>
      <c r="E424" s="14"/>
    </row>
    <row r="425">
      <c r="A425" s="13"/>
      <c r="B425" s="13"/>
      <c r="C425" s="13"/>
      <c r="D425" s="13"/>
      <c r="E425" s="14"/>
    </row>
    <row r="426">
      <c r="A426" s="13"/>
      <c r="B426" s="13"/>
      <c r="C426" s="13"/>
      <c r="D426" s="13"/>
      <c r="E426" s="14"/>
    </row>
    <row r="427">
      <c r="A427" s="13"/>
      <c r="B427" s="13"/>
      <c r="C427" s="13"/>
      <c r="D427" s="13"/>
      <c r="E427" s="14"/>
    </row>
    <row r="428">
      <c r="A428" s="13"/>
      <c r="B428" s="13"/>
      <c r="C428" s="13"/>
      <c r="D428" s="13"/>
      <c r="E428" s="14"/>
    </row>
    <row r="429">
      <c r="A429" s="13"/>
      <c r="B429" s="13"/>
      <c r="C429" s="13"/>
      <c r="D429" s="13"/>
      <c r="E429" s="14"/>
    </row>
    <row r="430">
      <c r="A430" s="13"/>
      <c r="B430" s="13"/>
      <c r="C430" s="13"/>
      <c r="D430" s="13"/>
      <c r="E430" s="14"/>
    </row>
    <row r="431">
      <c r="A431" s="13"/>
      <c r="B431" s="13"/>
      <c r="C431" s="13"/>
      <c r="D431" s="13"/>
      <c r="E431" s="14"/>
    </row>
    <row r="432">
      <c r="A432" s="13"/>
      <c r="B432" s="13"/>
      <c r="C432" s="13"/>
      <c r="D432" s="13"/>
      <c r="E432" s="14"/>
    </row>
    <row r="433">
      <c r="A433" s="13"/>
      <c r="B433" s="13"/>
      <c r="C433" s="13"/>
      <c r="D433" s="13"/>
      <c r="E433" s="14"/>
    </row>
    <row r="434">
      <c r="A434" s="13"/>
      <c r="B434" s="13"/>
      <c r="C434" s="13"/>
      <c r="D434" s="13"/>
      <c r="E434" s="14"/>
    </row>
    <row r="435">
      <c r="A435" s="13"/>
      <c r="B435" s="13"/>
      <c r="C435" s="13"/>
      <c r="D435" s="13"/>
      <c r="E435" s="14"/>
    </row>
    <row r="436">
      <c r="A436" s="13"/>
      <c r="B436" s="13"/>
      <c r="C436" s="13"/>
      <c r="D436" s="13"/>
      <c r="E436" s="14"/>
    </row>
    <row r="437">
      <c r="A437" s="13"/>
      <c r="B437" s="13"/>
      <c r="C437" s="13"/>
      <c r="D437" s="13"/>
      <c r="E437" s="14"/>
    </row>
    <row r="438">
      <c r="A438" s="13"/>
      <c r="B438" s="13"/>
      <c r="C438" s="13"/>
      <c r="D438" s="13"/>
      <c r="E438" s="14"/>
    </row>
    <row r="439">
      <c r="A439" s="13"/>
      <c r="B439" s="13"/>
      <c r="C439" s="13"/>
      <c r="D439" s="13"/>
      <c r="E439" s="14"/>
    </row>
    <row r="440">
      <c r="A440" s="13"/>
      <c r="B440" s="13"/>
      <c r="C440" s="13"/>
      <c r="D440" s="13"/>
      <c r="E440" s="14"/>
    </row>
    <row r="441">
      <c r="A441" s="13"/>
      <c r="B441" s="13"/>
      <c r="C441" s="13"/>
      <c r="D441" s="13"/>
      <c r="E441" s="14"/>
    </row>
    <row r="442">
      <c r="A442" s="13"/>
      <c r="B442" s="13"/>
      <c r="C442" s="13"/>
      <c r="D442" s="13"/>
      <c r="E442" s="14"/>
    </row>
    <row r="443">
      <c r="A443" s="13"/>
      <c r="B443" s="13"/>
      <c r="C443" s="13"/>
      <c r="D443" s="13"/>
      <c r="E443" s="14"/>
    </row>
    <row r="444">
      <c r="A444" s="13"/>
      <c r="B444" s="13"/>
      <c r="C444" s="13"/>
      <c r="D444" s="13"/>
      <c r="E444" s="14"/>
    </row>
    <row r="445">
      <c r="A445" s="13"/>
      <c r="B445" s="13"/>
      <c r="C445" s="13"/>
      <c r="D445" s="13"/>
      <c r="E445" s="14"/>
    </row>
    <row r="446">
      <c r="A446" s="13"/>
      <c r="B446" s="13"/>
      <c r="C446" s="13"/>
      <c r="D446" s="13"/>
      <c r="E446" s="14"/>
    </row>
    <row r="447">
      <c r="A447" s="13"/>
      <c r="B447" s="13"/>
      <c r="C447" s="13"/>
      <c r="D447" s="13"/>
      <c r="E447" s="14"/>
    </row>
    <row r="448">
      <c r="A448" s="13"/>
      <c r="B448" s="13"/>
      <c r="C448" s="13"/>
      <c r="D448" s="13"/>
      <c r="E448" s="14"/>
    </row>
    <row r="449">
      <c r="A449" s="13"/>
      <c r="B449" s="13"/>
      <c r="C449" s="13"/>
      <c r="D449" s="13"/>
      <c r="E449" s="14"/>
    </row>
    <row r="450">
      <c r="A450" s="13"/>
      <c r="B450" s="13"/>
      <c r="C450" s="13"/>
      <c r="D450" s="13"/>
      <c r="E450" s="14"/>
    </row>
    <row r="451">
      <c r="A451" s="13"/>
      <c r="B451" s="13"/>
      <c r="C451" s="13"/>
      <c r="D451" s="13"/>
      <c r="E451" s="14"/>
    </row>
    <row r="452">
      <c r="A452" s="13"/>
      <c r="B452" s="13"/>
      <c r="C452" s="13"/>
      <c r="D452" s="13"/>
      <c r="E452" s="14"/>
    </row>
    <row r="453">
      <c r="A453" s="13"/>
      <c r="B453" s="13"/>
      <c r="C453" s="13"/>
      <c r="D453" s="13"/>
      <c r="E453" s="14"/>
    </row>
    <row r="454">
      <c r="A454" s="13"/>
      <c r="B454" s="13"/>
      <c r="C454" s="13"/>
      <c r="D454" s="13"/>
      <c r="E454" s="14"/>
    </row>
    <row r="455">
      <c r="A455" s="13"/>
      <c r="B455" s="13"/>
      <c r="C455" s="13"/>
      <c r="D455" s="13"/>
      <c r="E455" s="14"/>
    </row>
    <row r="456">
      <c r="A456" s="13"/>
      <c r="B456" s="13"/>
      <c r="C456" s="13"/>
      <c r="D456" s="13"/>
      <c r="E456" s="14"/>
    </row>
    <row r="457">
      <c r="A457" s="13"/>
      <c r="B457" s="13"/>
      <c r="C457" s="13"/>
      <c r="D457" s="13"/>
      <c r="E457" s="14"/>
    </row>
    <row r="458">
      <c r="A458" s="13"/>
      <c r="B458" s="13"/>
      <c r="C458" s="13"/>
      <c r="D458" s="13"/>
      <c r="E458" s="14"/>
    </row>
    <row r="459">
      <c r="A459" s="13"/>
      <c r="B459" s="13"/>
      <c r="C459" s="13"/>
      <c r="D459" s="13"/>
      <c r="E459" s="14"/>
    </row>
    <row r="460">
      <c r="A460" s="13"/>
      <c r="B460" s="13"/>
      <c r="C460" s="13"/>
      <c r="D460" s="13"/>
      <c r="E460" s="14"/>
    </row>
    <row r="461">
      <c r="A461" s="13"/>
      <c r="B461" s="13"/>
      <c r="C461" s="13"/>
      <c r="D461" s="13"/>
      <c r="E461" s="14"/>
    </row>
    <row r="462">
      <c r="A462" s="13"/>
      <c r="B462" s="13"/>
      <c r="C462" s="13"/>
      <c r="D462" s="13"/>
      <c r="E462" s="14"/>
    </row>
    <row r="463">
      <c r="A463" s="13"/>
      <c r="B463" s="13"/>
      <c r="C463" s="13"/>
      <c r="D463" s="13"/>
      <c r="E463" s="14"/>
    </row>
    <row r="464">
      <c r="A464" s="13"/>
      <c r="B464" s="13"/>
      <c r="C464" s="13"/>
      <c r="D464" s="13"/>
      <c r="E464" s="14"/>
    </row>
    <row r="465">
      <c r="A465" s="13"/>
      <c r="B465" s="13"/>
      <c r="C465" s="13"/>
      <c r="D465" s="13"/>
      <c r="E465" s="14"/>
    </row>
    <row r="466">
      <c r="A466" s="13"/>
      <c r="B466" s="13"/>
      <c r="C466" s="13"/>
      <c r="D466" s="13"/>
      <c r="E466" s="14"/>
    </row>
    <row r="467">
      <c r="A467" s="13"/>
      <c r="B467" s="13"/>
      <c r="C467" s="13"/>
      <c r="D467" s="13"/>
      <c r="E467" s="14"/>
    </row>
    <row r="468">
      <c r="A468" s="13"/>
      <c r="B468" s="13"/>
      <c r="C468" s="13"/>
      <c r="D468" s="13"/>
      <c r="E468" s="14"/>
    </row>
    <row r="469">
      <c r="A469" s="13"/>
      <c r="B469" s="13"/>
      <c r="C469" s="13"/>
      <c r="D469" s="13"/>
      <c r="E469" s="14"/>
    </row>
    <row r="470">
      <c r="A470" s="13"/>
      <c r="B470" s="13"/>
      <c r="C470" s="13"/>
      <c r="D470" s="13"/>
      <c r="E470" s="14"/>
    </row>
    <row r="471">
      <c r="A471" s="13"/>
      <c r="B471" s="13"/>
      <c r="C471" s="13"/>
      <c r="D471" s="13"/>
      <c r="E471" s="14"/>
    </row>
    <row r="472">
      <c r="A472" s="13"/>
      <c r="B472" s="13"/>
      <c r="C472" s="13"/>
      <c r="D472" s="13"/>
      <c r="E472" s="14"/>
    </row>
    <row r="473">
      <c r="A473" s="13"/>
      <c r="B473" s="13"/>
      <c r="C473" s="13"/>
      <c r="D473" s="13"/>
      <c r="E473" s="14"/>
    </row>
    <row r="474">
      <c r="A474" s="13"/>
      <c r="B474" s="13"/>
      <c r="C474" s="13"/>
      <c r="D474" s="13"/>
      <c r="E474" s="14"/>
    </row>
    <row r="475">
      <c r="A475" s="13"/>
      <c r="B475" s="13"/>
      <c r="C475" s="13"/>
      <c r="D475" s="13"/>
      <c r="E475" s="14"/>
    </row>
    <row r="476">
      <c r="A476" s="13"/>
      <c r="B476" s="13"/>
      <c r="C476" s="13"/>
      <c r="D476" s="13"/>
      <c r="E476" s="14"/>
    </row>
    <row r="477">
      <c r="A477" s="13"/>
      <c r="B477" s="13"/>
      <c r="C477" s="13"/>
      <c r="D477" s="13"/>
      <c r="E477" s="14"/>
    </row>
    <row r="478">
      <c r="A478" s="13"/>
      <c r="B478" s="13"/>
      <c r="C478" s="13"/>
      <c r="D478" s="13"/>
      <c r="E478" s="14"/>
    </row>
    <row r="479">
      <c r="A479" s="13"/>
      <c r="B479" s="13"/>
      <c r="C479" s="13"/>
      <c r="D479" s="13"/>
      <c r="E479" s="14"/>
    </row>
    <row r="480">
      <c r="A480" s="13"/>
      <c r="B480" s="13"/>
      <c r="C480" s="13"/>
      <c r="D480" s="13"/>
      <c r="E480" s="14"/>
    </row>
    <row r="481">
      <c r="A481" s="13"/>
      <c r="B481" s="13"/>
      <c r="C481" s="13"/>
      <c r="D481" s="13"/>
      <c r="E481" s="14"/>
    </row>
    <row r="482">
      <c r="A482" s="13"/>
      <c r="B482" s="13"/>
      <c r="C482" s="13"/>
      <c r="D482" s="13"/>
      <c r="E482" s="14"/>
    </row>
    <row r="483">
      <c r="A483" s="13"/>
      <c r="B483" s="13"/>
      <c r="C483" s="13"/>
      <c r="D483" s="13"/>
      <c r="E483" s="14"/>
    </row>
    <row r="484">
      <c r="A484" s="13"/>
      <c r="B484" s="13"/>
      <c r="C484" s="13"/>
      <c r="D484" s="13"/>
      <c r="E484" s="14"/>
    </row>
    <row r="485">
      <c r="A485" s="13"/>
      <c r="B485" s="13"/>
      <c r="C485" s="13"/>
      <c r="D485" s="13"/>
      <c r="E485" s="14"/>
    </row>
    <row r="486">
      <c r="A486" s="13"/>
      <c r="B486" s="13"/>
      <c r="C486" s="13"/>
      <c r="D486" s="13"/>
      <c r="E486" s="14"/>
    </row>
    <row r="487">
      <c r="A487" s="13"/>
      <c r="B487" s="13"/>
      <c r="C487" s="13"/>
      <c r="D487" s="13"/>
      <c r="E487" s="14"/>
    </row>
    <row r="488">
      <c r="A488" s="13"/>
      <c r="B488" s="13"/>
      <c r="C488" s="13"/>
      <c r="D488" s="13"/>
      <c r="E488" s="14"/>
    </row>
    <row r="489">
      <c r="A489" s="13"/>
      <c r="B489" s="13"/>
      <c r="C489" s="13"/>
      <c r="D489" s="13"/>
      <c r="E489" s="14"/>
    </row>
    <row r="490">
      <c r="A490" s="13"/>
      <c r="B490" s="13"/>
      <c r="C490" s="13"/>
      <c r="D490" s="13"/>
      <c r="E490" s="14"/>
    </row>
    <row r="491">
      <c r="A491" s="13"/>
      <c r="B491" s="13"/>
      <c r="C491" s="13"/>
      <c r="D491" s="13"/>
      <c r="E491" s="14"/>
    </row>
    <row r="492">
      <c r="A492" s="13"/>
      <c r="B492" s="13"/>
      <c r="C492" s="13"/>
      <c r="D492" s="13"/>
      <c r="E492" s="14"/>
    </row>
    <row r="493">
      <c r="A493" s="13"/>
      <c r="B493" s="13"/>
      <c r="C493" s="13"/>
      <c r="D493" s="13"/>
      <c r="E493" s="14"/>
    </row>
    <row r="494">
      <c r="A494" s="13"/>
      <c r="B494" s="13"/>
      <c r="C494" s="13"/>
      <c r="D494" s="13"/>
      <c r="E494" s="14"/>
    </row>
    <row r="495">
      <c r="A495" s="13"/>
      <c r="B495" s="13"/>
      <c r="C495" s="13"/>
      <c r="D495" s="13"/>
      <c r="E495" s="14"/>
    </row>
    <row r="496">
      <c r="A496" s="13"/>
      <c r="B496" s="13"/>
      <c r="C496" s="13"/>
      <c r="D496" s="13"/>
      <c r="E496" s="14"/>
    </row>
    <row r="497">
      <c r="A497" s="13"/>
      <c r="B497" s="13"/>
      <c r="C497" s="13"/>
      <c r="D497" s="13"/>
      <c r="E497" s="14"/>
    </row>
    <row r="498">
      <c r="A498" s="13"/>
      <c r="B498" s="13"/>
      <c r="C498" s="13"/>
      <c r="D498" s="13"/>
      <c r="E498" s="14"/>
    </row>
    <row r="499">
      <c r="A499" s="13"/>
      <c r="B499" s="13"/>
      <c r="C499" s="13"/>
      <c r="D499" s="13"/>
      <c r="E499" s="14"/>
    </row>
    <row r="500">
      <c r="A500" s="13"/>
      <c r="B500" s="13"/>
      <c r="C500" s="13"/>
      <c r="D500" s="13"/>
      <c r="E500" s="14"/>
    </row>
    <row r="501">
      <c r="A501" s="13"/>
      <c r="B501" s="13"/>
      <c r="C501" s="13"/>
      <c r="D501" s="13"/>
      <c r="E501" s="14"/>
    </row>
    <row r="502">
      <c r="A502" s="13"/>
      <c r="B502" s="13"/>
      <c r="C502" s="13"/>
      <c r="D502" s="13"/>
      <c r="E502" s="14"/>
    </row>
    <row r="503">
      <c r="A503" s="13"/>
      <c r="B503" s="13"/>
      <c r="C503" s="13"/>
      <c r="D503" s="13"/>
      <c r="E503" s="14"/>
    </row>
    <row r="504">
      <c r="A504" s="13"/>
      <c r="B504" s="13"/>
      <c r="C504" s="13"/>
      <c r="D504" s="13"/>
      <c r="E504" s="14"/>
    </row>
    <row r="505">
      <c r="A505" s="13"/>
      <c r="B505" s="13"/>
      <c r="C505" s="13"/>
      <c r="D505" s="13"/>
      <c r="E505" s="14"/>
    </row>
    <row r="506">
      <c r="A506" s="13"/>
      <c r="B506" s="13"/>
      <c r="C506" s="13"/>
      <c r="D506" s="13"/>
      <c r="E506" s="14"/>
    </row>
    <row r="507">
      <c r="A507" s="13"/>
      <c r="B507" s="13"/>
      <c r="C507" s="13"/>
      <c r="D507" s="13"/>
      <c r="E507" s="14"/>
    </row>
    <row r="508">
      <c r="A508" s="13"/>
      <c r="B508" s="13"/>
      <c r="C508" s="13"/>
      <c r="D508" s="13"/>
      <c r="E508" s="14"/>
    </row>
    <row r="509">
      <c r="A509" s="13"/>
      <c r="B509" s="13"/>
      <c r="C509" s="13"/>
      <c r="D509" s="13"/>
      <c r="E509" s="14"/>
    </row>
    <row r="510">
      <c r="A510" s="13"/>
      <c r="B510" s="13"/>
      <c r="C510" s="13"/>
      <c r="D510" s="13"/>
      <c r="E510" s="14"/>
    </row>
    <row r="511">
      <c r="A511" s="13"/>
      <c r="B511" s="13"/>
      <c r="C511" s="13"/>
      <c r="D511" s="13"/>
      <c r="E511" s="14"/>
    </row>
    <row r="512">
      <c r="A512" s="13"/>
      <c r="B512" s="13"/>
      <c r="C512" s="13"/>
      <c r="D512" s="13"/>
      <c r="E512" s="14"/>
    </row>
    <row r="513">
      <c r="A513" s="13"/>
      <c r="B513" s="13"/>
      <c r="C513" s="13"/>
      <c r="D513" s="13"/>
      <c r="E513" s="14"/>
    </row>
    <row r="514">
      <c r="A514" s="13"/>
      <c r="B514" s="13"/>
      <c r="C514" s="13"/>
      <c r="D514" s="13"/>
      <c r="E514" s="14"/>
    </row>
    <row r="515">
      <c r="A515" s="13"/>
      <c r="B515" s="13"/>
      <c r="C515" s="13"/>
      <c r="D515" s="13"/>
      <c r="E515" s="14"/>
    </row>
    <row r="516">
      <c r="A516" s="13"/>
      <c r="B516" s="13"/>
      <c r="C516" s="13"/>
      <c r="D516" s="13"/>
      <c r="E516" s="14"/>
    </row>
    <row r="517">
      <c r="A517" s="13"/>
      <c r="B517" s="13"/>
      <c r="C517" s="13"/>
      <c r="D517" s="13"/>
      <c r="E517" s="14"/>
    </row>
    <row r="518">
      <c r="A518" s="13"/>
      <c r="B518" s="13"/>
      <c r="C518" s="13"/>
      <c r="D518" s="13"/>
      <c r="E518" s="14"/>
    </row>
    <row r="519">
      <c r="A519" s="13"/>
      <c r="B519" s="13"/>
      <c r="C519" s="13"/>
      <c r="D519" s="13"/>
      <c r="E519" s="14"/>
    </row>
    <row r="520">
      <c r="A520" s="13"/>
      <c r="B520" s="13"/>
      <c r="C520" s="13"/>
      <c r="D520" s="13"/>
      <c r="E520" s="14"/>
    </row>
    <row r="521">
      <c r="A521" s="13"/>
      <c r="B521" s="13"/>
      <c r="C521" s="13"/>
      <c r="D521" s="13"/>
      <c r="E521" s="14"/>
    </row>
    <row r="522">
      <c r="A522" s="13"/>
      <c r="B522" s="13"/>
      <c r="C522" s="13"/>
      <c r="D522" s="13"/>
      <c r="E522" s="14"/>
    </row>
    <row r="523">
      <c r="A523" s="13"/>
      <c r="B523" s="13"/>
      <c r="C523" s="13"/>
      <c r="D523" s="13"/>
      <c r="E523" s="14"/>
    </row>
    <row r="524">
      <c r="A524" s="13"/>
      <c r="B524" s="13"/>
      <c r="C524" s="13"/>
      <c r="D524" s="13"/>
      <c r="E524" s="14"/>
    </row>
    <row r="525">
      <c r="A525" s="13"/>
      <c r="B525" s="13"/>
      <c r="C525" s="13"/>
      <c r="D525" s="13"/>
      <c r="E525" s="14"/>
    </row>
    <row r="526">
      <c r="A526" s="13"/>
      <c r="B526" s="13"/>
      <c r="C526" s="13"/>
      <c r="D526" s="13"/>
      <c r="E526" s="14"/>
    </row>
    <row r="527">
      <c r="A527" s="13"/>
      <c r="B527" s="13"/>
      <c r="C527" s="13"/>
      <c r="D527" s="13"/>
      <c r="E527" s="14"/>
    </row>
    <row r="528">
      <c r="A528" s="13"/>
      <c r="B528" s="13"/>
      <c r="C528" s="13"/>
      <c r="D528" s="13"/>
      <c r="E528" s="14"/>
    </row>
    <row r="529">
      <c r="A529" s="13"/>
      <c r="B529" s="13"/>
      <c r="C529" s="13"/>
      <c r="D529" s="13"/>
      <c r="E529" s="14"/>
    </row>
    <row r="530">
      <c r="A530" s="13"/>
      <c r="B530" s="13"/>
      <c r="C530" s="13"/>
      <c r="D530" s="13"/>
      <c r="E530" s="14"/>
    </row>
    <row r="531">
      <c r="A531" s="13"/>
      <c r="B531" s="13"/>
      <c r="C531" s="13"/>
      <c r="D531" s="13"/>
      <c r="E531" s="14"/>
    </row>
    <row r="532">
      <c r="A532" s="13"/>
      <c r="B532" s="13"/>
      <c r="C532" s="13"/>
      <c r="D532" s="13"/>
      <c r="E532" s="14"/>
    </row>
    <row r="533">
      <c r="A533" s="13"/>
      <c r="B533" s="13"/>
      <c r="C533" s="13"/>
      <c r="D533" s="13"/>
      <c r="E533" s="14"/>
    </row>
    <row r="534">
      <c r="A534" s="13"/>
      <c r="B534" s="13"/>
      <c r="C534" s="13"/>
      <c r="D534" s="13"/>
      <c r="E534" s="14"/>
    </row>
    <row r="535">
      <c r="A535" s="13"/>
      <c r="B535" s="13"/>
      <c r="C535" s="13"/>
      <c r="D535" s="13"/>
      <c r="E535" s="14"/>
    </row>
    <row r="536">
      <c r="A536" s="13"/>
      <c r="B536" s="13"/>
      <c r="C536" s="13"/>
      <c r="D536" s="13"/>
      <c r="E536" s="14"/>
    </row>
    <row r="537">
      <c r="A537" s="13"/>
      <c r="B537" s="13"/>
      <c r="C537" s="13"/>
      <c r="D537" s="13"/>
      <c r="E537" s="14"/>
    </row>
    <row r="538">
      <c r="A538" s="13"/>
      <c r="B538" s="13"/>
      <c r="C538" s="13"/>
      <c r="D538" s="13"/>
      <c r="E538" s="14"/>
    </row>
    <row r="539">
      <c r="A539" s="13"/>
      <c r="B539" s="13"/>
      <c r="C539" s="13"/>
      <c r="D539" s="13"/>
      <c r="E539" s="14"/>
    </row>
    <row r="540">
      <c r="A540" s="13"/>
      <c r="B540" s="13"/>
      <c r="C540" s="13"/>
      <c r="D540" s="13"/>
      <c r="E540" s="14"/>
    </row>
    <row r="541">
      <c r="A541" s="13"/>
      <c r="B541" s="13"/>
      <c r="C541" s="13"/>
      <c r="D541" s="13"/>
      <c r="E541" s="14"/>
    </row>
    <row r="542">
      <c r="A542" s="13"/>
      <c r="B542" s="13"/>
      <c r="C542" s="13"/>
      <c r="D542" s="13"/>
      <c r="E542" s="14"/>
    </row>
    <row r="543">
      <c r="A543" s="13"/>
      <c r="B543" s="13"/>
      <c r="C543" s="13"/>
      <c r="D543" s="13"/>
      <c r="E543" s="14"/>
    </row>
    <row r="544">
      <c r="A544" s="13"/>
      <c r="B544" s="13"/>
      <c r="C544" s="13"/>
      <c r="D544" s="13"/>
      <c r="E544" s="14"/>
    </row>
    <row r="545">
      <c r="A545" s="13"/>
      <c r="B545" s="13"/>
      <c r="C545" s="13"/>
      <c r="D545" s="13"/>
      <c r="E545" s="14"/>
    </row>
    <row r="546">
      <c r="A546" s="13"/>
      <c r="B546" s="13"/>
      <c r="C546" s="13"/>
      <c r="D546" s="13"/>
      <c r="E546" s="14"/>
    </row>
    <row r="547">
      <c r="A547" s="13"/>
      <c r="B547" s="13"/>
      <c r="C547" s="13"/>
      <c r="D547" s="13"/>
      <c r="E547" s="14"/>
    </row>
    <row r="548">
      <c r="A548" s="13"/>
      <c r="B548" s="13"/>
      <c r="C548" s="13"/>
      <c r="D548" s="13"/>
      <c r="E548" s="14"/>
    </row>
    <row r="549">
      <c r="A549" s="13"/>
      <c r="B549" s="13"/>
      <c r="C549" s="13"/>
      <c r="D549" s="13"/>
      <c r="E549" s="14"/>
    </row>
    <row r="550">
      <c r="A550" s="13"/>
      <c r="B550" s="13"/>
      <c r="C550" s="13"/>
      <c r="D550" s="13"/>
      <c r="E550" s="14"/>
    </row>
    <row r="551">
      <c r="A551" s="13"/>
      <c r="B551" s="13"/>
      <c r="C551" s="13"/>
      <c r="D551" s="13"/>
      <c r="E551" s="14"/>
    </row>
    <row r="552">
      <c r="A552" s="13"/>
      <c r="B552" s="13"/>
      <c r="C552" s="13"/>
      <c r="D552" s="13"/>
      <c r="E552" s="14"/>
    </row>
    <row r="553">
      <c r="A553" s="13"/>
      <c r="B553" s="13"/>
      <c r="C553" s="13"/>
      <c r="D553" s="13"/>
      <c r="E553" s="14"/>
    </row>
    <row r="554">
      <c r="A554" s="13"/>
      <c r="B554" s="13"/>
      <c r="C554" s="13"/>
      <c r="D554" s="13"/>
      <c r="E554" s="14"/>
    </row>
    <row r="555">
      <c r="A555" s="13"/>
      <c r="B555" s="13"/>
      <c r="C555" s="13"/>
      <c r="D555" s="13"/>
      <c r="E555" s="14"/>
    </row>
    <row r="556">
      <c r="A556" s="13"/>
      <c r="B556" s="13"/>
      <c r="C556" s="13"/>
      <c r="D556" s="13"/>
      <c r="E556" s="14"/>
    </row>
    <row r="557">
      <c r="A557" s="13"/>
      <c r="B557" s="13"/>
      <c r="C557" s="13"/>
      <c r="D557" s="13"/>
      <c r="E557" s="14"/>
    </row>
    <row r="558">
      <c r="A558" s="13"/>
      <c r="B558" s="13"/>
      <c r="C558" s="13"/>
      <c r="D558" s="13"/>
      <c r="E558" s="14"/>
    </row>
    <row r="559">
      <c r="A559" s="13"/>
      <c r="B559" s="13"/>
      <c r="C559" s="13"/>
      <c r="D559" s="13"/>
      <c r="E559" s="14"/>
    </row>
    <row r="560">
      <c r="A560" s="13"/>
      <c r="B560" s="13"/>
      <c r="C560" s="13"/>
      <c r="D560" s="13"/>
      <c r="E560" s="14"/>
    </row>
    <row r="561">
      <c r="A561" s="13"/>
      <c r="B561" s="13"/>
      <c r="C561" s="13"/>
      <c r="D561" s="13"/>
      <c r="E561" s="14"/>
    </row>
    <row r="562">
      <c r="A562" s="13"/>
      <c r="B562" s="13"/>
      <c r="C562" s="13"/>
      <c r="D562" s="13"/>
      <c r="E562" s="14"/>
    </row>
    <row r="563">
      <c r="A563" s="13"/>
      <c r="B563" s="13"/>
      <c r="C563" s="13"/>
      <c r="D563" s="13"/>
      <c r="E563" s="14"/>
    </row>
    <row r="564">
      <c r="A564" s="13"/>
      <c r="B564" s="13"/>
      <c r="C564" s="13"/>
      <c r="D564" s="13"/>
      <c r="E564" s="14"/>
    </row>
    <row r="565">
      <c r="A565" s="13"/>
      <c r="B565" s="13"/>
      <c r="C565" s="13"/>
      <c r="D565" s="13"/>
      <c r="E565" s="14"/>
    </row>
    <row r="566">
      <c r="A566" s="13"/>
      <c r="B566" s="13"/>
      <c r="C566" s="13"/>
      <c r="D566" s="13"/>
      <c r="E566" s="14"/>
    </row>
    <row r="567">
      <c r="A567" s="13"/>
      <c r="B567" s="13"/>
      <c r="C567" s="13"/>
      <c r="D567" s="13"/>
      <c r="E567" s="14"/>
    </row>
    <row r="568">
      <c r="A568" s="13"/>
      <c r="B568" s="13"/>
      <c r="C568" s="13"/>
      <c r="D568" s="13"/>
      <c r="E568" s="14"/>
    </row>
    <row r="569">
      <c r="A569" s="13"/>
      <c r="B569" s="13"/>
      <c r="C569" s="13"/>
      <c r="D569" s="13"/>
      <c r="E569" s="14"/>
    </row>
    <row r="570">
      <c r="A570" s="13"/>
      <c r="B570" s="13"/>
      <c r="C570" s="13"/>
      <c r="D570" s="13"/>
      <c r="E570" s="14"/>
    </row>
    <row r="571">
      <c r="A571" s="13"/>
      <c r="B571" s="13"/>
      <c r="C571" s="13"/>
      <c r="D571" s="13"/>
      <c r="E571" s="14"/>
    </row>
    <row r="572">
      <c r="A572" s="13"/>
      <c r="B572" s="13"/>
      <c r="C572" s="13"/>
      <c r="D572" s="13"/>
      <c r="E572" s="14"/>
    </row>
    <row r="573">
      <c r="A573" s="13"/>
      <c r="B573" s="13"/>
      <c r="C573" s="13"/>
      <c r="D573" s="13"/>
      <c r="E573" s="14"/>
    </row>
    <row r="574">
      <c r="A574" s="13"/>
      <c r="B574" s="13"/>
      <c r="C574" s="13"/>
      <c r="D574" s="13"/>
      <c r="E574" s="14"/>
    </row>
    <row r="575">
      <c r="A575" s="13"/>
      <c r="B575" s="13"/>
      <c r="C575" s="13"/>
      <c r="D575" s="13"/>
      <c r="E575" s="14"/>
    </row>
    <row r="576">
      <c r="A576" s="13"/>
      <c r="B576" s="13"/>
      <c r="C576" s="13"/>
      <c r="D576" s="13"/>
      <c r="E576" s="14"/>
    </row>
    <row r="577">
      <c r="A577" s="13"/>
      <c r="B577" s="13"/>
      <c r="C577" s="13"/>
      <c r="D577" s="13"/>
      <c r="E577" s="14"/>
    </row>
    <row r="578">
      <c r="A578" s="13"/>
      <c r="B578" s="13"/>
      <c r="C578" s="13"/>
      <c r="D578" s="13"/>
      <c r="E578" s="14"/>
    </row>
    <row r="579">
      <c r="A579" s="13"/>
      <c r="B579" s="13"/>
      <c r="C579" s="13"/>
      <c r="D579" s="13"/>
      <c r="E579" s="14"/>
    </row>
    <row r="580">
      <c r="A580" s="13"/>
      <c r="B580" s="13"/>
      <c r="C580" s="13"/>
      <c r="D580" s="13"/>
      <c r="E580" s="14"/>
    </row>
    <row r="581">
      <c r="A581" s="13"/>
      <c r="B581" s="13"/>
      <c r="C581" s="13"/>
      <c r="D581" s="13"/>
      <c r="E581" s="14"/>
    </row>
    <row r="582">
      <c r="A582" s="13"/>
      <c r="B582" s="13"/>
      <c r="C582" s="13"/>
      <c r="D582" s="13"/>
      <c r="E582" s="14"/>
    </row>
    <row r="583">
      <c r="A583" s="13"/>
      <c r="B583" s="13"/>
      <c r="C583" s="13"/>
      <c r="D583" s="13"/>
      <c r="E583" s="14"/>
    </row>
    <row r="584">
      <c r="A584" s="13"/>
      <c r="B584" s="13"/>
      <c r="C584" s="13"/>
      <c r="D584" s="13"/>
      <c r="E584" s="14"/>
    </row>
    <row r="585">
      <c r="A585" s="13"/>
      <c r="B585" s="13"/>
      <c r="C585" s="13"/>
      <c r="D585" s="13"/>
      <c r="E585" s="14"/>
    </row>
    <row r="586">
      <c r="A586" s="13"/>
      <c r="B586" s="13"/>
      <c r="C586" s="13"/>
      <c r="D586" s="13"/>
      <c r="E586" s="14"/>
    </row>
    <row r="587">
      <c r="A587" s="13"/>
      <c r="B587" s="13"/>
      <c r="C587" s="13"/>
      <c r="D587" s="13"/>
      <c r="E587" s="14"/>
    </row>
    <row r="588">
      <c r="A588" s="13"/>
      <c r="B588" s="13"/>
      <c r="C588" s="13"/>
      <c r="D588" s="13"/>
      <c r="E588" s="14"/>
    </row>
    <row r="589">
      <c r="A589" s="13"/>
      <c r="B589" s="13"/>
      <c r="C589" s="13"/>
      <c r="D589" s="13"/>
      <c r="E589" s="14"/>
    </row>
    <row r="590">
      <c r="A590" s="13"/>
      <c r="B590" s="13"/>
      <c r="C590" s="13"/>
      <c r="D590" s="13"/>
      <c r="E590" s="14"/>
    </row>
    <row r="591">
      <c r="A591" s="13"/>
      <c r="B591" s="13"/>
      <c r="C591" s="13"/>
      <c r="D591" s="13"/>
      <c r="E591" s="14"/>
    </row>
    <row r="592">
      <c r="A592" s="13"/>
      <c r="B592" s="13"/>
      <c r="C592" s="13"/>
      <c r="D592" s="13"/>
      <c r="E592" s="14"/>
    </row>
    <row r="593">
      <c r="A593" s="13"/>
      <c r="B593" s="13"/>
      <c r="C593" s="13"/>
      <c r="D593" s="13"/>
      <c r="E593" s="14"/>
    </row>
    <row r="594">
      <c r="A594" s="13"/>
      <c r="B594" s="13"/>
      <c r="C594" s="13"/>
      <c r="D594" s="13"/>
      <c r="E594" s="14"/>
    </row>
    <row r="595">
      <c r="A595" s="13"/>
      <c r="B595" s="13"/>
      <c r="C595" s="13"/>
      <c r="D595" s="13"/>
      <c r="E595" s="14"/>
    </row>
    <row r="596">
      <c r="A596" s="13"/>
      <c r="B596" s="13"/>
      <c r="C596" s="13"/>
      <c r="D596" s="13"/>
      <c r="E596" s="14"/>
    </row>
    <row r="597">
      <c r="A597" s="13"/>
      <c r="B597" s="13"/>
      <c r="C597" s="13"/>
      <c r="D597" s="13"/>
      <c r="E597" s="14"/>
    </row>
    <row r="598">
      <c r="A598" s="13"/>
      <c r="B598" s="13"/>
      <c r="C598" s="13"/>
      <c r="D598" s="13"/>
      <c r="E598" s="14"/>
    </row>
    <row r="599">
      <c r="A599" s="13"/>
      <c r="B599" s="13"/>
      <c r="C599" s="13"/>
      <c r="D599" s="13"/>
      <c r="E599" s="14"/>
    </row>
    <row r="600">
      <c r="A600" s="13"/>
      <c r="B600" s="13"/>
      <c r="C600" s="13"/>
      <c r="D600" s="13"/>
      <c r="E600" s="14"/>
    </row>
    <row r="601">
      <c r="A601" s="13"/>
      <c r="B601" s="13"/>
      <c r="C601" s="13"/>
      <c r="D601" s="13"/>
      <c r="E601" s="14"/>
    </row>
    <row r="602">
      <c r="A602" s="13"/>
      <c r="B602" s="13"/>
      <c r="C602" s="13"/>
      <c r="D602" s="13"/>
      <c r="E602" s="14"/>
    </row>
    <row r="603">
      <c r="A603" s="13"/>
      <c r="B603" s="13"/>
      <c r="C603" s="13"/>
      <c r="D603" s="13"/>
      <c r="E603" s="14"/>
    </row>
    <row r="604">
      <c r="A604" s="13"/>
      <c r="B604" s="13"/>
      <c r="C604" s="13"/>
      <c r="D604" s="13"/>
      <c r="E604" s="14"/>
    </row>
    <row r="605">
      <c r="A605" s="13"/>
      <c r="B605" s="13"/>
      <c r="C605" s="13"/>
      <c r="D605" s="13"/>
      <c r="E605" s="14"/>
    </row>
    <row r="606">
      <c r="A606" s="13"/>
      <c r="B606" s="13"/>
      <c r="C606" s="13"/>
      <c r="D606" s="13"/>
      <c r="E606" s="14"/>
    </row>
    <row r="607">
      <c r="A607" s="13"/>
      <c r="B607" s="13"/>
      <c r="C607" s="13"/>
      <c r="D607" s="13"/>
      <c r="E607" s="14"/>
    </row>
    <row r="608">
      <c r="A608" s="13"/>
      <c r="B608" s="13"/>
      <c r="C608" s="13"/>
      <c r="D608" s="13"/>
      <c r="E608" s="14"/>
    </row>
    <row r="609">
      <c r="A609" s="13"/>
      <c r="B609" s="13"/>
      <c r="C609" s="13"/>
      <c r="D609" s="13"/>
      <c r="E609" s="14"/>
    </row>
    <row r="610">
      <c r="A610" s="13"/>
      <c r="B610" s="13"/>
      <c r="C610" s="13"/>
      <c r="D610" s="13"/>
      <c r="E610" s="14"/>
    </row>
    <row r="611">
      <c r="A611" s="13"/>
      <c r="B611" s="13"/>
      <c r="C611" s="13"/>
      <c r="D611" s="13"/>
      <c r="E611" s="14"/>
    </row>
    <row r="612">
      <c r="A612" s="13"/>
      <c r="B612" s="13"/>
      <c r="C612" s="13"/>
      <c r="D612" s="13"/>
      <c r="E612" s="14"/>
    </row>
    <row r="613">
      <c r="A613" s="13"/>
      <c r="B613" s="13"/>
      <c r="C613" s="13"/>
      <c r="D613" s="13"/>
      <c r="E613" s="14"/>
    </row>
    <row r="614">
      <c r="A614" s="13"/>
      <c r="B614" s="13"/>
      <c r="C614" s="13"/>
      <c r="D614" s="13"/>
      <c r="E614" s="14"/>
    </row>
    <row r="615">
      <c r="A615" s="13"/>
      <c r="B615" s="13"/>
      <c r="C615" s="13"/>
      <c r="D615" s="13"/>
      <c r="E615" s="14"/>
    </row>
    <row r="616">
      <c r="A616" s="13"/>
      <c r="B616" s="13"/>
      <c r="C616" s="13"/>
      <c r="D616" s="13"/>
      <c r="E616" s="14"/>
    </row>
    <row r="617">
      <c r="A617" s="13"/>
      <c r="B617" s="13"/>
      <c r="C617" s="13"/>
      <c r="D617" s="13"/>
      <c r="E617" s="14"/>
    </row>
    <row r="618">
      <c r="A618" s="13"/>
      <c r="B618" s="13"/>
      <c r="C618" s="13"/>
      <c r="D618" s="13"/>
      <c r="E618" s="14"/>
    </row>
    <row r="619">
      <c r="A619" s="13"/>
      <c r="B619" s="13"/>
      <c r="C619" s="13"/>
      <c r="D619" s="13"/>
      <c r="E619" s="14"/>
    </row>
    <row r="620">
      <c r="A620" s="13"/>
      <c r="B620" s="13"/>
      <c r="C620" s="13"/>
      <c r="D620" s="13"/>
      <c r="E620" s="14"/>
    </row>
    <row r="621">
      <c r="A621" s="13"/>
      <c r="B621" s="13"/>
      <c r="C621" s="13"/>
      <c r="D621" s="13"/>
      <c r="E621" s="14"/>
    </row>
    <row r="622">
      <c r="A622" s="13"/>
      <c r="B622" s="13"/>
      <c r="C622" s="13"/>
      <c r="D622" s="13"/>
      <c r="E622" s="14"/>
    </row>
    <row r="623">
      <c r="A623" s="13"/>
      <c r="B623" s="13"/>
      <c r="C623" s="13"/>
      <c r="D623" s="13"/>
      <c r="E623" s="14"/>
    </row>
    <row r="624">
      <c r="A624" s="13"/>
      <c r="B624" s="13"/>
      <c r="C624" s="13"/>
      <c r="D624" s="13"/>
      <c r="E624" s="14"/>
    </row>
    <row r="625">
      <c r="A625" s="13"/>
      <c r="B625" s="13"/>
      <c r="C625" s="13"/>
      <c r="D625" s="13"/>
      <c r="E625" s="14"/>
    </row>
    <row r="626">
      <c r="A626" s="13"/>
      <c r="B626" s="13"/>
      <c r="C626" s="13"/>
      <c r="D626" s="13"/>
      <c r="E626" s="14"/>
    </row>
    <row r="627">
      <c r="A627" s="13"/>
      <c r="B627" s="13"/>
      <c r="C627" s="13"/>
      <c r="D627" s="13"/>
      <c r="E627" s="14"/>
    </row>
    <row r="628">
      <c r="A628" s="13"/>
      <c r="B628" s="13"/>
      <c r="C628" s="13"/>
      <c r="D628" s="13"/>
      <c r="E628" s="14"/>
    </row>
    <row r="629">
      <c r="A629" s="13"/>
      <c r="B629" s="13"/>
      <c r="C629" s="13"/>
      <c r="D629" s="13"/>
      <c r="E629" s="14"/>
    </row>
    <row r="630">
      <c r="A630" s="13"/>
      <c r="B630" s="13"/>
      <c r="C630" s="13"/>
      <c r="D630" s="13"/>
      <c r="E630" s="14"/>
    </row>
    <row r="631">
      <c r="A631" s="13"/>
      <c r="B631" s="13"/>
      <c r="C631" s="13"/>
      <c r="D631" s="13"/>
      <c r="E631" s="14"/>
    </row>
    <row r="632">
      <c r="A632" s="13"/>
      <c r="B632" s="13"/>
      <c r="C632" s="13"/>
      <c r="D632" s="13"/>
      <c r="E632" s="14"/>
    </row>
    <row r="633">
      <c r="A633" s="13"/>
      <c r="B633" s="13"/>
      <c r="C633" s="13"/>
      <c r="D633" s="13"/>
      <c r="E633" s="14"/>
    </row>
    <row r="634">
      <c r="A634" s="13"/>
      <c r="B634" s="13"/>
      <c r="C634" s="13"/>
      <c r="D634" s="13"/>
      <c r="E634" s="14"/>
    </row>
    <row r="635">
      <c r="A635" s="13"/>
      <c r="B635" s="13"/>
      <c r="C635" s="13"/>
      <c r="D635" s="13"/>
      <c r="E635" s="14"/>
    </row>
    <row r="636">
      <c r="A636" s="13"/>
      <c r="B636" s="13"/>
      <c r="C636" s="13"/>
      <c r="D636" s="13"/>
      <c r="E636" s="14"/>
    </row>
    <row r="637">
      <c r="A637" s="13"/>
      <c r="B637" s="13"/>
      <c r="C637" s="13"/>
      <c r="D637" s="13"/>
      <c r="E637" s="14"/>
    </row>
    <row r="638">
      <c r="A638" s="13"/>
      <c r="B638" s="13"/>
      <c r="C638" s="13"/>
      <c r="D638" s="13"/>
      <c r="E638" s="14"/>
    </row>
    <row r="639">
      <c r="A639" s="13"/>
      <c r="B639" s="13"/>
      <c r="C639" s="13"/>
      <c r="D639" s="13"/>
      <c r="E639" s="14"/>
    </row>
    <row r="640">
      <c r="A640" s="13"/>
      <c r="B640" s="13"/>
      <c r="C640" s="13"/>
      <c r="D640" s="13"/>
      <c r="E640" s="14"/>
    </row>
    <row r="641">
      <c r="A641" s="13"/>
      <c r="B641" s="13"/>
      <c r="C641" s="13"/>
      <c r="D641" s="13"/>
      <c r="E641" s="14"/>
    </row>
    <row r="642">
      <c r="A642" s="13"/>
      <c r="B642" s="13"/>
      <c r="C642" s="13"/>
      <c r="D642" s="13"/>
      <c r="E642" s="14"/>
    </row>
    <row r="643">
      <c r="A643" s="13"/>
      <c r="B643" s="13"/>
      <c r="C643" s="13"/>
      <c r="D643" s="13"/>
      <c r="E643" s="14"/>
    </row>
    <row r="644">
      <c r="A644" s="13"/>
      <c r="B644" s="13"/>
      <c r="C644" s="13"/>
      <c r="D644" s="13"/>
      <c r="E644" s="14"/>
    </row>
    <row r="645">
      <c r="A645" s="13"/>
      <c r="B645" s="13"/>
      <c r="C645" s="13"/>
      <c r="D645" s="13"/>
      <c r="E645" s="14"/>
    </row>
    <row r="646">
      <c r="A646" s="13"/>
      <c r="B646" s="13"/>
      <c r="C646" s="13"/>
      <c r="D646" s="13"/>
      <c r="E646" s="14"/>
    </row>
    <row r="647">
      <c r="A647" s="13"/>
      <c r="B647" s="13"/>
      <c r="C647" s="13"/>
      <c r="D647" s="13"/>
      <c r="E647" s="14"/>
    </row>
    <row r="648">
      <c r="A648" s="13"/>
      <c r="B648" s="13"/>
      <c r="C648" s="13"/>
      <c r="D648" s="13"/>
      <c r="E648" s="14"/>
    </row>
    <row r="649">
      <c r="A649" s="13"/>
      <c r="B649" s="13"/>
      <c r="C649" s="13"/>
      <c r="D649" s="13"/>
      <c r="E649" s="14"/>
    </row>
    <row r="650">
      <c r="A650" s="13"/>
      <c r="B650" s="13"/>
      <c r="C650" s="13"/>
      <c r="D650" s="13"/>
      <c r="E650" s="14"/>
    </row>
    <row r="651">
      <c r="A651" s="13"/>
      <c r="B651" s="13"/>
      <c r="C651" s="13"/>
      <c r="D651" s="13"/>
      <c r="E651" s="14"/>
    </row>
    <row r="652">
      <c r="A652" s="13"/>
      <c r="B652" s="13"/>
      <c r="C652" s="13"/>
      <c r="D652" s="13"/>
      <c r="E652" s="14"/>
    </row>
    <row r="653">
      <c r="A653" s="13"/>
      <c r="B653" s="13"/>
      <c r="C653" s="13"/>
      <c r="D653" s="13"/>
      <c r="E653" s="14"/>
    </row>
    <row r="654">
      <c r="A654" s="13"/>
      <c r="B654" s="13"/>
      <c r="C654" s="13"/>
      <c r="D654" s="13"/>
      <c r="E654" s="14"/>
    </row>
    <row r="655">
      <c r="A655" s="13"/>
      <c r="B655" s="13"/>
      <c r="C655" s="13"/>
      <c r="D655" s="13"/>
      <c r="E655" s="14"/>
    </row>
    <row r="656">
      <c r="A656" s="13"/>
      <c r="B656" s="13"/>
      <c r="C656" s="13"/>
      <c r="D656" s="13"/>
      <c r="E656" s="14"/>
    </row>
    <row r="657">
      <c r="A657" s="13"/>
      <c r="B657" s="13"/>
      <c r="C657" s="13"/>
      <c r="D657" s="13"/>
      <c r="E657" s="14"/>
    </row>
    <row r="658">
      <c r="A658" s="13"/>
      <c r="B658" s="13"/>
      <c r="C658" s="13"/>
      <c r="D658" s="13"/>
      <c r="E658" s="14"/>
    </row>
    <row r="659">
      <c r="A659" s="13"/>
      <c r="B659" s="13"/>
      <c r="C659" s="13"/>
      <c r="D659" s="13"/>
      <c r="E659" s="14"/>
    </row>
    <row r="660">
      <c r="A660" s="13"/>
      <c r="B660" s="13"/>
      <c r="C660" s="13"/>
      <c r="D660" s="13"/>
      <c r="E660" s="14"/>
    </row>
    <row r="661">
      <c r="A661" s="13"/>
      <c r="B661" s="13"/>
      <c r="C661" s="13"/>
      <c r="D661" s="13"/>
      <c r="E661" s="14"/>
    </row>
    <row r="662">
      <c r="A662" s="13"/>
      <c r="B662" s="13"/>
      <c r="C662" s="13"/>
      <c r="D662" s="13"/>
      <c r="E662" s="14"/>
    </row>
    <row r="663">
      <c r="A663" s="13"/>
      <c r="B663" s="13"/>
      <c r="C663" s="13"/>
      <c r="D663" s="13"/>
      <c r="E663" s="14"/>
    </row>
    <row r="664">
      <c r="A664" s="13"/>
      <c r="B664" s="13"/>
      <c r="C664" s="13"/>
      <c r="D664" s="13"/>
      <c r="E664" s="14"/>
    </row>
    <row r="665">
      <c r="A665" s="13"/>
      <c r="B665" s="13"/>
      <c r="C665" s="13"/>
      <c r="D665" s="13"/>
      <c r="E665" s="14"/>
    </row>
    <row r="666">
      <c r="A666" s="13"/>
      <c r="B666" s="13"/>
      <c r="C666" s="13"/>
      <c r="D666" s="13"/>
      <c r="E666" s="14"/>
    </row>
    <row r="667">
      <c r="A667" s="13"/>
      <c r="B667" s="13"/>
      <c r="C667" s="13"/>
      <c r="D667" s="13"/>
      <c r="E667" s="14"/>
    </row>
    <row r="668">
      <c r="A668" s="13"/>
      <c r="B668" s="13"/>
      <c r="C668" s="13"/>
      <c r="D668" s="13"/>
      <c r="E668" s="14"/>
    </row>
    <row r="669">
      <c r="A669" s="13"/>
      <c r="B669" s="13"/>
      <c r="C669" s="13"/>
      <c r="D669" s="13"/>
      <c r="E669" s="14"/>
    </row>
    <row r="670">
      <c r="A670" s="13"/>
      <c r="B670" s="13"/>
      <c r="C670" s="13"/>
      <c r="D670" s="13"/>
      <c r="E670" s="14"/>
    </row>
    <row r="671">
      <c r="A671" s="13"/>
      <c r="B671" s="13"/>
      <c r="C671" s="13"/>
      <c r="D671" s="13"/>
      <c r="E671" s="14"/>
    </row>
    <row r="672">
      <c r="A672" s="13"/>
      <c r="B672" s="13"/>
      <c r="C672" s="13"/>
      <c r="D672" s="13"/>
      <c r="E672" s="14"/>
    </row>
    <row r="673">
      <c r="A673" s="13"/>
      <c r="B673" s="13"/>
      <c r="C673" s="13"/>
      <c r="D673" s="13"/>
      <c r="E673" s="14"/>
    </row>
    <row r="674">
      <c r="A674" s="13"/>
      <c r="B674" s="13"/>
      <c r="C674" s="13"/>
      <c r="D674" s="13"/>
      <c r="E674" s="14"/>
    </row>
    <row r="675">
      <c r="A675" s="13"/>
      <c r="B675" s="13"/>
      <c r="C675" s="13"/>
      <c r="D675" s="13"/>
      <c r="E675" s="14"/>
    </row>
    <row r="676">
      <c r="A676" s="13"/>
      <c r="B676" s="13"/>
      <c r="C676" s="13"/>
      <c r="D676" s="13"/>
      <c r="E676" s="14"/>
    </row>
    <row r="677">
      <c r="A677" s="13"/>
      <c r="B677" s="13"/>
      <c r="C677" s="13"/>
      <c r="D677" s="13"/>
      <c r="E677" s="14"/>
    </row>
    <row r="678">
      <c r="A678" s="13"/>
      <c r="B678" s="13"/>
      <c r="C678" s="13"/>
      <c r="D678" s="13"/>
      <c r="E678" s="14"/>
    </row>
    <row r="679">
      <c r="A679" s="13"/>
      <c r="B679" s="13"/>
      <c r="C679" s="13"/>
      <c r="D679" s="13"/>
      <c r="E679" s="14"/>
    </row>
    <row r="680">
      <c r="A680" s="13"/>
      <c r="B680" s="13"/>
      <c r="C680" s="13"/>
      <c r="D680" s="13"/>
      <c r="E680" s="14"/>
    </row>
    <row r="681">
      <c r="A681" s="13"/>
      <c r="B681" s="13"/>
      <c r="C681" s="13"/>
      <c r="D681" s="13"/>
      <c r="E681" s="14"/>
    </row>
    <row r="682">
      <c r="A682" s="13"/>
      <c r="B682" s="13"/>
      <c r="C682" s="13"/>
      <c r="D682" s="13"/>
      <c r="E682" s="14"/>
    </row>
    <row r="683">
      <c r="A683" s="13"/>
      <c r="B683" s="13"/>
      <c r="C683" s="13"/>
      <c r="D683" s="13"/>
      <c r="E683" s="14"/>
    </row>
    <row r="684">
      <c r="A684" s="13"/>
      <c r="B684" s="13"/>
      <c r="C684" s="13"/>
      <c r="D684" s="13"/>
      <c r="E684" s="14"/>
    </row>
    <row r="685">
      <c r="A685" s="13"/>
      <c r="B685" s="13"/>
      <c r="C685" s="13"/>
      <c r="D685" s="13"/>
      <c r="E685" s="14"/>
    </row>
    <row r="686">
      <c r="A686" s="13"/>
      <c r="B686" s="13"/>
      <c r="C686" s="13"/>
      <c r="D686" s="13"/>
      <c r="E686" s="14"/>
    </row>
    <row r="687">
      <c r="A687" s="13"/>
      <c r="B687" s="13"/>
      <c r="C687" s="13"/>
      <c r="D687" s="13"/>
      <c r="E687" s="14"/>
    </row>
    <row r="688">
      <c r="A688" s="13"/>
      <c r="B688" s="13"/>
      <c r="C688" s="13"/>
      <c r="D688" s="13"/>
      <c r="E688" s="14"/>
    </row>
    <row r="689">
      <c r="A689" s="13"/>
      <c r="B689" s="13"/>
      <c r="C689" s="13"/>
      <c r="D689" s="13"/>
      <c r="E689" s="14"/>
    </row>
    <row r="690">
      <c r="A690" s="13"/>
      <c r="B690" s="13"/>
      <c r="C690" s="13"/>
      <c r="D690" s="13"/>
      <c r="E690" s="14"/>
    </row>
    <row r="691">
      <c r="A691" s="13"/>
      <c r="B691" s="13"/>
      <c r="C691" s="13"/>
      <c r="D691" s="13"/>
      <c r="E691" s="14"/>
    </row>
    <row r="692">
      <c r="A692" s="13"/>
      <c r="B692" s="13"/>
      <c r="C692" s="13"/>
      <c r="D692" s="13"/>
      <c r="E692" s="14"/>
    </row>
    <row r="693">
      <c r="A693" s="13"/>
      <c r="B693" s="13"/>
      <c r="C693" s="13"/>
      <c r="D693" s="13"/>
      <c r="E693" s="14"/>
    </row>
    <row r="694">
      <c r="A694" s="13"/>
      <c r="B694" s="13"/>
      <c r="C694" s="13"/>
      <c r="D694" s="13"/>
      <c r="E694" s="14"/>
    </row>
    <row r="695">
      <c r="A695" s="13"/>
      <c r="B695" s="13"/>
      <c r="C695" s="13"/>
      <c r="D695" s="13"/>
      <c r="E695" s="14"/>
    </row>
    <row r="696">
      <c r="A696" s="13"/>
      <c r="B696" s="13"/>
      <c r="C696" s="13"/>
      <c r="D696" s="13"/>
      <c r="E696" s="14"/>
    </row>
    <row r="697">
      <c r="A697" s="13"/>
      <c r="B697" s="13"/>
      <c r="C697" s="13"/>
      <c r="D697" s="13"/>
      <c r="E697" s="14"/>
    </row>
    <row r="698">
      <c r="A698" s="13"/>
      <c r="B698" s="13"/>
      <c r="C698" s="13"/>
      <c r="D698" s="13"/>
      <c r="E698" s="14"/>
    </row>
    <row r="699">
      <c r="A699" s="13"/>
      <c r="B699" s="13"/>
      <c r="C699" s="13"/>
      <c r="D699" s="13"/>
      <c r="E699" s="14"/>
    </row>
    <row r="700">
      <c r="A700" s="13"/>
      <c r="B700" s="13"/>
      <c r="C700" s="13"/>
      <c r="D700" s="13"/>
      <c r="E700" s="14"/>
    </row>
    <row r="701">
      <c r="A701" s="13"/>
      <c r="B701" s="13"/>
      <c r="C701" s="13"/>
      <c r="D701" s="13"/>
      <c r="E701" s="14"/>
    </row>
    <row r="702">
      <c r="A702" s="13"/>
      <c r="B702" s="13"/>
      <c r="C702" s="13"/>
      <c r="D702" s="13"/>
      <c r="E702" s="14"/>
    </row>
    <row r="703">
      <c r="A703" s="13"/>
      <c r="B703" s="13"/>
      <c r="C703" s="13"/>
      <c r="D703" s="13"/>
      <c r="E703" s="14"/>
    </row>
    <row r="704">
      <c r="A704" s="13"/>
      <c r="B704" s="13"/>
      <c r="C704" s="13"/>
      <c r="D704" s="13"/>
      <c r="E704" s="14"/>
    </row>
    <row r="705">
      <c r="A705" s="13"/>
      <c r="B705" s="13"/>
      <c r="C705" s="13"/>
      <c r="D705" s="13"/>
      <c r="E705" s="14"/>
    </row>
    <row r="706">
      <c r="A706" s="13"/>
      <c r="B706" s="13"/>
      <c r="C706" s="13"/>
      <c r="D706" s="13"/>
      <c r="E706" s="14"/>
    </row>
    <row r="707">
      <c r="A707" s="13"/>
      <c r="B707" s="13"/>
      <c r="C707" s="13"/>
      <c r="D707" s="13"/>
      <c r="E707" s="14"/>
    </row>
    <row r="708">
      <c r="A708" s="13"/>
      <c r="B708" s="13"/>
      <c r="C708" s="13"/>
      <c r="D708" s="13"/>
      <c r="E708" s="14"/>
    </row>
    <row r="709">
      <c r="A709" s="13"/>
      <c r="B709" s="13"/>
      <c r="C709" s="13"/>
      <c r="D709" s="13"/>
      <c r="E709" s="14"/>
    </row>
    <row r="710">
      <c r="A710" s="13"/>
      <c r="B710" s="13"/>
      <c r="C710" s="13"/>
      <c r="D710" s="13"/>
      <c r="E710" s="14"/>
    </row>
    <row r="711">
      <c r="A711" s="13"/>
      <c r="B711" s="13"/>
      <c r="C711" s="13"/>
      <c r="D711" s="13"/>
      <c r="E711" s="14"/>
    </row>
    <row r="712">
      <c r="A712" s="13"/>
      <c r="B712" s="13"/>
      <c r="C712" s="13"/>
      <c r="D712" s="13"/>
      <c r="E712" s="14"/>
    </row>
    <row r="713">
      <c r="A713" s="13"/>
      <c r="B713" s="13"/>
      <c r="C713" s="13"/>
      <c r="D713" s="13"/>
      <c r="E713" s="14"/>
    </row>
    <row r="714">
      <c r="A714" s="13"/>
      <c r="B714" s="13"/>
      <c r="C714" s="13"/>
      <c r="D714" s="13"/>
      <c r="E714" s="14"/>
    </row>
    <row r="715">
      <c r="A715" s="13"/>
      <c r="B715" s="13"/>
      <c r="C715" s="13"/>
      <c r="D715" s="13"/>
      <c r="E715" s="14"/>
    </row>
    <row r="716">
      <c r="A716" s="13"/>
      <c r="B716" s="13"/>
      <c r="C716" s="13"/>
      <c r="D716" s="13"/>
      <c r="E716" s="14"/>
    </row>
    <row r="717">
      <c r="A717" s="13"/>
      <c r="B717" s="13"/>
      <c r="C717" s="13"/>
      <c r="D717" s="13"/>
      <c r="E717" s="14"/>
    </row>
    <row r="718">
      <c r="A718" s="13"/>
      <c r="B718" s="13"/>
      <c r="C718" s="13"/>
      <c r="D718" s="13"/>
      <c r="E718" s="14"/>
    </row>
    <row r="719">
      <c r="A719" s="13"/>
      <c r="B719" s="13"/>
      <c r="C719" s="13"/>
      <c r="D719" s="13"/>
      <c r="E719" s="14"/>
    </row>
    <row r="720">
      <c r="A720" s="13"/>
      <c r="B720" s="13"/>
      <c r="C720" s="13"/>
      <c r="D720" s="13"/>
      <c r="E720" s="14"/>
    </row>
    <row r="721">
      <c r="A721" s="13"/>
      <c r="B721" s="13"/>
      <c r="C721" s="13"/>
      <c r="D721" s="13"/>
      <c r="E721" s="14"/>
    </row>
    <row r="722">
      <c r="A722" s="13"/>
      <c r="B722" s="13"/>
      <c r="C722" s="13"/>
      <c r="D722" s="13"/>
      <c r="E722" s="14"/>
    </row>
    <row r="723">
      <c r="A723" s="13"/>
      <c r="B723" s="13"/>
      <c r="C723" s="13"/>
      <c r="D723" s="13"/>
      <c r="E723" s="14"/>
    </row>
    <row r="724">
      <c r="A724" s="13"/>
      <c r="B724" s="13"/>
      <c r="C724" s="13"/>
      <c r="D724" s="13"/>
      <c r="E724" s="14"/>
    </row>
    <row r="725">
      <c r="A725" s="13"/>
      <c r="B725" s="13"/>
      <c r="C725" s="13"/>
      <c r="D725" s="13"/>
      <c r="E725" s="14"/>
    </row>
    <row r="726">
      <c r="A726" s="13"/>
      <c r="B726" s="13"/>
      <c r="C726" s="13"/>
      <c r="D726" s="13"/>
      <c r="E726" s="14"/>
    </row>
    <row r="727">
      <c r="A727" s="13"/>
      <c r="B727" s="13"/>
      <c r="C727" s="13"/>
      <c r="D727" s="13"/>
      <c r="E727" s="14"/>
    </row>
    <row r="728">
      <c r="A728" s="13"/>
      <c r="B728" s="13"/>
      <c r="C728" s="13"/>
      <c r="D728" s="13"/>
      <c r="E728" s="14"/>
    </row>
    <row r="729">
      <c r="A729" s="13"/>
      <c r="B729" s="13"/>
      <c r="C729" s="13"/>
      <c r="D729" s="13"/>
      <c r="E729" s="14"/>
    </row>
    <row r="730">
      <c r="A730" s="13"/>
      <c r="B730" s="13"/>
      <c r="C730" s="13"/>
      <c r="D730" s="13"/>
      <c r="E730" s="14"/>
    </row>
    <row r="731">
      <c r="A731" s="13"/>
      <c r="B731" s="13"/>
      <c r="C731" s="13"/>
      <c r="D731" s="13"/>
      <c r="E731" s="14"/>
    </row>
    <row r="732">
      <c r="A732" s="13"/>
      <c r="B732" s="13"/>
      <c r="C732" s="13"/>
      <c r="D732" s="13"/>
      <c r="E732" s="14"/>
    </row>
    <row r="733">
      <c r="A733" s="13"/>
      <c r="B733" s="13"/>
      <c r="C733" s="13"/>
      <c r="D733" s="13"/>
      <c r="E733" s="14"/>
    </row>
    <row r="734">
      <c r="A734" s="13"/>
      <c r="B734" s="13"/>
      <c r="C734" s="13"/>
      <c r="D734" s="13"/>
      <c r="E734" s="14"/>
    </row>
    <row r="735">
      <c r="A735" s="13"/>
      <c r="B735" s="13"/>
      <c r="C735" s="13"/>
      <c r="D735" s="13"/>
      <c r="E735" s="14"/>
    </row>
    <row r="736">
      <c r="A736" s="13"/>
      <c r="B736" s="13"/>
      <c r="C736" s="13"/>
      <c r="D736" s="13"/>
      <c r="E736" s="14"/>
    </row>
    <row r="737">
      <c r="A737" s="13"/>
      <c r="B737" s="13"/>
      <c r="C737" s="13"/>
      <c r="D737" s="13"/>
      <c r="E737" s="14"/>
    </row>
    <row r="738">
      <c r="A738" s="13"/>
      <c r="B738" s="13"/>
      <c r="C738" s="13"/>
      <c r="D738" s="13"/>
      <c r="E738" s="14"/>
    </row>
    <row r="739">
      <c r="A739" s="13"/>
      <c r="B739" s="13"/>
      <c r="C739" s="13"/>
      <c r="D739" s="13"/>
      <c r="E739" s="14"/>
    </row>
    <row r="740">
      <c r="A740" s="13"/>
      <c r="B740" s="13"/>
      <c r="C740" s="13"/>
      <c r="D740" s="13"/>
      <c r="E740" s="14"/>
    </row>
    <row r="741">
      <c r="A741" s="13"/>
      <c r="B741" s="13"/>
      <c r="C741" s="13"/>
      <c r="D741" s="13"/>
      <c r="E741" s="14"/>
    </row>
    <row r="742">
      <c r="A742" s="13"/>
      <c r="B742" s="13"/>
      <c r="C742" s="13"/>
      <c r="D742" s="13"/>
      <c r="E742" s="14"/>
    </row>
    <row r="743">
      <c r="A743" s="13"/>
      <c r="B743" s="13"/>
      <c r="C743" s="13"/>
      <c r="D743" s="13"/>
      <c r="E743" s="14"/>
    </row>
    <row r="744">
      <c r="A744" s="13"/>
      <c r="B744" s="13"/>
      <c r="C744" s="13"/>
      <c r="D744" s="13"/>
      <c r="E744" s="14"/>
    </row>
    <row r="745">
      <c r="A745" s="13"/>
      <c r="B745" s="13"/>
      <c r="C745" s="13"/>
      <c r="D745" s="13"/>
      <c r="E745" s="14"/>
    </row>
    <row r="746">
      <c r="A746" s="13"/>
      <c r="B746" s="13"/>
      <c r="C746" s="13"/>
      <c r="D746" s="13"/>
      <c r="E746" s="14"/>
    </row>
    <row r="747">
      <c r="A747" s="13"/>
      <c r="B747" s="13"/>
      <c r="C747" s="13"/>
      <c r="D747" s="13"/>
      <c r="E747" s="14"/>
    </row>
    <row r="748">
      <c r="A748" s="13"/>
      <c r="B748" s="13"/>
      <c r="C748" s="13"/>
      <c r="D748" s="13"/>
      <c r="E748" s="14"/>
    </row>
    <row r="749">
      <c r="A749" s="13"/>
      <c r="B749" s="13"/>
      <c r="C749" s="13"/>
      <c r="D749" s="13"/>
      <c r="E749" s="14"/>
    </row>
    <row r="750">
      <c r="A750" s="13"/>
      <c r="B750" s="13"/>
      <c r="C750" s="13"/>
      <c r="D750" s="13"/>
      <c r="E750" s="14"/>
    </row>
    <row r="751">
      <c r="A751" s="13"/>
      <c r="B751" s="13"/>
      <c r="C751" s="13"/>
      <c r="D751" s="13"/>
      <c r="E751" s="14"/>
    </row>
    <row r="752">
      <c r="A752" s="13"/>
      <c r="B752" s="13"/>
      <c r="C752" s="13"/>
      <c r="D752" s="13"/>
      <c r="E752" s="14"/>
    </row>
    <row r="753">
      <c r="A753" s="13"/>
      <c r="B753" s="13"/>
      <c r="C753" s="13"/>
      <c r="D753" s="13"/>
      <c r="E753" s="14"/>
    </row>
    <row r="754">
      <c r="A754" s="13"/>
      <c r="B754" s="13"/>
      <c r="C754" s="13"/>
      <c r="D754" s="13"/>
      <c r="E754" s="14"/>
    </row>
    <row r="755">
      <c r="A755" s="13"/>
      <c r="B755" s="13"/>
      <c r="C755" s="13"/>
      <c r="D755" s="13"/>
      <c r="E755" s="14"/>
    </row>
    <row r="756">
      <c r="A756" s="13"/>
      <c r="B756" s="13"/>
      <c r="C756" s="13"/>
      <c r="D756" s="13"/>
      <c r="E756" s="14"/>
    </row>
    <row r="757">
      <c r="A757" s="13"/>
      <c r="B757" s="13"/>
      <c r="C757" s="13"/>
      <c r="D757" s="13"/>
      <c r="E757" s="14"/>
    </row>
    <row r="758">
      <c r="A758" s="13"/>
      <c r="B758" s="13"/>
      <c r="C758" s="13"/>
      <c r="D758" s="13"/>
      <c r="E758" s="14"/>
    </row>
    <row r="759">
      <c r="A759" s="13"/>
      <c r="B759" s="13"/>
      <c r="C759" s="13"/>
      <c r="D759" s="13"/>
      <c r="E759" s="14"/>
    </row>
    <row r="760">
      <c r="A760" s="13"/>
      <c r="B760" s="13"/>
      <c r="C760" s="13"/>
      <c r="D760" s="13"/>
      <c r="E760" s="14"/>
    </row>
    <row r="761">
      <c r="A761" s="13"/>
      <c r="B761" s="13"/>
      <c r="C761" s="13"/>
      <c r="D761" s="13"/>
      <c r="E761" s="14"/>
    </row>
    <row r="762">
      <c r="A762" s="13"/>
      <c r="B762" s="13"/>
      <c r="C762" s="13"/>
      <c r="D762" s="13"/>
      <c r="E762" s="14"/>
    </row>
    <row r="763">
      <c r="A763" s="13"/>
      <c r="B763" s="13"/>
      <c r="C763" s="13"/>
      <c r="D763" s="13"/>
      <c r="E763" s="14"/>
    </row>
    <row r="764">
      <c r="A764" s="13"/>
      <c r="B764" s="13"/>
      <c r="C764" s="13"/>
      <c r="D764" s="13"/>
      <c r="E764" s="14"/>
    </row>
    <row r="765">
      <c r="A765" s="13"/>
      <c r="B765" s="13"/>
      <c r="C765" s="13"/>
      <c r="D765" s="13"/>
      <c r="E765" s="14"/>
    </row>
    <row r="766">
      <c r="A766" s="13"/>
      <c r="B766" s="13"/>
      <c r="C766" s="13"/>
      <c r="D766" s="13"/>
      <c r="E766" s="14"/>
    </row>
    <row r="767">
      <c r="A767" s="13"/>
      <c r="B767" s="13"/>
      <c r="C767" s="13"/>
      <c r="D767" s="13"/>
      <c r="E767" s="14"/>
    </row>
    <row r="768">
      <c r="A768" s="13"/>
      <c r="B768" s="13"/>
      <c r="C768" s="13"/>
      <c r="D768" s="13"/>
      <c r="E768" s="14"/>
    </row>
    <row r="769">
      <c r="A769" s="13"/>
      <c r="B769" s="13"/>
      <c r="C769" s="13"/>
      <c r="D769" s="13"/>
      <c r="E769" s="14"/>
    </row>
    <row r="770">
      <c r="A770" s="13"/>
      <c r="B770" s="13"/>
      <c r="C770" s="13"/>
      <c r="D770" s="13"/>
      <c r="E770" s="14"/>
    </row>
    <row r="771">
      <c r="A771" s="13"/>
      <c r="B771" s="13"/>
      <c r="C771" s="13"/>
      <c r="D771" s="13"/>
      <c r="E771" s="14"/>
    </row>
    <row r="772">
      <c r="A772" s="13"/>
      <c r="B772" s="13"/>
      <c r="C772" s="13"/>
      <c r="D772" s="13"/>
      <c r="E772" s="14"/>
    </row>
    <row r="773">
      <c r="A773" s="13"/>
      <c r="B773" s="13"/>
      <c r="C773" s="13"/>
      <c r="D773" s="13"/>
      <c r="E773" s="14"/>
    </row>
    <row r="774">
      <c r="A774" s="13"/>
      <c r="B774" s="13"/>
      <c r="C774" s="13"/>
      <c r="D774" s="13"/>
      <c r="E774" s="14"/>
    </row>
    <row r="775">
      <c r="A775" s="13"/>
      <c r="B775" s="13"/>
      <c r="C775" s="13"/>
      <c r="D775" s="13"/>
      <c r="E775" s="14"/>
    </row>
    <row r="776">
      <c r="A776" s="13"/>
      <c r="B776" s="13"/>
      <c r="C776" s="13"/>
      <c r="D776" s="13"/>
      <c r="E776" s="14"/>
    </row>
    <row r="777">
      <c r="A777" s="13"/>
      <c r="B777" s="13"/>
      <c r="C777" s="13"/>
      <c r="D777" s="13"/>
      <c r="E777" s="14"/>
    </row>
    <row r="778">
      <c r="A778" s="13"/>
      <c r="B778" s="13"/>
      <c r="C778" s="13"/>
      <c r="D778" s="13"/>
      <c r="E778" s="14"/>
    </row>
    <row r="779">
      <c r="A779" s="13"/>
      <c r="B779" s="13"/>
      <c r="C779" s="13"/>
      <c r="D779" s="13"/>
      <c r="E779" s="14"/>
    </row>
    <row r="780">
      <c r="A780" s="13"/>
      <c r="B780" s="13"/>
      <c r="C780" s="13"/>
      <c r="D780" s="13"/>
      <c r="E780" s="14"/>
    </row>
    <row r="781">
      <c r="A781" s="13"/>
      <c r="B781" s="13"/>
      <c r="C781" s="13"/>
      <c r="D781" s="13"/>
      <c r="E781" s="14"/>
    </row>
    <row r="782">
      <c r="A782" s="13"/>
      <c r="B782" s="13"/>
      <c r="C782" s="13"/>
      <c r="D782" s="13"/>
      <c r="E782" s="14"/>
    </row>
    <row r="783">
      <c r="A783" s="13"/>
      <c r="B783" s="13"/>
      <c r="C783" s="13"/>
      <c r="D783" s="13"/>
      <c r="E783" s="14"/>
    </row>
    <row r="784">
      <c r="A784" s="13"/>
      <c r="B784" s="13"/>
      <c r="C784" s="13"/>
      <c r="D784" s="13"/>
      <c r="E784" s="14"/>
    </row>
    <row r="785">
      <c r="A785" s="13"/>
      <c r="B785" s="13"/>
      <c r="C785" s="13"/>
      <c r="D785" s="13"/>
      <c r="E785" s="14"/>
    </row>
    <row r="786">
      <c r="A786" s="13"/>
      <c r="B786" s="13"/>
      <c r="C786" s="13"/>
      <c r="D786" s="13"/>
      <c r="E786" s="14"/>
    </row>
    <row r="787">
      <c r="A787" s="13"/>
      <c r="B787" s="13"/>
      <c r="C787" s="13"/>
      <c r="D787" s="13"/>
      <c r="E787" s="14"/>
    </row>
    <row r="788">
      <c r="A788" s="13"/>
      <c r="B788" s="13"/>
      <c r="C788" s="13"/>
      <c r="D788" s="13"/>
      <c r="E788" s="14"/>
    </row>
    <row r="789">
      <c r="A789" s="13"/>
      <c r="B789" s="13"/>
      <c r="C789" s="13"/>
      <c r="D789" s="13"/>
      <c r="E789" s="14"/>
    </row>
    <row r="790">
      <c r="A790" s="13"/>
      <c r="B790" s="13"/>
      <c r="C790" s="13"/>
      <c r="D790" s="13"/>
      <c r="E790" s="14"/>
    </row>
    <row r="791">
      <c r="A791" s="13"/>
      <c r="B791" s="13"/>
      <c r="C791" s="13"/>
      <c r="D791" s="13"/>
      <c r="E791" s="14"/>
    </row>
    <row r="792">
      <c r="A792" s="13"/>
      <c r="B792" s="13"/>
      <c r="C792" s="13"/>
      <c r="D792" s="13"/>
      <c r="E792" s="14"/>
    </row>
    <row r="793">
      <c r="A793" s="13"/>
      <c r="B793" s="13"/>
      <c r="C793" s="13"/>
      <c r="D793" s="13"/>
      <c r="E793" s="14"/>
    </row>
    <row r="794">
      <c r="A794" s="13"/>
      <c r="B794" s="13"/>
      <c r="C794" s="13"/>
      <c r="D794" s="13"/>
      <c r="E794" s="14"/>
    </row>
    <row r="795">
      <c r="A795" s="13"/>
      <c r="B795" s="13"/>
      <c r="C795" s="13"/>
      <c r="D795" s="13"/>
      <c r="E795" s="14"/>
    </row>
    <row r="796">
      <c r="A796" s="13"/>
      <c r="B796" s="13"/>
      <c r="C796" s="13"/>
      <c r="D796" s="13"/>
      <c r="E796" s="14"/>
    </row>
    <row r="797">
      <c r="A797" s="13"/>
      <c r="B797" s="13"/>
      <c r="C797" s="13"/>
      <c r="D797" s="13"/>
      <c r="E797" s="14"/>
    </row>
    <row r="798">
      <c r="A798" s="13"/>
      <c r="B798" s="13"/>
      <c r="C798" s="13"/>
      <c r="D798" s="13"/>
      <c r="E798" s="14"/>
    </row>
    <row r="799">
      <c r="A799" s="13"/>
      <c r="B799" s="13"/>
      <c r="C799" s="13"/>
      <c r="D799" s="13"/>
      <c r="E799" s="14"/>
    </row>
    <row r="800">
      <c r="A800" s="13"/>
      <c r="B800" s="13"/>
      <c r="C800" s="13"/>
      <c r="D800" s="13"/>
      <c r="E800" s="14"/>
    </row>
    <row r="801">
      <c r="A801" s="13"/>
      <c r="B801" s="13"/>
      <c r="C801" s="13"/>
      <c r="D801" s="13"/>
      <c r="E801" s="14"/>
    </row>
    <row r="802">
      <c r="A802" s="13"/>
      <c r="B802" s="13"/>
      <c r="C802" s="13"/>
      <c r="D802" s="13"/>
      <c r="E802" s="14"/>
    </row>
    <row r="803">
      <c r="A803" s="13"/>
      <c r="B803" s="13"/>
      <c r="C803" s="13"/>
      <c r="D803" s="13"/>
      <c r="E803" s="14"/>
    </row>
    <row r="804">
      <c r="A804" s="13"/>
      <c r="B804" s="13"/>
      <c r="C804" s="13"/>
      <c r="D804" s="13"/>
      <c r="E804" s="14"/>
    </row>
    <row r="805">
      <c r="A805" s="13"/>
      <c r="B805" s="13"/>
      <c r="C805" s="13"/>
      <c r="D805" s="13"/>
      <c r="E805" s="14"/>
    </row>
    <row r="806">
      <c r="A806" s="13"/>
      <c r="B806" s="13"/>
      <c r="C806" s="13"/>
      <c r="D806" s="13"/>
      <c r="E806" s="14"/>
    </row>
    <row r="807">
      <c r="A807" s="13"/>
      <c r="B807" s="13"/>
      <c r="C807" s="13"/>
      <c r="D807" s="13"/>
      <c r="E807" s="14"/>
    </row>
    <row r="808">
      <c r="A808" s="13"/>
      <c r="B808" s="13"/>
      <c r="C808" s="13"/>
      <c r="D808" s="13"/>
      <c r="E808" s="14"/>
    </row>
    <row r="809">
      <c r="A809" s="13"/>
      <c r="B809" s="13"/>
      <c r="C809" s="13"/>
      <c r="D809" s="13"/>
      <c r="E809" s="14"/>
    </row>
    <row r="810">
      <c r="A810" s="13"/>
      <c r="B810" s="13"/>
      <c r="C810" s="13"/>
      <c r="D810" s="13"/>
      <c r="E810" s="14"/>
    </row>
    <row r="811">
      <c r="A811" s="13"/>
      <c r="B811" s="13"/>
      <c r="C811" s="13"/>
      <c r="D811" s="13"/>
      <c r="E811" s="14"/>
    </row>
    <row r="812">
      <c r="A812" s="13"/>
      <c r="B812" s="13"/>
      <c r="C812" s="13"/>
      <c r="D812" s="13"/>
      <c r="E812" s="14"/>
    </row>
    <row r="813">
      <c r="A813" s="13"/>
      <c r="B813" s="13"/>
      <c r="C813" s="13"/>
      <c r="D813" s="13"/>
      <c r="E813" s="14"/>
    </row>
    <row r="814">
      <c r="A814" s="13"/>
      <c r="B814" s="13"/>
      <c r="C814" s="13"/>
      <c r="D814" s="13"/>
      <c r="E814" s="14"/>
    </row>
    <row r="815">
      <c r="A815" s="13"/>
      <c r="B815" s="13"/>
      <c r="C815" s="13"/>
      <c r="D815" s="13"/>
      <c r="E815" s="14"/>
    </row>
    <row r="816">
      <c r="A816" s="13"/>
      <c r="B816" s="13"/>
      <c r="C816" s="13"/>
      <c r="D816" s="13"/>
      <c r="E816" s="14"/>
    </row>
    <row r="817">
      <c r="A817" s="13"/>
      <c r="B817" s="13"/>
      <c r="C817" s="13"/>
      <c r="D817" s="13"/>
      <c r="E817" s="14"/>
    </row>
    <row r="818">
      <c r="A818" s="13"/>
      <c r="B818" s="13"/>
      <c r="C818" s="13"/>
      <c r="D818" s="13"/>
      <c r="E818" s="14"/>
    </row>
    <row r="819">
      <c r="A819" s="13"/>
      <c r="B819" s="13"/>
      <c r="C819" s="13"/>
      <c r="D819" s="13"/>
      <c r="E819" s="14"/>
    </row>
    <row r="820">
      <c r="A820" s="13"/>
      <c r="B820" s="13"/>
      <c r="C820" s="13"/>
      <c r="D820" s="13"/>
      <c r="E820" s="14"/>
    </row>
    <row r="821">
      <c r="A821" s="13"/>
      <c r="B821" s="13"/>
      <c r="C821" s="13"/>
      <c r="D821" s="13"/>
      <c r="E821" s="14"/>
    </row>
    <row r="822">
      <c r="A822" s="13"/>
      <c r="B822" s="13"/>
      <c r="C822" s="13"/>
      <c r="D822" s="13"/>
      <c r="E822" s="14"/>
    </row>
    <row r="823">
      <c r="A823" s="13"/>
      <c r="B823" s="13"/>
      <c r="C823" s="13"/>
      <c r="D823" s="13"/>
      <c r="E823" s="14"/>
    </row>
    <row r="824">
      <c r="A824" s="13"/>
      <c r="B824" s="13"/>
      <c r="C824" s="13"/>
      <c r="D824" s="13"/>
      <c r="E824" s="14"/>
    </row>
    <row r="825">
      <c r="A825" s="13"/>
      <c r="B825" s="13"/>
      <c r="C825" s="13"/>
      <c r="D825" s="13"/>
      <c r="E825" s="14"/>
    </row>
    <row r="826">
      <c r="A826" s="13"/>
      <c r="B826" s="13"/>
      <c r="C826" s="13"/>
      <c r="D826" s="13"/>
      <c r="E826" s="14"/>
    </row>
    <row r="827">
      <c r="A827" s="13"/>
      <c r="B827" s="13"/>
      <c r="C827" s="13"/>
      <c r="D827" s="13"/>
      <c r="E827" s="14"/>
    </row>
    <row r="828">
      <c r="A828" s="13"/>
      <c r="B828" s="13"/>
      <c r="C828" s="13"/>
      <c r="D828" s="13"/>
      <c r="E828" s="14"/>
    </row>
    <row r="829">
      <c r="A829" s="13"/>
      <c r="B829" s="13"/>
      <c r="C829" s="13"/>
      <c r="D829" s="13"/>
      <c r="E829" s="14"/>
    </row>
    <row r="830">
      <c r="A830" s="13"/>
      <c r="B830" s="13"/>
      <c r="C830" s="13"/>
      <c r="D830" s="13"/>
      <c r="E830" s="14"/>
    </row>
    <row r="831">
      <c r="A831" s="13"/>
      <c r="B831" s="13"/>
      <c r="C831" s="13"/>
      <c r="D831" s="13"/>
      <c r="E831" s="14"/>
    </row>
    <row r="832">
      <c r="A832" s="13"/>
      <c r="B832" s="13"/>
      <c r="C832" s="13"/>
      <c r="D832" s="13"/>
      <c r="E832" s="14"/>
    </row>
    <row r="833">
      <c r="A833" s="13"/>
      <c r="B833" s="13"/>
      <c r="C833" s="13"/>
      <c r="D833" s="13"/>
      <c r="E833" s="14"/>
    </row>
    <row r="834">
      <c r="A834" s="13"/>
      <c r="B834" s="13"/>
      <c r="C834" s="13"/>
      <c r="D834" s="13"/>
      <c r="E834" s="14"/>
    </row>
    <row r="835">
      <c r="A835" s="13"/>
      <c r="B835" s="13"/>
      <c r="C835" s="13"/>
      <c r="D835" s="13"/>
      <c r="E835" s="14"/>
    </row>
    <row r="836">
      <c r="A836" s="13"/>
      <c r="B836" s="13"/>
      <c r="C836" s="13"/>
      <c r="D836" s="13"/>
      <c r="E836" s="14"/>
    </row>
    <row r="837">
      <c r="A837" s="13"/>
      <c r="B837" s="13"/>
      <c r="C837" s="13"/>
      <c r="D837" s="13"/>
      <c r="E837" s="14"/>
    </row>
    <row r="838">
      <c r="A838" s="13"/>
      <c r="B838" s="13"/>
      <c r="C838" s="13"/>
      <c r="D838" s="13"/>
      <c r="E838" s="14"/>
    </row>
    <row r="839">
      <c r="A839" s="13"/>
      <c r="B839" s="13"/>
      <c r="C839" s="13"/>
      <c r="D839" s="13"/>
      <c r="E839" s="14"/>
    </row>
    <row r="840">
      <c r="A840" s="13"/>
      <c r="B840" s="13"/>
      <c r="C840" s="13"/>
      <c r="D840" s="13"/>
      <c r="E840" s="14"/>
    </row>
    <row r="841">
      <c r="A841" s="13"/>
      <c r="B841" s="13"/>
      <c r="C841" s="13"/>
      <c r="D841" s="13"/>
      <c r="E841" s="14"/>
    </row>
    <row r="842">
      <c r="A842" s="13"/>
      <c r="B842" s="13"/>
      <c r="C842" s="13"/>
      <c r="D842" s="13"/>
      <c r="E842" s="14"/>
    </row>
    <row r="843">
      <c r="A843" s="13"/>
      <c r="B843" s="13"/>
      <c r="C843" s="13"/>
      <c r="D843" s="13"/>
      <c r="E843" s="14"/>
    </row>
    <row r="844">
      <c r="A844" s="13"/>
      <c r="B844" s="13"/>
      <c r="C844" s="13"/>
      <c r="D844" s="13"/>
      <c r="E844" s="14"/>
    </row>
    <row r="845">
      <c r="A845" s="13"/>
      <c r="B845" s="13"/>
      <c r="C845" s="13"/>
      <c r="D845" s="13"/>
      <c r="E845" s="14"/>
    </row>
    <row r="846">
      <c r="A846" s="13"/>
      <c r="B846" s="13"/>
      <c r="C846" s="13"/>
      <c r="D846" s="13"/>
      <c r="E846" s="14"/>
    </row>
    <row r="847">
      <c r="A847" s="13"/>
      <c r="B847" s="13"/>
      <c r="C847" s="13"/>
      <c r="D847" s="13"/>
      <c r="E847" s="14"/>
    </row>
    <row r="848">
      <c r="A848" s="13"/>
      <c r="B848" s="13"/>
      <c r="C848" s="13"/>
      <c r="D848" s="13"/>
      <c r="E848" s="14"/>
    </row>
    <row r="849">
      <c r="A849" s="13"/>
      <c r="B849" s="13"/>
      <c r="C849" s="13"/>
      <c r="D849" s="13"/>
      <c r="E849" s="14"/>
    </row>
    <row r="850">
      <c r="A850" s="13"/>
      <c r="B850" s="13"/>
      <c r="C850" s="13"/>
      <c r="D850" s="13"/>
      <c r="E850" s="14"/>
    </row>
    <row r="851">
      <c r="A851" s="13"/>
      <c r="B851" s="13"/>
      <c r="C851" s="13"/>
      <c r="D851" s="13"/>
      <c r="E851" s="14"/>
    </row>
    <row r="852">
      <c r="A852" s="13"/>
      <c r="B852" s="13"/>
      <c r="C852" s="13"/>
      <c r="D852" s="13"/>
      <c r="E852" s="14"/>
    </row>
    <row r="853">
      <c r="A853" s="13"/>
      <c r="B853" s="13"/>
      <c r="C853" s="13"/>
      <c r="D853" s="13"/>
      <c r="E853" s="14"/>
    </row>
    <row r="854">
      <c r="A854" s="13"/>
      <c r="B854" s="13"/>
      <c r="C854" s="13"/>
      <c r="D854" s="13"/>
      <c r="E854" s="14"/>
    </row>
    <row r="855">
      <c r="A855" s="13"/>
      <c r="B855" s="13"/>
      <c r="C855" s="13"/>
      <c r="D855" s="13"/>
      <c r="E855" s="14"/>
    </row>
    <row r="856">
      <c r="A856" s="13"/>
      <c r="B856" s="13"/>
      <c r="C856" s="13"/>
      <c r="D856" s="13"/>
      <c r="E856" s="14"/>
    </row>
    <row r="857">
      <c r="A857" s="13"/>
      <c r="B857" s="13"/>
      <c r="C857" s="13"/>
      <c r="D857" s="13"/>
      <c r="E857" s="14"/>
    </row>
    <row r="858">
      <c r="A858" s="13"/>
      <c r="B858" s="13"/>
      <c r="C858" s="13"/>
      <c r="D858" s="13"/>
      <c r="E858" s="14"/>
    </row>
    <row r="859">
      <c r="A859" s="13"/>
      <c r="B859" s="13"/>
      <c r="C859" s="13"/>
      <c r="D859" s="13"/>
      <c r="E859" s="14"/>
    </row>
    <row r="860">
      <c r="A860" s="13"/>
      <c r="B860" s="13"/>
      <c r="C860" s="13"/>
      <c r="D860" s="13"/>
      <c r="E860" s="14"/>
    </row>
    <row r="861">
      <c r="A861" s="13"/>
      <c r="B861" s="13"/>
      <c r="C861" s="13"/>
      <c r="D861" s="13"/>
      <c r="E861" s="14"/>
    </row>
    <row r="862">
      <c r="A862" s="13"/>
      <c r="B862" s="13"/>
      <c r="C862" s="13"/>
      <c r="D862" s="13"/>
      <c r="E862" s="14"/>
    </row>
    <row r="863">
      <c r="A863" s="13"/>
      <c r="B863" s="13"/>
      <c r="C863" s="13"/>
      <c r="D863" s="13"/>
      <c r="E863" s="14"/>
    </row>
    <row r="864">
      <c r="A864" s="13"/>
      <c r="B864" s="13"/>
      <c r="C864" s="13"/>
      <c r="D864" s="13"/>
      <c r="E864" s="14"/>
    </row>
    <row r="865">
      <c r="A865" s="13"/>
      <c r="B865" s="13"/>
      <c r="C865" s="13"/>
      <c r="D865" s="13"/>
      <c r="E865" s="14"/>
    </row>
    <row r="866">
      <c r="A866" s="13"/>
      <c r="B866" s="13"/>
      <c r="C866" s="13"/>
      <c r="D866" s="13"/>
      <c r="E866" s="14"/>
    </row>
    <row r="867">
      <c r="A867" s="13"/>
      <c r="B867" s="13"/>
      <c r="C867" s="13"/>
      <c r="D867" s="13"/>
      <c r="E867" s="14"/>
    </row>
    <row r="868">
      <c r="A868" s="13"/>
      <c r="B868" s="13"/>
      <c r="C868" s="13"/>
      <c r="D868" s="13"/>
      <c r="E868" s="14"/>
    </row>
    <row r="869">
      <c r="A869" s="13"/>
      <c r="B869" s="13"/>
      <c r="C869" s="13"/>
      <c r="D869" s="13"/>
      <c r="E869" s="14"/>
    </row>
    <row r="870">
      <c r="A870" s="13"/>
      <c r="B870" s="13"/>
      <c r="C870" s="13"/>
      <c r="D870" s="13"/>
      <c r="E870" s="14"/>
    </row>
    <row r="871">
      <c r="A871" s="13"/>
      <c r="B871" s="13"/>
      <c r="C871" s="13"/>
      <c r="D871" s="13"/>
      <c r="E871" s="14"/>
    </row>
    <row r="872">
      <c r="A872" s="13"/>
      <c r="B872" s="13"/>
      <c r="C872" s="13"/>
      <c r="D872" s="13"/>
      <c r="E872" s="14"/>
    </row>
    <row r="873">
      <c r="A873" s="13"/>
      <c r="B873" s="13"/>
      <c r="C873" s="13"/>
      <c r="D873" s="13"/>
      <c r="E873" s="14"/>
    </row>
    <row r="874">
      <c r="A874" s="13"/>
      <c r="B874" s="13"/>
      <c r="C874" s="13"/>
      <c r="D874" s="13"/>
      <c r="E874" s="14"/>
    </row>
    <row r="875">
      <c r="A875" s="13"/>
      <c r="B875" s="13"/>
      <c r="C875" s="13"/>
      <c r="D875" s="13"/>
      <c r="E875" s="14"/>
    </row>
    <row r="876">
      <c r="A876" s="13"/>
      <c r="B876" s="13"/>
      <c r="C876" s="13"/>
      <c r="D876" s="13"/>
      <c r="E876" s="14"/>
    </row>
    <row r="877">
      <c r="A877" s="13"/>
      <c r="B877" s="13"/>
      <c r="C877" s="13"/>
      <c r="D877" s="13"/>
      <c r="E877" s="14"/>
    </row>
    <row r="878">
      <c r="A878" s="13"/>
      <c r="B878" s="13"/>
      <c r="C878" s="13"/>
      <c r="D878" s="13"/>
      <c r="E878" s="14"/>
    </row>
    <row r="879">
      <c r="A879" s="13"/>
      <c r="B879" s="13"/>
      <c r="C879" s="13"/>
      <c r="D879" s="13"/>
      <c r="E879" s="14"/>
    </row>
    <row r="880">
      <c r="A880" s="13"/>
      <c r="B880" s="13"/>
      <c r="C880" s="13"/>
      <c r="D880" s="13"/>
      <c r="E880" s="14"/>
    </row>
    <row r="881">
      <c r="A881" s="13"/>
      <c r="B881" s="13"/>
      <c r="C881" s="13"/>
      <c r="D881" s="13"/>
      <c r="E881" s="14"/>
    </row>
    <row r="882">
      <c r="A882" s="13"/>
      <c r="B882" s="13"/>
      <c r="C882" s="13"/>
      <c r="D882" s="13"/>
      <c r="E882" s="14"/>
    </row>
    <row r="883">
      <c r="A883" s="13"/>
      <c r="B883" s="13"/>
      <c r="C883" s="13"/>
      <c r="D883" s="13"/>
      <c r="E883" s="14"/>
    </row>
    <row r="884">
      <c r="A884" s="13"/>
      <c r="B884" s="13"/>
      <c r="C884" s="13"/>
      <c r="D884" s="13"/>
      <c r="E884" s="14"/>
    </row>
    <row r="885">
      <c r="A885" s="13"/>
      <c r="B885" s="13"/>
      <c r="C885" s="13"/>
      <c r="D885" s="13"/>
      <c r="E885" s="14"/>
    </row>
    <row r="886">
      <c r="A886" s="13"/>
      <c r="B886" s="13"/>
      <c r="C886" s="13"/>
      <c r="D886" s="13"/>
      <c r="E886" s="14"/>
    </row>
    <row r="887">
      <c r="A887" s="13"/>
      <c r="B887" s="13"/>
      <c r="C887" s="13"/>
      <c r="D887" s="13"/>
      <c r="E887" s="14"/>
    </row>
    <row r="888">
      <c r="A888" s="13"/>
      <c r="B888" s="13"/>
      <c r="C888" s="13"/>
      <c r="D888" s="13"/>
      <c r="E888" s="14"/>
    </row>
    <row r="889">
      <c r="A889" s="13"/>
      <c r="B889" s="13"/>
      <c r="C889" s="13"/>
      <c r="D889" s="13"/>
      <c r="E889" s="14"/>
    </row>
    <row r="890">
      <c r="A890" s="13"/>
      <c r="B890" s="13"/>
      <c r="C890" s="13"/>
      <c r="D890" s="13"/>
      <c r="E890" s="14"/>
    </row>
    <row r="891">
      <c r="A891" s="13"/>
      <c r="B891" s="13"/>
      <c r="C891" s="13"/>
      <c r="D891" s="13"/>
      <c r="E891" s="14"/>
    </row>
    <row r="892">
      <c r="A892" s="13"/>
      <c r="B892" s="13"/>
      <c r="C892" s="13"/>
      <c r="D892" s="13"/>
      <c r="E892" s="14"/>
    </row>
    <row r="893">
      <c r="A893" s="13"/>
      <c r="B893" s="13"/>
      <c r="C893" s="13"/>
      <c r="D893" s="13"/>
      <c r="E893" s="14"/>
    </row>
    <row r="894">
      <c r="A894" s="13"/>
      <c r="B894" s="13"/>
      <c r="C894" s="13"/>
      <c r="D894" s="13"/>
      <c r="E894" s="14"/>
    </row>
    <row r="895">
      <c r="A895" s="13"/>
      <c r="B895" s="13"/>
      <c r="C895" s="13"/>
      <c r="D895" s="13"/>
      <c r="E895" s="14"/>
    </row>
    <row r="896">
      <c r="A896" s="13"/>
      <c r="B896" s="13"/>
      <c r="C896" s="13"/>
      <c r="D896" s="13"/>
      <c r="E896" s="14"/>
    </row>
    <row r="897">
      <c r="A897" s="13"/>
      <c r="B897" s="13"/>
      <c r="C897" s="13"/>
      <c r="D897" s="13"/>
      <c r="E897" s="14"/>
    </row>
    <row r="898">
      <c r="A898" s="13"/>
      <c r="B898" s="13"/>
      <c r="C898" s="13"/>
      <c r="D898" s="13"/>
      <c r="E898" s="14"/>
    </row>
    <row r="899">
      <c r="A899" s="13"/>
      <c r="B899" s="13"/>
      <c r="C899" s="13"/>
      <c r="D899" s="13"/>
      <c r="E899" s="14"/>
    </row>
    <row r="900">
      <c r="A900" s="13"/>
      <c r="B900" s="13"/>
      <c r="C900" s="13"/>
      <c r="D900" s="13"/>
      <c r="E900" s="14"/>
    </row>
    <row r="901">
      <c r="A901" s="13"/>
      <c r="B901" s="13"/>
      <c r="C901" s="13"/>
      <c r="D901" s="13"/>
      <c r="E901" s="14"/>
    </row>
    <row r="902">
      <c r="A902" s="13"/>
      <c r="B902" s="13"/>
      <c r="C902" s="13"/>
      <c r="D902" s="13"/>
      <c r="E902" s="14"/>
    </row>
    <row r="903">
      <c r="A903" s="13"/>
      <c r="B903" s="13"/>
      <c r="C903" s="13"/>
      <c r="D903" s="13"/>
      <c r="E903" s="14"/>
    </row>
    <row r="904">
      <c r="A904" s="13"/>
      <c r="B904" s="13"/>
      <c r="C904" s="13"/>
      <c r="D904" s="13"/>
      <c r="E904" s="14"/>
    </row>
    <row r="905">
      <c r="A905" s="13"/>
      <c r="B905" s="13"/>
      <c r="C905" s="13"/>
      <c r="D905" s="13"/>
      <c r="E905" s="14"/>
    </row>
    <row r="906">
      <c r="A906" s="13"/>
      <c r="B906" s="13"/>
      <c r="C906" s="13"/>
      <c r="D906" s="13"/>
      <c r="E906" s="14"/>
    </row>
    <row r="907">
      <c r="A907" s="13"/>
      <c r="B907" s="13"/>
      <c r="C907" s="13"/>
      <c r="D907" s="13"/>
      <c r="E907" s="14"/>
    </row>
    <row r="908">
      <c r="A908" s="13"/>
      <c r="B908" s="13"/>
      <c r="C908" s="13"/>
      <c r="D908" s="13"/>
      <c r="E908" s="14"/>
    </row>
    <row r="909">
      <c r="A909" s="13"/>
      <c r="B909" s="13"/>
      <c r="C909" s="13"/>
      <c r="D909" s="13"/>
      <c r="E909" s="14"/>
    </row>
    <row r="910">
      <c r="A910" s="13"/>
      <c r="B910" s="13"/>
      <c r="C910" s="13"/>
      <c r="D910" s="13"/>
      <c r="E910" s="14"/>
    </row>
    <row r="911">
      <c r="A911" s="13"/>
      <c r="B911" s="13"/>
      <c r="C911" s="13"/>
      <c r="D911" s="13"/>
      <c r="E911" s="14"/>
    </row>
    <row r="912">
      <c r="A912" s="13"/>
      <c r="B912" s="13"/>
      <c r="C912" s="13"/>
      <c r="D912" s="13"/>
      <c r="E912" s="14"/>
    </row>
    <row r="913">
      <c r="A913" s="13"/>
      <c r="B913" s="13"/>
      <c r="C913" s="13"/>
      <c r="D913" s="13"/>
      <c r="E913" s="14"/>
    </row>
    <row r="914">
      <c r="A914" s="13"/>
      <c r="B914" s="13"/>
      <c r="C914" s="13"/>
      <c r="D914" s="13"/>
      <c r="E914" s="14"/>
    </row>
    <row r="915">
      <c r="A915" s="13"/>
      <c r="B915" s="13"/>
      <c r="C915" s="13"/>
      <c r="D915" s="13"/>
      <c r="E915" s="14"/>
    </row>
    <row r="916">
      <c r="A916" s="13"/>
      <c r="B916" s="13"/>
      <c r="C916" s="13"/>
      <c r="D916" s="13"/>
      <c r="E916" s="14"/>
    </row>
    <row r="917">
      <c r="A917" s="13"/>
      <c r="B917" s="13"/>
      <c r="C917" s="13"/>
      <c r="D917" s="13"/>
      <c r="E917" s="14"/>
    </row>
    <row r="918">
      <c r="A918" s="13"/>
      <c r="B918" s="13"/>
      <c r="C918" s="13"/>
      <c r="D918" s="13"/>
      <c r="E918" s="14"/>
    </row>
    <row r="919">
      <c r="A919" s="13"/>
      <c r="B919" s="13"/>
      <c r="C919" s="13"/>
      <c r="D919" s="13"/>
      <c r="E919" s="14"/>
    </row>
    <row r="920">
      <c r="A920" s="13"/>
      <c r="B920" s="13"/>
      <c r="C920" s="13"/>
      <c r="D920" s="13"/>
      <c r="E920" s="14"/>
    </row>
    <row r="921">
      <c r="A921" s="13"/>
      <c r="B921" s="13"/>
      <c r="C921" s="13"/>
      <c r="D921" s="13"/>
      <c r="E921" s="14"/>
    </row>
    <row r="922">
      <c r="A922" s="13"/>
      <c r="B922" s="13"/>
      <c r="C922" s="13"/>
      <c r="D922" s="13"/>
      <c r="E922" s="14"/>
    </row>
    <row r="923">
      <c r="A923" s="13"/>
      <c r="B923" s="13"/>
      <c r="C923" s="13"/>
      <c r="D923" s="13"/>
      <c r="E923" s="14"/>
    </row>
    <row r="924">
      <c r="A924" s="13"/>
      <c r="B924" s="13"/>
      <c r="C924" s="13"/>
      <c r="D924" s="13"/>
      <c r="E924" s="14"/>
    </row>
    <row r="925">
      <c r="A925" s="13"/>
      <c r="B925" s="13"/>
      <c r="C925" s="13"/>
      <c r="D925" s="13"/>
      <c r="E925" s="14"/>
    </row>
    <row r="926">
      <c r="A926" s="13"/>
      <c r="B926" s="13"/>
      <c r="C926" s="13"/>
      <c r="D926" s="13"/>
      <c r="E926" s="14"/>
    </row>
    <row r="927">
      <c r="A927" s="13"/>
      <c r="B927" s="13"/>
      <c r="C927" s="13"/>
      <c r="D927" s="13"/>
      <c r="E927" s="14"/>
    </row>
    <row r="928">
      <c r="A928" s="13"/>
      <c r="B928" s="13"/>
      <c r="C928" s="13"/>
      <c r="D928" s="13"/>
      <c r="E928" s="14"/>
    </row>
    <row r="929">
      <c r="A929" s="13"/>
      <c r="B929" s="13"/>
      <c r="C929" s="13"/>
      <c r="D929" s="13"/>
      <c r="E929" s="14"/>
    </row>
    <row r="930">
      <c r="A930" s="13"/>
      <c r="B930" s="13"/>
      <c r="C930" s="13"/>
      <c r="D930" s="13"/>
      <c r="E930" s="14"/>
    </row>
    <row r="931">
      <c r="A931" s="13"/>
      <c r="B931" s="13"/>
      <c r="C931" s="13"/>
      <c r="D931" s="13"/>
      <c r="E931" s="14"/>
    </row>
    <row r="932">
      <c r="A932" s="13"/>
      <c r="B932" s="13"/>
      <c r="C932" s="13"/>
      <c r="D932" s="13"/>
      <c r="E932" s="14"/>
    </row>
    <row r="933">
      <c r="A933" s="13"/>
      <c r="B933" s="13"/>
      <c r="C933" s="13"/>
      <c r="D933" s="13"/>
      <c r="E933" s="14"/>
    </row>
    <row r="934">
      <c r="A934" s="13"/>
      <c r="B934" s="13"/>
      <c r="C934" s="13"/>
      <c r="D934" s="13"/>
      <c r="E934" s="14"/>
    </row>
    <row r="935">
      <c r="A935" s="13"/>
      <c r="B935" s="13"/>
      <c r="C935" s="13"/>
      <c r="D935" s="13"/>
      <c r="E935" s="14"/>
    </row>
    <row r="936">
      <c r="A936" s="13"/>
      <c r="B936" s="13"/>
      <c r="C936" s="13"/>
      <c r="D936" s="13"/>
      <c r="E936" s="14"/>
    </row>
    <row r="937">
      <c r="A937" s="13"/>
      <c r="B937" s="13"/>
      <c r="C937" s="13"/>
      <c r="D937" s="13"/>
      <c r="E937" s="14"/>
    </row>
    <row r="938">
      <c r="A938" s="13"/>
      <c r="B938" s="13"/>
      <c r="C938" s="13"/>
      <c r="D938" s="13"/>
      <c r="E938" s="14"/>
    </row>
    <row r="939">
      <c r="A939" s="13"/>
      <c r="B939" s="13"/>
      <c r="C939" s="13"/>
      <c r="D939" s="13"/>
      <c r="E939" s="14"/>
    </row>
    <row r="940">
      <c r="A940" s="13"/>
      <c r="B940" s="13"/>
      <c r="C940" s="13"/>
      <c r="D940" s="13"/>
      <c r="E940" s="14"/>
    </row>
    <row r="941">
      <c r="A941" s="13"/>
      <c r="B941" s="13"/>
      <c r="C941" s="13"/>
      <c r="D941" s="13"/>
      <c r="E941" s="14"/>
    </row>
    <row r="942">
      <c r="A942" s="13"/>
      <c r="B942" s="13"/>
      <c r="C942" s="13"/>
      <c r="D942" s="13"/>
      <c r="E942" s="14"/>
    </row>
    <row r="943">
      <c r="A943" s="13"/>
      <c r="B943" s="13"/>
      <c r="C943" s="13"/>
      <c r="D943" s="13"/>
      <c r="E943" s="14"/>
    </row>
    <row r="944">
      <c r="A944" s="13"/>
      <c r="B944" s="13"/>
      <c r="C944" s="13"/>
      <c r="D944" s="13"/>
      <c r="E944" s="14"/>
    </row>
    <row r="945">
      <c r="A945" s="13"/>
      <c r="B945" s="13"/>
      <c r="C945" s="13"/>
      <c r="D945" s="13"/>
      <c r="E945" s="14"/>
    </row>
    <row r="946">
      <c r="A946" s="13"/>
      <c r="B946" s="13"/>
      <c r="C946" s="13"/>
      <c r="D946" s="13"/>
      <c r="E946" s="14"/>
    </row>
    <row r="947">
      <c r="A947" s="13"/>
      <c r="B947" s="13"/>
      <c r="C947" s="13"/>
      <c r="D947" s="13"/>
      <c r="E947" s="14"/>
    </row>
    <row r="948">
      <c r="A948" s="13"/>
      <c r="B948" s="13"/>
      <c r="C948" s="13"/>
      <c r="D948" s="13"/>
      <c r="E948" s="14"/>
    </row>
    <row r="949">
      <c r="A949" s="13"/>
      <c r="B949" s="13"/>
      <c r="C949" s="13"/>
      <c r="D949" s="13"/>
      <c r="E949" s="14"/>
    </row>
    <row r="950">
      <c r="A950" s="13"/>
      <c r="B950" s="13"/>
      <c r="C950" s="13"/>
      <c r="D950" s="13"/>
      <c r="E950" s="14"/>
    </row>
    <row r="951">
      <c r="A951" s="13"/>
      <c r="B951" s="13"/>
      <c r="C951" s="13"/>
      <c r="D951" s="13"/>
      <c r="E951" s="14"/>
    </row>
    <row r="952">
      <c r="A952" s="13"/>
      <c r="B952" s="13"/>
      <c r="C952" s="13"/>
      <c r="D952" s="13"/>
      <c r="E952" s="14"/>
    </row>
    <row r="953">
      <c r="A953" s="13"/>
      <c r="B953" s="13"/>
      <c r="C953" s="13"/>
      <c r="D953" s="13"/>
      <c r="E953" s="14"/>
    </row>
    <row r="954">
      <c r="A954" s="13"/>
      <c r="B954" s="13"/>
      <c r="C954" s="13"/>
      <c r="D954" s="13"/>
      <c r="E954" s="14"/>
    </row>
    <row r="955">
      <c r="A955" s="13"/>
      <c r="B955" s="13"/>
      <c r="C955" s="13"/>
      <c r="D955" s="13"/>
      <c r="E955" s="14"/>
    </row>
    <row r="956">
      <c r="A956" s="13"/>
      <c r="B956" s="13"/>
      <c r="C956" s="13"/>
      <c r="D956" s="13"/>
      <c r="E956" s="14"/>
    </row>
    <row r="957">
      <c r="A957" s="13"/>
      <c r="B957" s="13"/>
      <c r="C957" s="13"/>
      <c r="D957" s="13"/>
      <c r="E957" s="14"/>
    </row>
    <row r="958">
      <c r="A958" s="13"/>
      <c r="B958" s="13"/>
      <c r="C958" s="13"/>
      <c r="D958" s="13"/>
      <c r="E958" s="14"/>
    </row>
    <row r="959">
      <c r="A959" s="13"/>
      <c r="B959" s="13"/>
      <c r="C959" s="13"/>
      <c r="D959" s="13"/>
      <c r="E959" s="14"/>
    </row>
    <row r="960">
      <c r="A960" s="13"/>
      <c r="B960" s="13"/>
      <c r="C960" s="13"/>
      <c r="D960" s="13"/>
      <c r="E960" s="14"/>
    </row>
    <row r="961">
      <c r="A961" s="13"/>
      <c r="B961" s="13"/>
      <c r="C961" s="13"/>
      <c r="D961" s="13"/>
      <c r="E961" s="14"/>
    </row>
    <row r="962">
      <c r="A962" s="13"/>
      <c r="B962" s="13"/>
      <c r="C962" s="13"/>
      <c r="D962" s="13"/>
      <c r="E962" s="14"/>
    </row>
    <row r="963">
      <c r="A963" s="13"/>
      <c r="B963" s="13"/>
      <c r="C963" s="13"/>
      <c r="D963" s="13"/>
      <c r="E963" s="14"/>
    </row>
    <row r="964">
      <c r="A964" s="13"/>
      <c r="B964" s="13"/>
      <c r="C964" s="13"/>
      <c r="D964" s="13"/>
      <c r="E964" s="14"/>
    </row>
    <row r="965">
      <c r="A965" s="13"/>
      <c r="B965" s="13"/>
      <c r="C965" s="13"/>
      <c r="D965" s="13"/>
      <c r="E965" s="14"/>
    </row>
    <row r="966">
      <c r="A966" s="13"/>
      <c r="B966" s="13"/>
      <c r="C966" s="13"/>
      <c r="D966" s="13"/>
      <c r="E966" s="14"/>
    </row>
    <row r="967">
      <c r="A967" s="13"/>
      <c r="B967" s="13"/>
      <c r="C967" s="13"/>
      <c r="D967" s="13"/>
      <c r="E967" s="14"/>
    </row>
    <row r="968">
      <c r="A968" s="13"/>
      <c r="B968" s="13"/>
      <c r="C968" s="13"/>
      <c r="D968" s="13"/>
      <c r="E968" s="14"/>
    </row>
    <row r="969">
      <c r="A969" s="13"/>
      <c r="B969" s="13"/>
      <c r="C969" s="13"/>
      <c r="D969" s="13"/>
      <c r="E969" s="14"/>
    </row>
    <row r="970">
      <c r="A970" s="13"/>
      <c r="B970" s="13"/>
      <c r="C970" s="13"/>
      <c r="D970" s="13"/>
      <c r="E970" s="14"/>
    </row>
    <row r="971">
      <c r="A971" s="13"/>
      <c r="B971" s="13"/>
      <c r="C971" s="13"/>
      <c r="D971" s="13"/>
      <c r="E971" s="14"/>
    </row>
    <row r="972">
      <c r="A972" s="13"/>
      <c r="B972" s="13"/>
      <c r="C972" s="13"/>
      <c r="D972" s="13"/>
      <c r="E972" s="14"/>
    </row>
    <row r="973">
      <c r="A973" s="13"/>
      <c r="B973" s="13"/>
      <c r="C973" s="13"/>
      <c r="D973" s="13"/>
      <c r="E973" s="14"/>
    </row>
    <row r="974">
      <c r="A974" s="13"/>
      <c r="B974" s="13"/>
      <c r="C974" s="13"/>
      <c r="D974" s="13"/>
      <c r="E974" s="14"/>
    </row>
    <row r="975">
      <c r="A975" s="13"/>
      <c r="B975" s="13"/>
      <c r="C975" s="13"/>
      <c r="D975" s="13"/>
      <c r="E975" s="14"/>
    </row>
    <row r="976">
      <c r="A976" s="13"/>
      <c r="B976" s="13"/>
      <c r="C976" s="13"/>
      <c r="D976" s="13"/>
      <c r="E976" s="14"/>
    </row>
    <row r="977">
      <c r="A977" s="13"/>
      <c r="B977" s="13"/>
      <c r="C977" s="13"/>
      <c r="D977" s="13"/>
      <c r="E977" s="14"/>
    </row>
    <row r="978">
      <c r="A978" s="13"/>
      <c r="B978" s="13"/>
      <c r="C978" s="13"/>
      <c r="D978" s="13"/>
      <c r="E978" s="14"/>
    </row>
    <row r="979">
      <c r="A979" s="13"/>
      <c r="B979" s="13"/>
      <c r="C979" s="13"/>
      <c r="D979" s="13"/>
      <c r="E979" s="14"/>
    </row>
    <row r="980">
      <c r="A980" s="13"/>
      <c r="B980" s="13"/>
      <c r="C980" s="13"/>
      <c r="D980" s="13"/>
      <c r="E980" s="14"/>
    </row>
    <row r="981">
      <c r="A981" s="13"/>
      <c r="B981" s="13"/>
      <c r="C981" s="13"/>
      <c r="D981" s="13"/>
      <c r="E981" s="14"/>
    </row>
    <row r="982">
      <c r="A982" s="13"/>
      <c r="B982" s="13"/>
      <c r="C982" s="13"/>
      <c r="D982" s="13"/>
      <c r="E982" s="14"/>
    </row>
    <row r="983">
      <c r="A983" s="13"/>
      <c r="B983" s="13"/>
      <c r="C983" s="13"/>
      <c r="D983" s="13"/>
      <c r="E983" s="14"/>
    </row>
    <row r="984">
      <c r="A984" s="13"/>
      <c r="B984" s="13"/>
      <c r="C984" s="13"/>
      <c r="D984" s="13"/>
      <c r="E984" s="14"/>
    </row>
    <row r="985">
      <c r="A985" s="13"/>
      <c r="B985" s="13"/>
      <c r="C985" s="13"/>
      <c r="D985" s="13"/>
      <c r="E985" s="14"/>
    </row>
    <row r="986">
      <c r="A986" s="13"/>
      <c r="B986" s="13"/>
      <c r="C986" s="13"/>
      <c r="D986" s="13"/>
      <c r="E986" s="14"/>
    </row>
    <row r="987">
      <c r="A987" s="13"/>
      <c r="B987" s="13"/>
      <c r="C987" s="13"/>
      <c r="D987" s="13"/>
      <c r="E987" s="14"/>
    </row>
    <row r="988">
      <c r="A988" s="13"/>
      <c r="B988" s="13"/>
      <c r="C988" s="13"/>
      <c r="D988" s="13"/>
      <c r="E988" s="14"/>
    </row>
    <row r="989">
      <c r="A989" s="13"/>
      <c r="B989" s="13"/>
      <c r="C989" s="13"/>
      <c r="D989" s="13"/>
      <c r="E989" s="14"/>
    </row>
    <row r="990">
      <c r="A990" s="13"/>
      <c r="B990" s="13"/>
      <c r="C990" s="13"/>
      <c r="D990" s="13"/>
      <c r="E990" s="14"/>
    </row>
    <row r="991">
      <c r="A991" s="13"/>
      <c r="B991" s="13"/>
      <c r="C991" s="13"/>
      <c r="D991" s="13"/>
      <c r="E991" s="14"/>
    </row>
    <row r="992">
      <c r="A992" s="13"/>
      <c r="B992" s="13"/>
      <c r="C992" s="13"/>
      <c r="D992" s="13"/>
      <c r="E992" s="14"/>
    </row>
    <row r="993">
      <c r="A993" s="13"/>
      <c r="B993" s="13"/>
      <c r="C993" s="13"/>
      <c r="D993" s="13"/>
      <c r="E993" s="14"/>
    </row>
    <row r="994">
      <c r="A994" s="13"/>
      <c r="B994" s="13"/>
      <c r="C994" s="13"/>
      <c r="D994" s="13"/>
      <c r="E994" s="14"/>
    </row>
    <row r="995">
      <c r="A995" s="13"/>
      <c r="B995" s="13"/>
      <c r="C995" s="13"/>
      <c r="D995" s="13"/>
      <c r="E995" s="14"/>
    </row>
    <row r="996">
      <c r="A996" s="13"/>
      <c r="B996" s="13"/>
      <c r="C996" s="13"/>
      <c r="D996" s="13"/>
      <c r="E996" s="14"/>
    </row>
    <row r="997">
      <c r="A997" s="13"/>
      <c r="B997" s="13"/>
      <c r="C997" s="13"/>
      <c r="D997" s="13"/>
      <c r="E997" s="14"/>
    </row>
    <row r="998">
      <c r="A998" s="13"/>
      <c r="B998" s="13"/>
      <c r="C998" s="13"/>
      <c r="D998" s="13"/>
      <c r="E998" s="14"/>
    </row>
    <row r="999">
      <c r="A999" s="13"/>
      <c r="B999" s="13"/>
      <c r="C999" s="13"/>
      <c r="D999" s="13"/>
      <c r="E999" s="14"/>
    </row>
    <row r="1000">
      <c r="A1000" s="13"/>
      <c r="B1000" s="13"/>
      <c r="C1000" s="13"/>
      <c r="D1000" s="13"/>
      <c r="E1000" s="14"/>
    </row>
  </sheetData>
  <autoFilter ref="$B$1:$E$349">
    <sortState ref="B1:E349">
      <sortCondition ref="D1:D349"/>
      <sortCondition ref="E1:E349"/>
      <sortCondition ref="B1:B349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</hyperlinks>
  <drawing r:id="rId11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4.14"/>
    <col customWidth="1" min="3" max="3" width="50.86"/>
    <col customWidth="1" min="4" max="4" width="60.86"/>
    <col customWidth="1" min="5" max="5" width="21.86"/>
  </cols>
  <sheetData>
    <row r="1">
      <c r="A1" s="22" t="s">
        <v>9</v>
      </c>
      <c r="B1" s="52" t="s">
        <v>12</v>
      </c>
      <c r="C1" s="52" t="s">
        <v>56</v>
      </c>
      <c r="D1" s="52" t="s">
        <v>57</v>
      </c>
      <c r="E1" s="53" t="s">
        <v>58</v>
      </c>
    </row>
    <row r="2" hidden="1">
      <c r="A2" s="42"/>
      <c r="B2" s="42" t="s">
        <v>26</v>
      </c>
      <c r="C2" s="43" t="str">
        <f>hyperlink("https://au.indeed.com/viewjob?jk=791a80504f74cce6","Mechanical Engineer- HVAC")</f>
        <v>Mechanical Engineer- HVAC</v>
      </c>
      <c r="D2" s="42" t="s">
        <v>455</v>
      </c>
      <c r="E2" s="44">
        <v>44175.91438657408</v>
      </c>
    </row>
    <row r="3" hidden="1">
      <c r="A3" s="42"/>
      <c r="B3" s="42" t="s">
        <v>26</v>
      </c>
      <c r="C3" s="43" t="str">
        <f>hyperlink("https://au.indeed.com/viewjob?jk=2d346696011626ca","Senior Rolling Stock Engineer - Mechanical")</f>
        <v>Senior Rolling Stock Engineer - Mechanical</v>
      </c>
      <c r="D3" s="42" t="s">
        <v>456</v>
      </c>
      <c r="E3" s="44">
        <v>44175.91473379629</v>
      </c>
    </row>
    <row r="4" hidden="1">
      <c r="A4" s="42"/>
      <c r="B4" s="42" t="s">
        <v>26</v>
      </c>
      <c r="C4" s="43" t="str">
        <f>hyperlink("https://au.indeed.com/viewjob?jk=4802836bfc40ed14","Mechanical Engineer- HVAC")</f>
        <v>Mechanical Engineer- HVAC</v>
      </c>
      <c r="D4" s="42" t="s">
        <v>455</v>
      </c>
      <c r="E4" s="44">
        <v>44175.91489583333</v>
      </c>
    </row>
    <row r="5" hidden="1">
      <c r="A5" s="42"/>
      <c r="B5" s="42" t="s">
        <v>26</v>
      </c>
      <c r="C5" s="43" t="str">
        <f>hyperlink("https://au.indeed.com/viewjob?jk=5b52a616acecf56c","Senior Mechanical Engineer")</f>
        <v>Senior Mechanical Engineer</v>
      </c>
      <c r="D5" s="42" t="s">
        <v>457</v>
      </c>
      <c r="E5" s="44">
        <v>44175.91519675926</v>
      </c>
    </row>
    <row r="6" hidden="1">
      <c r="A6" s="42"/>
      <c r="B6" s="42" t="s">
        <v>26</v>
      </c>
      <c r="C6" s="43" t="str">
        <f>hyperlink("https://au.indeed.com/viewjob?jk=0e3d384cee11bb25","Mechanical Engineer")</f>
        <v>Mechanical Engineer</v>
      </c>
      <c r="D6" s="42" t="s">
        <v>458</v>
      </c>
      <c r="E6" s="44">
        <v>44175.91532407407</v>
      </c>
    </row>
    <row r="7" hidden="1">
      <c r="A7" s="42"/>
      <c r="B7" s="42" t="s">
        <v>26</v>
      </c>
      <c r="C7" s="43" t="str">
        <f>hyperlink("https://au.indeed.com/viewjob?jk=9ac01c142b59da26","Senior Mechanical Engineer - Data Centre")</f>
        <v>Senior Mechanical Engineer - Data Centre</v>
      </c>
      <c r="D7" s="42" t="s">
        <v>459</v>
      </c>
      <c r="E7" s="44">
        <v>44185.9949537037</v>
      </c>
    </row>
    <row r="8">
      <c r="A8" s="42"/>
      <c r="B8" s="42" t="s">
        <v>45</v>
      </c>
      <c r="C8" s="43" t="str">
        <f t="shared" ref="C8:C9" si="1">hyperlink("https://au.indeed.com/viewjob?jk=bb1b0ecf442ecaf9","Service Project Engineer")</f>
        <v>Service Project Engineer</v>
      </c>
      <c r="D8" s="42" t="s">
        <v>460</v>
      </c>
      <c r="E8" s="44">
        <v>44186.57763888889</v>
      </c>
    </row>
    <row r="9">
      <c r="A9" s="42"/>
      <c r="B9" s="42" t="s">
        <v>45</v>
      </c>
      <c r="C9" s="43" t="str">
        <f t="shared" si="1"/>
        <v>Service Project Engineer</v>
      </c>
      <c r="D9" s="42" t="s">
        <v>460</v>
      </c>
      <c r="E9" s="44">
        <v>44186.62666666666</v>
      </c>
    </row>
    <row r="10">
      <c r="A10" s="42"/>
      <c r="B10" s="42" t="s">
        <v>33</v>
      </c>
      <c r="C10" s="43" t="str">
        <f>hyperlink("https://au.indeed.com/viewjob?jk=4c3f0bd1b7c6272d","Senior Civil Design Engineer (Stormwater)")</f>
        <v>Senior Civil Design Engineer (Stormwater)</v>
      </c>
      <c r="D10" s="42" t="s">
        <v>333</v>
      </c>
      <c r="E10" s="44">
        <v>44186.56428240741</v>
      </c>
    </row>
    <row r="11">
      <c r="A11" s="42"/>
      <c r="B11" s="42" t="s">
        <v>51</v>
      </c>
      <c r="C11" s="43" t="str">
        <f>hyperlink("https://au.indeed.com/viewjob?jk=a34e02ac8ff47efb","Site Engineer")</f>
        <v>Site Engineer</v>
      </c>
      <c r="D11" s="42" t="s">
        <v>333</v>
      </c>
      <c r="E11" s="44">
        <v>44186.591458333336</v>
      </c>
    </row>
    <row r="12">
      <c r="A12" s="42"/>
      <c r="B12" s="42" t="s">
        <v>33</v>
      </c>
      <c r="C12" s="43" t="str">
        <f>hyperlink("https://au.indeed.com/viewjob?jk=4c3f0bd1b7c6272d","Senior Civil Design Engineer (Stormwater)")</f>
        <v>Senior Civil Design Engineer (Stormwater)</v>
      </c>
      <c r="D12" s="42" t="s">
        <v>333</v>
      </c>
      <c r="E12" s="44">
        <v>44186.6202662037</v>
      </c>
    </row>
    <row r="13">
      <c r="A13" s="42"/>
      <c r="B13" s="42" t="s">
        <v>51</v>
      </c>
      <c r="C13" s="43" t="str">
        <f>hyperlink("https://au.indeed.com/viewjob?jk=a34e02ac8ff47efb","Site Engineer")</f>
        <v>Site Engineer</v>
      </c>
      <c r="D13" s="42" t="s">
        <v>333</v>
      </c>
      <c r="E13" s="44">
        <v>44186.6312962963</v>
      </c>
    </row>
    <row r="14">
      <c r="A14" s="42"/>
      <c r="B14" s="42" t="s">
        <v>37</v>
      </c>
      <c r="C14" s="43" t="str">
        <f t="shared" ref="C14:C15" si="2">hyperlink("https://au.indeed.com/viewjob?jk=8fb3a46cd5941dc2","Aircraft Maintenance Engineer")</f>
        <v>Aircraft Maintenance Engineer</v>
      </c>
      <c r="D14" s="42" t="s">
        <v>461</v>
      </c>
      <c r="E14" s="44">
        <v>44186.568715277775</v>
      </c>
    </row>
    <row r="15">
      <c r="A15" s="42"/>
      <c r="B15" s="42" t="s">
        <v>37</v>
      </c>
      <c r="C15" s="43" t="str">
        <f t="shared" si="2"/>
        <v>Aircraft Maintenance Engineer</v>
      </c>
      <c r="D15" s="42" t="s">
        <v>461</v>
      </c>
      <c r="E15" s="44">
        <v>44186.62291666667</v>
      </c>
    </row>
    <row r="16">
      <c r="A16" s="42"/>
      <c r="B16" s="42" t="s">
        <v>33</v>
      </c>
      <c r="C16" s="43" t="str">
        <f>hyperlink("https://au.indeed.com/viewjob?jk=4305d5d4cce88bbd","Electrical Design Engineer - Data Centers")</f>
        <v>Electrical Design Engineer - Data Centers</v>
      </c>
      <c r="D16" s="42" t="s">
        <v>462</v>
      </c>
      <c r="E16" s="44">
        <v>44186.56423611111</v>
      </c>
    </row>
    <row r="17">
      <c r="A17" s="42"/>
      <c r="B17" s="42" t="s">
        <v>34</v>
      </c>
      <c r="C17" s="43" t="str">
        <f>hyperlink("https://au.indeed.com/viewjob?jk=57707e51a636dfd5","Systems Development Engineer – Data Center Operations")</f>
        <v>Systems Development Engineer – Data Center Operations</v>
      </c>
      <c r="D17" s="42" t="s">
        <v>462</v>
      </c>
      <c r="E17" s="44">
        <v>44186.56466435185</v>
      </c>
    </row>
    <row r="18">
      <c r="A18" s="42"/>
      <c r="B18" s="42" t="s">
        <v>34</v>
      </c>
      <c r="C18" s="43" t="str">
        <f>hyperlink("https://au.indeed.com/viewjob?jk=58774d5dfa61c6c4","Software Development Engineer - AWS - Networking")</f>
        <v>Software Development Engineer - AWS - Networking</v>
      </c>
      <c r="D18" s="42" t="s">
        <v>462</v>
      </c>
      <c r="E18" s="44">
        <v>44186.564837962964</v>
      </c>
    </row>
    <row r="19">
      <c r="A19" s="42"/>
      <c r="B19" s="42" t="s">
        <v>34</v>
      </c>
      <c r="C19" s="43" t="str">
        <f>hyperlink("https://au.indeed.com/viewjob?jk=7a725a34a5380131","Network Development Engineer")</f>
        <v>Network Development Engineer</v>
      </c>
      <c r="D19" s="42" t="s">
        <v>462</v>
      </c>
      <c r="E19" s="44">
        <v>44186.56548611111</v>
      </c>
    </row>
    <row r="20">
      <c r="A20" s="42"/>
      <c r="B20" s="42" t="s">
        <v>34</v>
      </c>
      <c r="C20" s="43" t="str">
        <f>hyperlink("https://au.indeed.com/viewjob?jk=70e20bd48cb3fcb6","Network Development Engineer")</f>
        <v>Network Development Engineer</v>
      </c>
      <c r="D20" s="42" t="s">
        <v>462</v>
      </c>
      <c r="E20" s="44">
        <v>44186.565983796296</v>
      </c>
    </row>
    <row r="21">
      <c r="A21" s="42"/>
      <c r="B21" s="42" t="s">
        <v>34</v>
      </c>
      <c r="C21" s="43" t="str">
        <f>hyperlink("https://au.indeed.com/viewjob?jk=2bfdcedd34946d79","Network Development Engineer")</f>
        <v>Network Development Engineer</v>
      </c>
      <c r="D21" s="42" t="s">
        <v>462</v>
      </c>
      <c r="E21" s="44">
        <v>44186.56606481481</v>
      </c>
    </row>
    <row r="22">
      <c r="A22" s="42"/>
      <c r="B22" s="42" t="s">
        <v>34</v>
      </c>
      <c r="C22" s="43" t="str">
        <f>hyperlink("https://au.indeed.com/viewjob?jk=c9035e6c25f942e8","Network Development Engineer - Core Networks - Automation")</f>
        <v>Network Development Engineer - Core Networks - Automation</v>
      </c>
      <c r="D22" s="42" t="s">
        <v>462</v>
      </c>
      <c r="E22" s="44">
        <v>44186.56611111111</v>
      </c>
    </row>
    <row r="23">
      <c r="A23" s="42"/>
      <c r="B23" s="42" t="s">
        <v>34</v>
      </c>
      <c r="C23" s="43" t="str">
        <f>hyperlink("https://au.indeed.com/viewjob?jk=b3f9e219bb6a4af8","Sr. Network Development Engineer")</f>
        <v>Sr. Network Development Engineer</v>
      </c>
      <c r="D23" s="42" t="s">
        <v>462</v>
      </c>
      <c r="E23" s="44">
        <v>44186.56618055556</v>
      </c>
    </row>
    <row r="24">
      <c r="A24" s="42"/>
      <c r="B24" s="42" t="s">
        <v>34</v>
      </c>
      <c r="C24" s="43" t="str">
        <f>hyperlink("https://au.indeed.com/viewjob?jk=d306b019690b274c","Network Development Engineer")</f>
        <v>Network Development Engineer</v>
      </c>
      <c r="D24" s="42" t="s">
        <v>462</v>
      </c>
      <c r="E24" s="44">
        <v>44186.56627314815</v>
      </c>
    </row>
    <row r="25">
      <c r="A25" s="42"/>
      <c r="B25" s="42" t="s">
        <v>34</v>
      </c>
      <c r="C25" s="43" t="str">
        <f>hyperlink("https://au.indeed.com/viewjob?jk=7a6b7e451095607c","Network Development Engineer - Direct Connect")</f>
        <v>Network Development Engineer - Direct Connect</v>
      </c>
      <c r="D25" s="42" t="s">
        <v>462</v>
      </c>
      <c r="E25" s="44">
        <v>44186.566469907404</v>
      </c>
    </row>
    <row r="26">
      <c r="A26" s="42"/>
      <c r="B26" s="42" t="s">
        <v>34</v>
      </c>
      <c r="C26" s="43" t="str">
        <f>hyperlink("https://au.indeed.com/viewjob?jk=de10751bcf455db8","Network Development Engineer")</f>
        <v>Network Development Engineer</v>
      </c>
      <c r="D26" s="42" t="s">
        <v>462</v>
      </c>
      <c r="E26" s="44">
        <v>44186.56659722222</v>
      </c>
    </row>
    <row r="27">
      <c r="A27" s="42"/>
      <c r="B27" s="42" t="s">
        <v>49</v>
      </c>
      <c r="C27" s="43" t="str">
        <f>hyperlink("https://au.indeed.com/viewjob?jk=01e5e022f31530c3","Site Reliability Engineer - Networking")</f>
        <v>Site Reliability Engineer - Networking</v>
      </c>
      <c r="D27" s="42" t="s">
        <v>462</v>
      </c>
      <c r="E27" s="44">
        <v>44186.58400462963</v>
      </c>
    </row>
    <row r="28">
      <c r="A28" s="42"/>
      <c r="B28" s="42" t="s">
        <v>33</v>
      </c>
      <c r="C28" s="43" t="str">
        <f>hyperlink("https://au.indeed.com/viewjob?jk=4305d5d4cce88bbd","Electrical Design Engineer - Data Centers")</f>
        <v>Electrical Design Engineer - Data Centers</v>
      </c>
      <c r="D28" s="42" t="s">
        <v>462</v>
      </c>
      <c r="E28" s="44">
        <v>44186.62021990741</v>
      </c>
    </row>
    <row r="29">
      <c r="A29" s="42"/>
      <c r="B29" s="42" t="s">
        <v>34</v>
      </c>
      <c r="C29" s="43" t="str">
        <f>hyperlink("https://au.indeed.com/viewjob?jk=57707e51a636dfd5","Systems Development Engineer – Data Center Operations")</f>
        <v>Systems Development Engineer – Data Center Operations</v>
      </c>
      <c r="D29" s="42" t="s">
        <v>462</v>
      </c>
      <c r="E29" s="44">
        <v>44186.620729166665</v>
      </c>
    </row>
    <row r="30">
      <c r="A30" s="42"/>
      <c r="B30" s="42" t="s">
        <v>34</v>
      </c>
      <c r="C30" s="43" t="str">
        <f>hyperlink("https://au.indeed.com/viewjob?jk=58774d5dfa61c6c4","Software Development Engineer - AWS - Networking")</f>
        <v>Software Development Engineer - AWS - Networking</v>
      </c>
      <c r="D30" s="42" t="s">
        <v>462</v>
      </c>
      <c r="E30" s="44">
        <v>44186.620891203704</v>
      </c>
    </row>
    <row r="31">
      <c r="A31" s="42"/>
      <c r="B31" s="42" t="s">
        <v>34</v>
      </c>
      <c r="C31" s="43" t="str">
        <f>hyperlink("https://au.indeed.com/viewjob?jk=7a725a34a5380131","Network Development Engineer")</f>
        <v>Network Development Engineer</v>
      </c>
      <c r="D31" s="42" t="s">
        <v>462</v>
      </c>
      <c r="E31" s="44">
        <v>44186.621087962965</v>
      </c>
    </row>
    <row r="32">
      <c r="A32" s="42"/>
      <c r="B32" s="42" t="s">
        <v>34</v>
      </c>
      <c r="C32" s="43" t="str">
        <f>hyperlink("https://au.indeed.com/viewjob?jk=70e20bd48cb3fcb6","Network Development Engineer")</f>
        <v>Network Development Engineer</v>
      </c>
      <c r="D32" s="42" t="s">
        <v>462</v>
      </c>
      <c r="E32" s="44">
        <v>44186.62118055556</v>
      </c>
    </row>
    <row r="33">
      <c r="A33" s="42"/>
      <c r="B33" s="42" t="s">
        <v>34</v>
      </c>
      <c r="C33" s="43" t="str">
        <f>hyperlink("https://au.indeed.com/viewjob?jk=2bfdcedd34946d79","Network Development Engineer")</f>
        <v>Network Development Engineer</v>
      </c>
      <c r="D33" s="42" t="s">
        <v>462</v>
      </c>
      <c r="E33" s="44">
        <v>44186.62126157407</v>
      </c>
    </row>
    <row r="34">
      <c r="A34" s="42"/>
      <c r="B34" s="42" t="s">
        <v>34</v>
      </c>
      <c r="C34" s="43" t="str">
        <f>hyperlink("https://au.indeed.com/viewjob?jk=c9035e6c25f942e8","Network Development Engineer - Core Networks - Automation")</f>
        <v>Network Development Engineer - Core Networks - Automation</v>
      </c>
      <c r="D34" s="42" t="s">
        <v>462</v>
      </c>
      <c r="E34" s="44">
        <v>44186.62130787037</v>
      </c>
    </row>
    <row r="35">
      <c r="A35" s="42"/>
      <c r="B35" s="42" t="s">
        <v>34</v>
      </c>
      <c r="C35" s="43" t="str">
        <f>hyperlink("https://au.indeed.com/viewjob?jk=b3f9e219bb6a4af8","Sr. Network Development Engineer")</f>
        <v>Sr. Network Development Engineer</v>
      </c>
      <c r="D35" s="42" t="s">
        <v>462</v>
      </c>
      <c r="E35" s="44">
        <v>44186.62138888889</v>
      </c>
    </row>
    <row r="36">
      <c r="A36" s="42"/>
      <c r="B36" s="42" t="s">
        <v>34</v>
      </c>
      <c r="C36" s="43" t="str">
        <f>hyperlink("https://au.indeed.com/viewjob?jk=d306b019690b274c","Network Development Engineer")</f>
        <v>Network Development Engineer</v>
      </c>
      <c r="D36" s="42" t="s">
        <v>462</v>
      </c>
      <c r="E36" s="44">
        <v>44186.621469907404</v>
      </c>
    </row>
    <row r="37">
      <c r="A37" s="42"/>
      <c r="B37" s="42" t="s">
        <v>34</v>
      </c>
      <c r="C37" s="43" t="str">
        <f>hyperlink("https://au.indeed.com/viewjob?jk=7a6b7e451095607c","Network Development Engineer - Direct Connect")</f>
        <v>Network Development Engineer - Direct Connect</v>
      </c>
      <c r="D37" s="42" t="s">
        <v>462</v>
      </c>
      <c r="E37" s="44">
        <v>44186.62159722222</v>
      </c>
    </row>
    <row r="38">
      <c r="A38" s="42"/>
      <c r="B38" s="42" t="s">
        <v>34</v>
      </c>
      <c r="C38" s="43" t="str">
        <f>hyperlink("https://au.indeed.com/viewjob?jk=de10751bcf455db8","Network Development Engineer")</f>
        <v>Network Development Engineer</v>
      </c>
      <c r="D38" s="42" t="s">
        <v>462</v>
      </c>
      <c r="E38" s="44">
        <v>44186.62173611111</v>
      </c>
    </row>
    <row r="39">
      <c r="A39" s="42"/>
      <c r="B39" s="42" t="s">
        <v>49</v>
      </c>
      <c r="C39" s="43" t="str">
        <f>hyperlink("https://au.indeed.com/viewjob?jk=01e5e022f31530c3","Site Reliability Engineer - Networking")</f>
        <v>Site Reliability Engineer - Networking</v>
      </c>
      <c r="D39" s="42" t="s">
        <v>462</v>
      </c>
      <c r="E39" s="44">
        <v>44186.62857638889</v>
      </c>
    </row>
    <row r="40">
      <c r="A40" s="42"/>
      <c r="B40" s="42" t="s">
        <v>34</v>
      </c>
      <c r="C40" s="43" t="str">
        <f>hyperlink("https://au.indeed.com/viewjob?jk=9daffd5a8ac52b71","Software Development Engineer (Load Balancing)")</f>
        <v>Software Development Engineer (Load Balancing)</v>
      </c>
      <c r="D40" s="42" t="s">
        <v>463</v>
      </c>
      <c r="E40" s="44">
        <v>44186.56462962963</v>
      </c>
    </row>
    <row r="41">
      <c r="A41" s="42"/>
      <c r="B41" s="42" t="s">
        <v>34</v>
      </c>
      <c r="C41" s="43" t="str">
        <f>hyperlink("https://au.indeed.com/viewjob?jk=7941c9ce4d606127","Sr. System Development Engineer")</f>
        <v>Sr. System Development Engineer</v>
      </c>
      <c r="D41" s="42" t="s">
        <v>463</v>
      </c>
      <c r="E41" s="44">
        <v>44186.564791666664</v>
      </c>
    </row>
    <row r="42">
      <c r="A42" s="42"/>
      <c r="B42" s="42" t="s">
        <v>34</v>
      </c>
      <c r="C42" s="43" t="str">
        <f>hyperlink("https://au.indeed.com/viewjob?jk=d564e8b662a6617e","Software Development Engineer - New AWS Service")</f>
        <v>Software Development Engineer - New AWS Service</v>
      </c>
      <c r="D42" s="42" t="s">
        <v>463</v>
      </c>
      <c r="E42" s="44">
        <v>44186.565416666665</v>
      </c>
    </row>
    <row r="43">
      <c r="A43" s="42"/>
      <c r="B43" s="42" t="s">
        <v>34</v>
      </c>
      <c r="C43" s="43" t="str">
        <f>hyperlink("https://au.indeed.com/viewjob?jk=439ae44f99274363","System Development Engineer")</f>
        <v>System Development Engineer</v>
      </c>
      <c r="D43" s="42" t="s">
        <v>463</v>
      </c>
      <c r="E43" s="44">
        <v>44186.566516203704</v>
      </c>
    </row>
    <row r="44">
      <c r="A44" s="42"/>
      <c r="B44" s="42" t="s">
        <v>34</v>
      </c>
      <c r="C44" s="43" t="str">
        <f>hyperlink("https://au.indeed.com/viewjob?jk=9daffd5a8ac52b71","Software Development Engineer (Load Balancing)")</f>
        <v>Software Development Engineer (Load Balancing)</v>
      </c>
      <c r="D44" s="42" t="s">
        <v>463</v>
      </c>
      <c r="E44" s="44">
        <v>44186.62068287037</v>
      </c>
    </row>
    <row r="45">
      <c r="A45" s="42"/>
      <c r="B45" s="42" t="s">
        <v>34</v>
      </c>
      <c r="C45" s="43" t="str">
        <f>hyperlink("https://au.indeed.com/viewjob?jk=7941c9ce4d606127","Sr. System Development Engineer")</f>
        <v>Sr. System Development Engineer</v>
      </c>
      <c r="D45" s="42" t="s">
        <v>463</v>
      </c>
      <c r="E45" s="44">
        <v>44186.62085648148</v>
      </c>
    </row>
    <row r="46">
      <c r="A46" s="42"/>
      <c r="B46" s="42" t="s">
        <v>34</v>
      </c>
      <c r="C46" s="43" t="str">
        <f>hyperlink("https://au.indeed.com/viewjob?jk=d564e8b662a6617e","Software Development Engineer - New AWS Service")</f>
        <v>Software Development Engineer - New AWS Service</v>
      </c>
      <c r="D46" s="42" t="s">
        <v>463</v>
      </c>
      <c r="E46" s="44">
        <v>44186.62101851852</v>
      </c>
    </row>
    <row r="47">
      <c r="A47" s="42"/>
      <c r="B47" s="42" t="s">
        <v>34</v>
      </c>
      <c r="C47" s="43" t="str">
        <f>hyperlink("https://au.indeed.com/viewjob?jk=439ae44f99274363","System Development Engineer")</f>
        <v>System Development Engineer</v>
      </c>
      <c r="D47" s="42" t="s">
        <v>463</v>
      </c>
      <c r="E47" s="44">
        <v>44186.62164351852</v>
      </c>
    </row>
    <row r="48">
      <c r="A48" s="42"/>
      <c r="B48" s="42" t="s">
        <v>45</v>
      </c>
      <c r="C48" s="43" t="str">
        <f t="shared" ref="C48:C49" si="3">hyperlink("https://au.indeed.com/viewjob?jk=1aab41e11ccfb55a","Senior Project Engineer – Civil")</f>
        <v>Senior Project Engineer – Civil</v>
      </c>
      <c r="D48" s="42" t="s">
        <v>464</v>
      </c>
      <c r="E48" s="44">
        <v>44186.58017361111</v>
      </c>
    </row>
    <row r="49">
      <c r="A49" s="42"/>
      <c r="B49" s="42" t="s">
        <v>45</v>
      </c>
      <c r="C49" s="43" t="str">
        <f t="shared" si="3"/>
        <v>Senior Project Engineer – Civil</v>
      </c>
      <c r="D49" s="42" t="s">
        <v>464</v>
      </c>
      <c r="E49" s="44">
        <v>44186.62724537037</v>
      </c>
    </row>
    <row r="50">
      <c r="A50" s="42"/>
      <c r="B50" s="42" t="s">
        <v>45</v>
      </c>
      <c r="C50" s="43" t="str">
        <f t="shared" ref="C50:C51" si="4">hyperlink("https://au.indeed.com/viewjob?jk=4ab351466ed76779","Senior Project Network Engineer")</f>
        <v>Senior Project Network Engineer</v>
      </c>
      <c r="D50" s="42" t="s">
        <v>465</v>
      </c>
      <c r="E50" s="44">
        <v>44186.57890046296</v>
      </c>
    </row>
    <row r="51">
      <c r="A51" s="42"/>
      <c r="B51" s="42" t="s">
        <v>45</v>
      </c>
      <c r="C51" s="43" t="str">
        <f t="shared" si="4"/>
        <v>Senior Project Network Engineer</v>
      </c>
      <c r="D51" s="42" t="s">
        <v>465</v>
      </c>
      <c r="E51" s="44">
        <v>44186.62671296296</v>
      </c>
    </row>
    <row r="52">
      <c r="A52" s="42"/>
      <c r="B52" s="42" t="s">
        <v>33</v>
      </c>
      <c r="C52" s="43" t="str">
        <f t="shared" ref="C52:C53" si="5">hyperlink("https://au.indeed.com/viewjob?jk=2c8a5cd5378079bd","Senior Engineer - Electrical Design (Lines)")</f>
        <v>Senior Engineer - Electrical Design (Lines)</v>
      </c>
      <c r="D52" s="42" t="s">
        <v>466</v>
      </c>
      <c r="E52" s="44">
        <v>44186.56196759259</v>
      </c>
    </row>
    <row r="53">
      <c r="A53" s="42"/>
      <c r="B53" s="42" t="s">
        <v>33</v>
      </c>
      <c r="C53" s="43" t="str">
        <f t="shared" si="5"/>
        <v>Senior Engineer - Electrical Design (Lines)</v>
      </c>
      <c r="D53" s="42" t="s">
        <v>466</v>
      </c>
      <c r="E53" s="44">
        <v>44186.618993055556</v>
      </c>
    </row>
    <row r="54">
      <c r="A54" s="42"/>
      <c r="B54" s="42" t="s">
        <v>26</v>
      </c>
      <c r="C54" s="43" t="str">
        <f t="shared" ref="C54:C55" si="6">hyperlink("https://au.indeed.com/viewjob?jk=e0d32840cde15c11","Senior Mechanical Engineer")</f>
        <v>Senior Mechanical Engineer</v>
      </c>
      <c r="D54" s="42" t="s">
        <v>467</v>
      </c>
      <c r="E54" s="44">
        <v>44186.56015046296</v>
      </c>
    </row>
    <row r="55">
      <c r="A55" s="42"/>
      <c r="B55" s="42" t="s">
        <v>26</v>
      </c>
      <c r="C55" s="43" t="str">
        <f t="shared" si="6"/>
        <v>Senior Mechanical Engineer</v>
      </c>
      <c r="D55" s="42" t="s">
        <v>467</v>
      </c>
      <c r="E55" s="44">
        <v>44186.61769675926</v>
      </c>
    </row>
    <row r="56">
      <c r="A56" s="42"/>
      <c r="B56" s="42" t="s">
        <v>49</v>
      </c>
      <c r="C56" s="43" t="str">
        <f t="shared" ref="C56:C57" si="7">hyperlink("https://au.indeed.com/viewjob?jk=6183cefe84d34954","Site Reliability Engineer (Jira Cloud)")</f>
        <v>Site Reliability Engineer (Jira Cloud)</v>
      </c>
      <c r="D56" s="42" t="s">
        <v>468</v>
      </c>
      <c r="E56" s="44">
        <v>44186.58652777778</v>
      </c>
    </row>
    <row r="57">
      <c r="A57" s="42"/>
      <c r="B57" s="42" t="s">
        <v>49</v>
      </c>
      <c r="C57" s="43" t="str">
        <f t="shared" si="7"/>
        <v>Site Reliability Engineer (Jira Cloud)</v>
      </c>
      <c r="D57" s="42" t="s">
        <v>468</v>
      </c>
      <c r="E57" s="44">
        <v>44186.62965277778</v>
      </c>
    </row>
    <row r="58">
      <c r="A58" s="42"/>
      <c r="B58" s="42" t="s">
        <v>49</v>
      </c>
      <c r="C58" s="43" t="str">
        <f t="shared" ref="C58:C59" si="8">hyperlink("https://au.indeed.com/viewjob?jk=dd2ab6ac8a4f5280","DevOps Engineer/Site Reliability Engineer")</f>
        <v>DevOps Engineer/Site Reliability Engineer</v>
      </c>
      <c r="D58" s="42" t="s">
        <v>469</v>
      </c>
      <c r="E58" s="44">
        <v>44186.58741898148</v>
      </c>
    </row>
    <row r="59">
      <c r="A59" s="42"/>
      <c r="B59" s="42" t="s">
        <v>49</v>
      </c>
      <c r="C59" s="43" t="str">
        <f t="shared" si="8"/>
        <v>DevOps Engineer/Site Reliability Engineer</v>
      </c>
      <c r="D59" s="42" t="s">
        <v>469</v>
      </c>
      <c r="E59" s="44">
        <v>44186.63008101852</v>
      </c>
    </row>
    <row r="60">
      <c r="A60" s="42"/>
      <c r="B60" s="42" t="s">
        <v>26</v>
      </c>
      <c r="C60" s="43" t="str">
        <f t="shared" ref="C60:C68" si="9">hyperlink("https://au.indeed.com/viewjob?jk=9ac01c142b59da26","Senior Mechanical Engineer - Data Centre")</f>
        <v>Senior Mechanical Engineer - Data Centre</v>
      </c>
      <c r="D60" s="42" t="s">
        <v>459</v>
      </c>
      <c r="E60" s="44">
        <v>44186.00219907407</v>
      </c>
    </row>
    <row r="61">
      <c r="A61" s="42"/>
      <c r="B61" s="42" t="s">
        <v>26</v>
      </c>
      <c r="C61" s="43" t="str">
        <f t="shared" si="9"/>
        <v>Senior Mechanical Engineer - Data Centre</v>
      </c>
      <c r="D61" s="42" t="s">
        <v>459</v>
      </c>
      <c r="E61" s="44">
        <v>44186.00640046296</v>
      </c>
    </row>
    <row r="62">
      <c r="A62" s="42"/>
      <c r="B62" s="42" t="s">
        <v>26</v>
      </c>
      <c r="C62" s="43" t="str">
        <f t="shared" si="9"/>
        <v>Senior Mechanical Engineer - Data Centre</v>
      </c>
      <c r="D62" s="42" t="s">
        <v>459</v>
      </c>
      <c r="E62" s="44">
        <v>44186.00877314815</v>
      </c>
    </row>
    <row r="63">
      <c r="A63" s="42"/>
      <c r="B63" s="42" t="s">
        <v>26</v>
      </c>
      <c r="C63" s="43" t="str">
        <f t="shared" si="9"/>
        <v>Senior Mechanical Engineer - Data Centre</v>
      </c>
      <c r="D63" s="42" t="s">
        <v>459</v>
      </c>
      <c r="E63" s="44">
        <v>44186.010243055556</v>
      </c>
    </row>
    <row r="64">
      <c r="A64" s="42"/>
      <c r="B64" s="42" t="s">
        <v>26</v>
      </c>
      <c r="C64" s="43" t="str">
        <f t="shared" si="9"/>
        <v>Senior Mechanical Engineer - Data Centre</v>
      </c>
      <c r="D64" s="42" t="s">
        <v>459</v>
      </c>
      <c r="E64" s="44">
        <v>44186.011770833335</v>
      </c>
    </row>
    <row r="65">
      <c r="A65" s="42"/>
      <c r="B65" s="42" t="s">
        <v>26</v>
      </c>
      <c r="C65" s="43" t="str">
        <f t="shared" si="9"/>
        <v>Senior Mechanical Engineer - Data Centre</v>
      </c>
      <c r="D65" s="42" t="s">
        <v>459</v>
      </c>
      <c r="E65" s="44">
        <v>44186.0131712963</v>
      </c>
    </row>
    <row r="66">
      <c r="A66" s="42"/>
      <c r="B66" s="42" t="s">
        <v>26</v>
      </c>
      <c r="C66" s="43" t="str">
        <f t="shared" si="9"/>
        <v>Senior Mechanical Engineer - Data Centre</v>
      </c>
      <c r="D66" s="42" t="s">
        <v>459</v>
      </c>
      <c r="E66" s="44">
        <v>44186.01556712963</v>
      </c>
    </row>
    <row r="67">
      <c r="A67" s="42"/>
      <c r="B67" s="42" t="s">
        <v>26</v>
      </c>
      <c r="C67" s="43" t="str">
        <f t="shared" si="9"/>
        <v>Senior Mechanical Engineer - Data Centre</v>
      </c>
      <c r="D67" s="42" t="s">
        <v>459</v>
      </c>
      <c r="E67" s="44">
        <v>44186.55496527778</v>
      </c>
    </row>
    <row r="68">
      <c r="A68" s="42"/>
      <c r="B68" s="42" t="s">
        <v>26</v>
      </c>
      <c r="C68" s="43" t="str">
        <f t="shared" si="9"/>
        <v>Senior Mechanical Engineer - Data Centre</v>
      </c>
      <c r="D68" s="42" t="s">
        <v>459</v>
      </c>
      <c r="E68" s="44">
        <v>44186.558229166665</v>
      </c>
    </row>
    <row r="69">
      <c r="A69" s="42"/>
      <c r="B69" s="42" t="s">
        <v>45</v>
      </c>
      <c r="C69" s="43" t="str">
        <f>hyperlink("https://au.indeed.com/viewjob?jk=3538e335821d9ac8","Expressions of Interest | Project Engineers, Water")</f>
        <v>Expressions of Interest | Project Engineers, Water</v>
      </c>
      <c r="D69" s="42" t="s">
        <v>459</v>
      </c>
      <c r="E69" s="44">
        <v>44186.57539351852</v>
      </c>
    </row>
    <row r="70">
      <c r="A70" s="42"/>
      <c r="B70" s="42" t="s">
        <v>26</v>
      </c>
      <c r="C70" s="43" t="str">
        <f>hyperlink("https://au.indeed.com/viewjob?jk=9ac01c142b59da26","Senior Mechanical Engineer - Data Centre")</f>
        <v>Senior Mechanical Engineer - Data Centre</v>
      </c>
      <c r="D70" s="42" t="s">
        <v>459</v>
      </c>
      <c r="E70" s="44">
        <v>44186.61697916667</v>
      </c>
    </row>
    <row r="71">
      <c r="A71" s="42"/>
      <c r="B71" s="42" t="s">
        <v>45</v>
      </c>
      <c r="C71" s="43" t="str">
        <f>hyperlink("https://au.indeed.com/viewjob?jk=3538e335821d9ac8","Expressions of Interest | Project Engineers, Water")</f>
        <v>Expressions of Interest | Project Engineers, Water</v>
      </c>
      <c r="D71" s="42" t="s">
        <v>459</v>
      </c>
      <c r="E71" s="44">
        <v>44186.625972222224</v>
      </c>
    </row>
    <row r="72">
      <c r="A72" s="42"/>
      <c r="B72" s="42" t="s">
        <v>26</v>
      </c>
      <c r="C72" s="43" t="str">
        <f>hyperlink("https://au.indeed.com/viewjob?jk=510101d27ddc52a8","Mechanical Design Engineer - Data Centers")</f>
        <v>Mechanical Design Engineer - Data Centers</v>
      </c>
      <c r="D72" s="42" t="s">
        <v>470</v>
      </c>
      <c r="E72" s="44">
        <v>44186.560011574074</v>
      </c>
    </row>
    <row r="73">
      <c r="A73" s="42"/>
      <c r="B73" s="42" t="s">
        <v>33</v>
      </c>
      <c r="C73" s="43" t="str">
        <f>hyperlink("https://au.indeed.com/viewjob?jk=78425ca1d035c26c","Electrical Design Engineer - Data Centers")</f>
        <v>Electrical Design Engineer - Data Centers</v>
      </c>
      <c r="D73" s="42" t="s">
        <v>470</v>
      </c>
      <c r="E73" s="44">
        <v>44186.561585648145</v>
      </c>
    </row>
    <row r="74">
      <c r="A74" s="42"/>
      <c r="B74" s="42" t="s">
        <v>33</v>
      </c>
      <c r="C74" s="43" t="str">
        <f>hyperlink("https://au.indeed.com/viewjob?jk=510101d27ddc52a8","Mechanical Design Engineer - Data Centers")</f>
        <v>Mechanical Design Engineer - Data Centers</v>
      </c>
      <c r="D74" s="42" t="s">
        <v>470</v>
      </c>
      <c r="E74" s="44">
        <v>44186.56438657407</v>
      </c>
    </row>
    <row r="75">
      <c r="A75" s="42"/>
      <c r="B75" s="42" t="s">
        <v>34</v>
      </c>
      <c r="C75" s="43" t="str">
        <f>hyperlink("https://au.indeed.com/viewjob?jk=4395564a68a2ab5c","Software Development Engineer - AWS Redshift")</f>
        <v>Software Development Engineer - AWS Redshift</v>
      </c>
      <c r="D75" s="42" t="s">
        <v>470</v>
      </c>
      <c r="E75" s="44">
        <v>44186.56471064815</v>
      </c>
    </row>
    <row r="76">
      <c r="A76" s="42"/>
      <c r="B76" s="42" t="s">
        <v>34</v>
      </c>
      <c r="C76" s="43" t="str">
        <f>hyperlink("https://au.indeed.com/viewjob?jk=f8bb51e4b12c7026","Software Development Engineer - AWS")</f>
        <v>Software Development Engineer - AWS</v>
      </c>
      <c r="D76" s="42" t="s">
        <v>470</v>
      </c>
      <c r="E76" s="44">
        <v>44186.56475694444</v>
      </c>
    </row>
    <row r="77">
      <c r="A77" s="42"/>
      <c r="B77" s="42" t="s">
        <v>34</v>
      </c>
      <c r="C77" s="43" t="str">
        <f>hyperlink("https://au.indeed.com/viewjob?jk=70939e1725eb08af","Software Development Engineer - AWS Redshift")</f>
        <v>Software Development Engineer - AWS Redshift</v>
      </c>
      <c r="D77" s="42" t="s">
        <v>470</v>
      </c>
      <c r="E77" s="44">
        <v>44186.564884259256</v>
      </c>
    </row>
    <row r="78">
      <c r="A78" s="42"/>
      <c r="B78" s="42" t="s">
        <v>34</v>
      </c>
      <c r="C78" s="43" t="str">
        <f>hyperlink("https://au.indeed.com/viewjob?jk=db9208499a5cb5e6","Software Development Engineer - AWS Redshift")</f>
        <v>Software Development Engineer - AWS Redshift</v>
      </c>
      <c r="D78" s="42" t="s">
        <v>470</v>
      </c>
      <c r="E78" s="44">
        <v>44186.566030092596</v>
      </c>
    </row>
    <row r="79">
      <c r="A79" s="42"/>
      <c r="B79" s="42" t="s">
        <v>34</v>
      </c>
      <c r="C79" s="43" t="str">
        <f>hyperlink("https://au.indeed.com/viewjob?jk=fe23a35e11ff9fec","Sr. Software Development Engineer")</f>
        <v>Sr. Software Development Engineer</v>
      </c>
      <c r="D79" s="42" t="s">
        <v>470</v>
      </c>
      <c r="E79" s="44">
        <v>44186.56622685185</v>
      </c>
    </row>
    <row r="80">
      <c r="A80" s="42"/>
      <c r="B80" s="42" t="s">
        <v>34</v>
      </c>
      <c r="C80" s="43" t="str">
        <f>hyperlink("https://au.indeed.com/viewjob?jk=8b33a457c2965004","Senior Systems Development Engineer")</f>
        <v>Senior Systems Development Engineer</v>
      </c>
      <c r="D80" s="42" t="s">
        <v>470</v>
      </c>
      <c r="E80" s="44">
        <v>44186.56631944444</v>
      </c>
    </row>
    <row r="81">
      <c r="A81" s="42"/>
      <c r="B81" s="42" t="s">
        <v>34</v>
      </c>
      <c r="C81" s="43" t="str">
        <f>hyperlink("https://au.indeed.com/viewjob?jk=2757151eba00ffea","Systems Development Engineer")</f>
        <v>Systems Development Engineer</v>
      </c>
      <c r="D81" s="42" t="s">
        <v>470</v>
      </c>
      <c r="E81" s="44">
        <v>44186.5665625</v>
      </c>
    </row>
    <row r="82">
      <c r="A82" s="42"/>
      <c r="B82" s="42" t="s">
        <v>49</v>
      </c>
      <c r="C82" s="43" t="str">
        <f>hyperlink("https://au.indeed.com/viewjob?jk=03f2617303fd4cf4","Site Reliability Engineer - Managed Services")</f>
        <v>Site Reliability Engineer - Managed Services</v>
      </c>
      <c r="D82" s="42" t="s">
        <v>470</v>
      </c>
      <c r="E82" s="44">
        <v>44186.58405092593</v>
      </c>
    </row>
    <row r="83">
      <c r="A83" s="42"/>
      <c r="B83" s="42" t="s">
        <v>49</v>
      </c>
      <c r="C83" s="43" t="str">
        <f>hyperlink("https://au.indeed.com/viewjob?jk=0ccee39bcfef7cc8","Site Reliability Engineer - Managed Services")</f>
        <v>Site Reliability Engineer - Managed Services</v>
      </c>
      <c r="D83" s="42" t="s">
        <v>470</v>
      </c>
      <c r="E83" s="44">
        <v>44186.58731481482</v>
      </c>
    </row>
    <row r="84">
      <c r="A84" s="42"/>
      <c r="B84" s="42" t="s">
        <v>26</v>
      </c>
      <c r="C84" s="43" t="str">
        <f>hyperlink("https://au.indeed.com/viewjob?jk=510101d27ddc52a8","Mechanical Design Engineer - Data Centers")</f>
        <v>Mechanical Design Engineer - Data Centers</v>
      </c>
      <c r="D84" s="42" t="s">
        <v>470</v>
      </c>
      <c r="E84" s="44">
        <v>44186.61756944445</v>
      </c>
    </row>
    <row r="85">
      <c r="A85" s="42"/>
      <c r="B85" s="42" t="s">
        <v>33</v>
      </c>
      <c r="C85" s="43" t="str">
        <f>hyperlink("https://au.indeed.com/viewjob?jk=78425ca1d035c26c","Electrical Design Engineer - Data Centers")</f>
        <v>Electrical Design Engineer - Data Centers</v>
      </c>
      <c r="D85" s="42" t="s">
        <v>470</v>
      </c>
      <c r="E85" s="44">
        <v>44186.61863425926</v>
      </c>
    </row>
    <row r="86">
      <c r="A86" s="42"/>
      <c r="B86" s="42" t="s">
        <v>33</v>
      </c>
      <c r="C86" s="43" t="str">
        <f>hyperlink("https://au.indeed.com/viewjob?jk=510101d27ddc52a8","Mechanical Design Engineer - Data Centers")</f>
        <v>Mechanical Design Engineer - Data Centers</v>
      </c>
      <c r="D86" s="42" t="s">
        <v>470</v>
      </c>
      <c r="E86" s="44">
        <v>44186.62045138889</v>
      </c>
    </row>
    <row r="87">
      <c r="A87" s="42"/>
      <c r="B87" s="42" t="s">
        <v>34</v>
      </c>
      <c r="C87" s="43" t="str">
        <f>hyperlink("https://au.indeed.com/viewjob?jk=4395564a68a2ab5c","Software Development Engineer - AWS Redshift")</f>
        <v>Software Development Engineer - AWS Redshift</v>
      </c>
      <c r="D87" s="42" t="s">
        <v>470</v>
      </c>
      <c r="E87" s="44">
        <v>44186.620775462965</v>
      </c>
    </row>
    <row r="88">
      <c r="A88" s="42"/>
      <c r="B88" s="42" t="s">
        <v>34</v>
      </c>
      <c r="C88" s="43" t="str">
        <f>hyperlink("https://au.indeed.com/viewjob?jk=f8bb51e4b12c7026","Software Development Engineer - AWS")</f>
        <v>Software Development Engineer - AWS</v>
      </c>
      <c r="D88" s="42" t="s">
        <v>470</v>
      </c>
      <c r="E88" s="44">
        <v>44186.62081018519</v>
      </c>
    </row>
    <row r="89">
      <c r="A89" s="42"/>
      <c r="B89" s="42" t="s">
        <v>34</v>
      </c>
      <c r="C89" s="43" t="str">
        <f>hyperlink("https://au.indeed.com/viewjob?jk=70939e1725eb08af","Software Development Engineer - AWS Redshift")</f>
        <v>Software Development Engineer - AWS Redshift</v>
      </c>
      <c r="D89" s="42" t="s">
        <v>470</v>
      </c>
      <c r="E89" s="44">
        <v>44186.6209375</v>
      </c>
    </row>
    <row r="90">
      <c r="A90" s="42"/>
      <c r="B90" s="42" t="s">
        <v>34</v>
      </c>
      <c r="C90" s="43" t="str">
        <f>hyperlink("https://au.indeed.com/viewjob?jk=db9208499a5cb5e6","Software Development Engineer - AWS Redshift")</f>
        <v>Software Development Engineer - AWS Redshift</v>
      </c>
      <c r="D90" s="42" t="s">
        <v>470</v>
      </c>
      <c r="E90" s="44">
        <v>44186.62122685185</v>
      </c>
    </row>
    <row r="91">
      <c r="A91" s="42"/>
      <c r="B91" s="42" t="s">
        <v>34</v>
      </c>
      <c r="C91" s="43" t="str">
        <f>hyperlink("https://au.indeed.com/viewjob?jk=fe23a35e11ff9fec","Sr. Software Development Engineer")</f>
        <v>Sr. Software Development Engineer</v>
      </c>
      <c r="D91" s="42" t="s">
        <v>470</v>
      </c>
      <c r="E91" s="44">
        <v>44186.62142361111</v>
      </c>
    </row>
    <row r="92">
      <c r="A92" s="42"/>
      <c r="B92" s="42" t="s">
        <v>34</v>
      </c>
      <c r="C92" s="43" t="str">
        <f>hyperlink("https://au.indeed.com/viewjob?jk=8b33a457c2965004","Senior Systems Development Engineer")</f>
        <v>Senior Systems Development Engineer</v>
      </c>
      <c r="D92" s="42" t="s">
        <v>470</v>
      </c>
      <c r="E92" s="44">
        <v>44186.62150462963</v>
      </c>
    </row>
    <row r="93">
      <c r="A93" s="42"/>
      <c r="B93" s="42" t="s">
        <v>34</v>
      </c>
      <c r="C93" s="43" t="str">
        <f>hyperlink("https://au.indeed.com/viewjob?jk=2757151eba00ffea","Systems Development Engineer")</f>
        <v>Systems Development Engineer</v>
      </c>
      <c r="D93" s="42" t="s">
        <v>470</v>
      </c>
      <c r="E93" s="44">
        <v>44186.62168981481</v>
      </c>
    </row>
    <row r="94">
      <c r="A94" s="42"/>
      <c r="B94" s="42" t="s">
        <v>49</v>
      </c>
      <c r="C94" s="43" t="str">
        <f>hyperlink("https://au.indeed.com/viewjob?jk=03f2617303fd4cf4","Site Reliability Engineer - Managed Services")</f>
        <v>Site Reliability Engineer - Managed Services</v>
      </c>
      <c r="D94" s="42" t="s">
        <v>470</v>
      </c>
      <c r="E94" s="44">
        <v>44186.62862268519</v>
      </c>
    </row>
    <row r="95">
      <c r="A95" s="42"/>
      <c r="B95" s="42" t="s">
        <v>49</v>
      </c>
      <c r="C95" s="43" t="str">
        <f>hyperlink("https://au.indeed.com/viewjob?jk=0ccee39bcfef7cc8","Site Reliability Engineer - Managed Services")</f>
        <v>Site Reliability Engineer - Managed Services</v>
      </c>
      <c r="D95" s="42" t="s">
        <v>470</v>
      </c>
      <c r="E95" s="44">
        <v>44186.62998842593</v>
      </c>
    </row>
    <row r="96">
      <c r="A96" s="42"/>
      <c r="B96" s="42" t="s">
        <v>36</v>
      </c>
      <c r="C96" s="43" t="str">
        <f>hyperlink("https://au.indeed.com/viewjob?jk=49ec23c9cee7739a","Senior Infrastructure Engineer")</f>
        <v>Senior Infrastructure Engineer</v>
      </c>
      <c r="D96" s="42" t="s">
        <v>471</v>
      </c>
      <c r="E96" s="44">
        <v>44186.56679398148</v>
      </c>
    </row>
    <row r="97">
      <c r="A97" s="42"/>
      <c r="B97" s="42" t="s">
        <v>41</v>
      </c>
      <c r="C97" s="43" t="str">
        <f>hyperlink("https://au.indeed.com/viewjob?jk=a554cc564c5ecf2b","RPA Process Engineer")</f>
        <v>RPA Process Engineer</v>
      </c>
      <c r="D97" s="42" t="s">
        <v>471</v>
      </c>
      <c r="E97" s="44">
        <v>44186.569386574076</v>
      </c>
    </row>
    <row r="98">
      <c r="A98" s="42"/>
      <c r="B98" s="42" t="s">
        <v>36</v>
      </c>
      <c r="C98" s="43" t="str">
        <f>hyperlink("https://au.indeed.com/viewjob?jk=49ec23c9cee7739a","Senior Infrastructure Engineer")</f>
        <v>Senior Infrastructure Engineer</v>
      </c>
      <c r="D98" s="42" t="s">
        <v>471</v>
      </c>
      <c r="E98" s="44">
        <v>44186.6219212963</v>
      </c>
    </row>
    <row r="99">
      <c r="A99" s="42"/>
      <c r="B99" s="42" t="s">
        <v>41</v>
      </c>
      <c r="C99" s="43" t="str">
        <f>hyperlink("https://au.indeed.com/viewjob?jk=a554cc564c5ecf2b","RPA Process Engineer")</f>
        <v>RPA Process Engineer</v>
      </c>
      <c r="D99" s="42" t="s">
        <v>471</v>
      </c>
      <c r="E99" s="44">
        <v>44186.6231712963</v>
      </c>
    </row>
    <row r="100">
      <c r="A100" s="42"/>
      <c r="B100" s="42" t="s">
        <v>38</v>
      </c>
      <c r="C100" s="43" t="str">
        <f t="shared" ref="C100:C101" si="10">hyperlink("https://au.indeed.com/viewjob?jk=a468f1c84718058e","Electrical Manufacturing Engineer")</f>
        <v>Electrical Manufacturing Engineer</v>
      </c>
      <c r="D100" s="42" t="s">
        <v>472</v>
      </c>
      <c r="E100" s="44">
        <v>44186.569236111114</v>
      </c>
    </row>
    <row r="101">
      <c r="A101" s="42"/>
      <c r="B101" s="42" t="s">
        <v>38</v>
      </c>
      <c r="C101" s="43" t="str">
        <f t="shared" si="10"/>
        <v>Electrical Manufacturing Engineer</v>
      </c>
      <c r="D101" s="42" t="s">
        <v>472</v>
      </c>
      <c r="E101" s="44">
        <v>44186.623032407406</v>
      </c>
    </row>
    <row r="102">
      <c r="A102" s="42"/>
      <c r="B102" s="42" t="s">
        <v>49</v>
      </c>
      <c r="C102" s="43" t="str">
        <f t="shared" ref="C102:C103" si="11">hyperlink("https://au.indeed.com/viewjob?jk=4fea98d66d899308","Site Reliability Engineer")</f>
        <v>Site Reliability Engineer</v>
      </c>
      <c r="D102" s="42" t="s">
        <v>473</v>
      </c>
      <c r="E102" s="44">
        <v>44186.58736111111</v>
      </c>
    </row>
    <row r="103">
      <c r="A103" s="42"/>
      <c r="B103" s="42" t="s">
        <v>49</v>
      </c>
      <c r="C103" s="43" t="str">
        <f t="shared" si="11"/>
        <v>Site Reliability Engineer</v>
      </c>
      <c r="D103" s="42" t="s">
        <v>473</v>
      </c>
      <c r="E103" s="44">
        <v>44186.63003472222</v>
      </c>
    </row>
    <row r="104">
      <c r="A104" s="42"/>
      <c r="B104" s="42" t="s">
        <v>45</v>
      </c>
      <c r="C104" s="43" t="str">
        <f t="shared" ref="C104:C105" si="12">hyperlink("https://au.indeed.com/viewjob?jk=ef3d5eff2b709b44","Project Engineer")</f>
        <v>Project Engineer</v>
      </c>
      <c r="D104" s="42" t="s">
        <v>474</v>
      </c>
      <c r="E104" s="44">
        <v>44186.574837962966</v>
      </c>
    </row>
    <row r="105">
      <c r="A105" s="42"/>
      <c r="B105" s="42" t="s">
        <v>45</v>
      </c>
      <c r="C105" s="43" t="str">
        <f t="shared" si="12"/>
        <v>Project Engineer</v>
      </c>
      <c r="D105" s="42" t="s">
        <v>474</v>
      </c>
      <c r="E105" s="44">
        <v>44186.62547453704</v>
      </c>
    </row>
    <row r="106">
      <c r="A106" s="42"/>
      <c r="B106" s="42" t="s">
        <v>33</v>
      </c>
      <c r="C106" s="43" t="str">
        <f t="shared" ref="C106:C107" si="13">hyperlink("https://au.indeed.com/viewjob?jk=a49f06da90992981","Civil Design Engineer")</f>
        <v>Civil Design Engineer</v>
      </c>
      <c r="D106" s="42" t="s">
        <v>475</v>
      </c>
      <c r="E106" s="44">
        <v>44186.56302083333</v>
      </c>
    </row>
    <row r="107">
      <c r="A107" s="42"/>
      <c r="B107" s="42" t="s">
        <v>33</v>
      </c>
      <c r="C107" s="43" t="str">
        <f t="shared" si="13"/>
        <v>Civil Design Engineer</v>
      </c>
      <c r="D107" s="42" t="s">
        <v>475</v>
      </c>
      <c r="E107" s="44">
        <v>44186.61954861111</v>
      </c>
    </row>
    <row r="108">
      <c r="A108" s="42"/>
      <c r="B108" s="42" t="s">
        <v>36</v>
      </c>
      <c r="C108" s="43" t="str">
        <f t="shared" ref="C108:C109" si="14">hyperlink("https://au.indeed.com/viewjob?jk=59d679cbf57b4ab4","Flood / Storm water Infrastructure Engineer")</f>
        <v>Flood / Storm water Infrastructure Engineer</v>
      </c>
      <c r="D108" s="42" t="s">
        <v>476</v>
      </c>
      <c r="E108" s="44">
        <v>44186.56743055556</v>
      </c>
    </row>
    <row r="109">
      <c r="A109" s="42"/>
      <c r="B109" s="42" t="s">
        <v>36</v>
      </c>
      <c r="C109" s="43" t="str">
        <f t="shared" si="14"/>
        <v>Flood / Storm water Infrastructure Engineer</v>
      </c>
      <c r="D109" s="42" t="s">
        <v>476</v>
      </c>
      <c r="E109" s="44">
        <v>44186.622141203705</v>
      </c>
    </row>
    <row r="110">
      <c r="A110" s="42"/>
      <c r="B110" s="42" t="s">
        <v>49</v>
      </c>
      <c r="C110" s="43" t="str">
        <f t="shared" ref="C110:C111" si="15">hyperlink("https://au.indeed.com/viewjob?jk=619d7fe0db91d1e1","Senior Site Reliability Engineer (Fully Remote)")</f>
        <v>Senior Site Reliability Engineer (Fully Remote)</v>
      </c>
      <c r="D110" s="42" t="s">
        <v>477</v>
      </c>
      <c r="E110" s="44">
        <v>44186.58708333333</v>
      </c>
    </row>
    <row r="111">
      <c r="A111" s="42"/>
      <c r="B111" s="42" t="s">
        <v>49</v>
      </c>
      <c r="C111" s="43" t="str">
        <f t="shared" si="15"/>
        <v>Senior Site Reliability Engineer (Fully Remote)</v>
      </c>
      <c r="D111" s="42" t="s">
        <v>477</v>
      </c>
      <c r="E111" s="44">
        <v>44186.62978009259</v>
      </c>
    </row>
    <row r="112">
      <c r="A112" s="42"/>
      <c r="B112" s="42" t="s">
        <v>45</v>
      </c>
      <c r="C112" s="43" t="str">
        <f t="shared" ref="C112:C113" si="16">hyperlink("https://au.indeed.com/viewjob?jk=6b2ae4305744563b","Project Engineer")</f>
        <v>Project Engineer</v>
      </c>
      <c r="D112" s="42" t="s">
        <v>478</v>
      </c>
      <c r="E112" s="44">
        <v>44186.57760416667</v>
      </c>
    </row>
    <row r="113">
      <c r="A113" s="42"/>
      <c r="B113" s="42" t="s">
        <v>45</v>
      </c>
      <c r="C113" s="43" t="str">
        <f t="shared" si="16"/>
        <v>Project Engineer</v>
      </c>
      <c r="D113" s="42" t="s">
        <v>478</v>
      </c>
      <c r="E113" s="44">
        <v>44186.62662037037</v>
      </c>
    </row>
    <row r="114">
      <c r="A114" s="42"/>
      <c r="B114" s="42" t="s">
        <v>36</v>
      </c>
      <c r="C114" s="43" t="str">
        <f t="shared" ref="C114:C115" si="17">hyperlink("https://au.indeed.com/viewjob?jk=578c85626f503e10","Security &amp; Infrastructure Engineer")</f>
        <v>Security &amp; Infrastructure Engineer</v>
      </c>
      <c r="D114" s="42" t="s">
        <v>479</v>
      </c>
      <c r="E114" s="44">
        <v>44186.56674768519</v>
      </c>
    </row>
    <row r="115">
      <c r="A115" s="42"/>
      <c r="B115" s="42" t="s">
        <v>36</v>
      </c>
      <c r="C115" s="43" t="str">
        <f t="shared" si="17"/>
        <v>Security &amp; Infrastructure Engineer</v>
      </c>
      <c r="D115" s="42" t="s">
        <v>479</v>
      </c>
      <c r="E115" s="44">
        <v>44186.621875</v>
      </c>
    </row>
    <row r="116">
      <c r="A116" s="42"/>
      <c r="B116" s="42" t="s">
        <v>49</v>
      </c>
      <c r="C116" s="43" t="str">
        <f t="shared" ref="C116:C117" si="18">hyperlink("https://au.indeed.com/viewjob?jk=63e51356ddfa1c4a","Site Reliability Engineer (Remote, AUS)")</f>
        <v>Site Reliability Engineer (Remote, AUS)</v>
      </c>
      <c r="D116" s="42" t="s">
        <v>480</v>
      </c>
      <c r="E116" s="44">
        <v>44186.58561342592</v>
      </c>
    </row>
    <row r="117">
      <c r="A117" s="42"/>
      <c r="B117" s="42" t="s">
        <v>49</v>
      </c>
      <c r="C117" s="43" t="str">
        <f t="shared" si="18"/>
        <v>Site Reliability Engineer (Remote, AUS)</v>
      </c>
      <c r="D117" s="42" t="s">
        <v>480</v>
      </c>
      <c r="E117" s="44">
        <v>44186.629212962966</v>
      </c>
    </row>
    <row r="118">
      <c r="A118" s="42"/>
      <c r="B118" s="42" t="s">
        <v>38</v>
      </c>
      <c r="C118" s="43" t="str">
        <f t="shared" ref="C118:C119" si="19">hyperlink("https://au.indeed.com/viewjob?jk=bbad94caf16a24c8","Manufacturing Engineer - Wetherill Park")</f>
        <v>Manufacturing Engineer - Wetherill Park</v>
      </c>
      <c r="D118" s="42" t="s">
        <v>481</v>
      </c>
      <c r="E118" s="44">
        <v>44186.569189814814</v>
      </c>
    </row>
    <row r="119">
      <c r="A119" s="42"/>
      <c r="B119" s="42" t="s">
        <v>38</v>
      </c>
      <c r="C119" s="43" t="str">
        <f t="shared" si="19"/>
        <v>Manufacturing Engineer - Wetherill Park</v>
      </c>
      <c r="D119" s="42" t="s">
        <v>481</v>
      </c>
      <c r="E119" s="44">
        <v>44186.62298611111</v>
      </c>
    </row>
    <row r="120">
      <c r="A120" s="42"/>
      <c r="B120" s="42" t="s">
        <v>26</v>
      </c>
      <c r="C120" s="43" t="str">
        <f t="shared" ref="C120:C121" si="20">hyperlink("https://au.indeed.com/viewjob?jk=5b52a616acecf56c","Senior Mechanical Engineer")</f>
        <v>Senior Mechanical Engineer</v>
      </c>
      <c r="D120" s="42" t="s">
        <v>457</v>
      </c>
      <c r="E120" s="44">
        <v>44186.55907407407</v>
      </c>
    </row>
    <row r="121">
      <c r="A121" s="42"/>
      <c r="B121" s="42" t="s">
        <v>26</v>
      </c>
      <c r="C121" s="43" t="str">
        <f t="shared" si="20"/>
        <v>Senior Mechanical Engineer</v>
      </c>
      <c r="D121" s="42" t="s">
        <v>457</v>
      </c>
      <c r="E121" s="44">
        <v>44186.6174537037</v>
      </c>
    </row>
    <row r="122">
      <c r="A122" s="42"/>
      <c r="B122" s="42" t="s">
        <v>49</v>
      </c>
      <c r="C122" s="43" t="str">
        <f t="shared" ref="C122:C123" si="21">hyperlink("https://au.indeed.com/viewjob?jk=58dd89da4197a434","Site Reliability Engineer (Investment Data)")</f>
        <v>Site Reliability Engineer (Investment Data)</v>
      </c>
      <c r="D122" s="42" t="s">
        <v>482</v>
      </c>
      <c r="E122" s="44">
        <v>44186.58605324074</v>
      </c>
    </row>
    <row r="123">
      <c r="A123" s="42"/>
      <c r="B123" s="42" t="s">
        <v>49</v>
      </c>
      <c r="C123" s="43" t="str">
        <f t="shared" si="21"/>
        <v>Site Reliability Engineer (Investment Data)</v>
      </c>
      <c r="D123" s="42" t="s">
        <v>482</v>
      </c>
      <c r="E123" s="44">
        <v>44186.629594907405</v>
      </c>
    </row>
    <row r="124">
      <c r="A124" s="42"/>
      <c r="B124" s="42" t="s">
        <v>45</v>
      </c>
      <c r="C124" s="43" t="str">
        <f>hyperlink("https://au.indeed.com/viewjob?jk=9b85566fd21786d2","Senior Project Engineer (Utilities)")</f>
        <v>Senior Project Engineer (Utilities)</v>
      </c>
      <c r="D124" s="42" t="s">
        <v>483</v>
      </c>
      <c r="E124" s="44">
        <v>44186.57056712963</v>
      </c>
    </row>
    <row r="125">
      <c r="A125" s="42"/>
      <c r="B125" s="42" t="s">
        <v>45</v>
      </c>
      <c r="C125" s="43" t="str">
        <f>hyperlink("https://au.indeed.com/viewjob?jk=480e7938e80b145c","Senior Project Engineer (Water/Pipelines)")</f>
        <v>Senior Project Engineer (Water/Pipelines)</v>
      </c>
      <c r="D125" s="42" t="s">
        <v>483</v>
      </c>
      <c r="E125" s="44">
        <v>44186.574328703704</v>
      </c>
    </row>
    <row r="126">
      <c r="A126" s="42"/>
      <c r="B126" s="42" t="s">
        <v>45</v>
      </c>
      <c r="C126" s="43" t="str">
        <f>hyperlink("https://au.indeed.com/viewjob?jk=9b85566fd21786d2","Senior Project Engineer (Utilities)")</f>
        <v>Senior Project Engineer (Utilities)</v>
      </c>
      <c r="D126" s="42" t="s">
        <v>483</v>
      </c>
      <c r="E126" s="44">
        <v>44186.62390046296</v>
      </c>
    </row>
    <row r="127">
      <c r="A127" s="42"/>
      <c r="B127" s="42" t="s">
        <v>45</v>
      </c>
      <c r="C127" s="43" t="str">
        <f>hyperlink("https://au.indeed.com/viewjob?jk=480e7938e80b145c","Senior Project Engineer (Water/Pipelines)")</f>
        <v>Senior Project Engineer (Water/Pipelines)</v>
      </c>
      <c r="D127" s="42" t="s">
        <v>483</v>
      </c>
      <c r="E127" s="44">
        <v>44186.62482638889</v>
      </c>
    </row>
    <row r="128">
      <c r="A128" s="42"/>
      <c r="B128" s="42" t="s">
        <v>45</v>
      </c>
      <c r="C128" s="43" t="str">
        <f>hyperlink("https://au.indeed.com/viewjob?jk=18315e68c7718de3","Senior Project Engineer")</f>
        <v>Senior Project Engineer</v>
      </c>
      <c r="D128" s="42" t="s">
        <v>484</v>
      </c>
      <c r="E128" s="44">
        <v>44186.574375</v>
      </c>
    </row>
    <row r="129">
      <c r="A129" s="42"/>
      <c r="B129" s="42" t="s">
        <v>45</v>
      </c>
      <c r="C129" s="43" t="str">
        <f>hyperlink("https://au.indeed.com/viewjob?jk=571a060e52f6e81d","Project Engineer")</f>
        <v>Project Engineer</v>
      </c>
      <c r="D129" s="42" t="s">
        <v>484</v>
      </c>
      <c r="E129" s="44">
        <v>44186.574594907404</v>
      </c>
    </row>
    <row r="130">
      <c r="A130" s="42"/>
      <c r="B130" s="42" t="s">
        <v>45</v>
      </c>
      <c r="C130" s="43" t="str">
        <f>hyperlink("https://au.indeed.com/viewjob?jk=013dd81125672d36","Electrical Project Engineer - Confluence Water")</f>
        <v>Electrical Project Engineer - Confluence Water</v>
      </c>
      <c r="D130" s="42" t="s">
        <v>484</v>
      </c>
      <c r="E130" s="44">
        <v>44186.57670138889</v>
      </c>
    </row>
    <row r="131">
      <c r="A131" s="42"/>
      <c r="B131" s="42" t="s">
        <v>45</v>
      </c>
      <c r="C131" s="43" t="str">
        <f>hyperlink("https://au.indeed.com/viewjob?jk=7c3b08401cd9c67d","Project Engineer - Wastewater Treatment Plants")</f>
        <v>Project Engineer - Wastewater Treatment Plants</v>
      </c>
      <c r="D131" s="42" t="s">
        <v>484</v>
      </c>
      <c r="E131" s="44">
        <v>44186.57755787037</v>
      </c>
    </row>
    <row r="132">
      <c r="A132" s="42"/>
      <c r="B132" s="42" t="s">
        <v>45</v>
      </c>
      <c r="C132" s="43" t="str">
        <f>hyperlink("https://au.indeed.com/viewjob?jk=18315e68c7718de3","Senior Project Engineer")</f>
        <v>Senior Project Engineer</v>
      </c>
      <c r="D132" s="42" t="s">
        <v>484</v>
      </c>
      <c r="E132" s="44">
        <v>44186.62474537037</v>
      </c>
    </row>
    <row r="133">
      <c r="A133" s="42"/>
      <c r="B133" s="42" t="s">
        <v>45</v>
      </c>
      <c r="C133" s="43" t="str">
        <f>hyperlink("https://au.indeed.com/viewjob?jk=571a060e52f6e81d","Project Engineer")</f>
        <v>Project Engineer</v>
      </c>
      <c r="D133" s="42" t="s">
        <v>484</v>
      </c>
      <c r="E133" s="44">
        <v>44186.625127314815</v>
      </c>
    </row>
    <row r="134">
      <c r="A134" s="42"/>
      <c r="B134" s="42" t="s">
        <v>45</v>
      </c>
      <c r="C134" s="43" t="str">
        <f>hyperlink("https://au.indeed.com/viewjob?jk=013dd81125672d36","Electrical Project Engineer - Confluence Water")</f>
        <v>Electrical Project Engineer - Confluence Water</v>
      </c>
      <c r="D134" s="42" t="s">
        <v>484</v>
      </c>
      <c r="E134" s="44">
        <v>44186.62621527778</v>
      </c>
    </row>
    <row r="135">
      <c r="A135" s="42"/>
      <c r="B135" s="42" t="s">
        <v>45</v>
      </c>
      <c r="C135" s="43" t="str">
        <f>hyperlink("https://au.indeed.com/viewjob?jk=7c3b08401cd9c67d","Project Engineer - Wastewater Treatment Plants")</f>
        <v>Project Engineer - Wastewater Treatment Plants</v>
      </c>
      <c r="D135" s="42" t="s">
        <v>484</v>
      </c>
      <c r="E135" s="44">
        <v>44186.626539351855</v>
      </c>
    </row>
    <row r="136">
      <c r="A136" s="42"/>
      <c r="B136" s="42" t="s">
        <v>36</v>
      </c>
      <c r="C136" s="43" t="str">
        <f t="shared" ref="C136:C137" si="22">hyperlink("https://au.indeed.com/viewjob?jk=f29121690d193e2b","IT Infrastructure Engineer")</f>
        <v>IT Infrastructure Engineer</v>
      </c>
      <c r="D136" s="42" t="s">
        <v>485</v>
      </c>
      <c r="E136" s="44">
        <v>44186.56688657407</v>
      </c>
    </row>
    <row r="137">
      <c r="A137" s="42"/>
      <c r="B137" s="42" t="s">
        <v>36</v>
      </c>
      <c r="C137" s="43" t="str">
        <f t="shared" si="22"/>
        <v>IT Infrastructure Engineer</v>
      </c>
      <c r="D137" s="42" t="s">
        <v>485</v>
      </c>
      <c r="E137" s="44">
        <v>44186.62200231481</v>
      </c>
    </row>
    <row r="138">
      <c r="A138" s="42"/>
      <c r="B138" s="42" t="s">
        <v>49</v>
      </c>
      <c r="C138" s="43" t="str">
        <f t="shared" ref="C138:C139" si="23">hyperlink("https://au.indeed.com/viewjob?jk=829f9a6cfb9e0fb7","Site Reliability Engineer")</f>
        <v>Site Reliability Engineer</v>
      </c>
      <c r="D138" s="42" t="s">
        <v>486</v>
      </c>
      <c r="E138" s="44">
        <v>44186.583958333336</v>
      </c>
    </row>
    <row r="139">
      <c r="A139" s="42"/>
      <c r="B139" s="42" t="s">
        <v>49</v>
      </c>
      <c r="C139" s="43" t="str">
        <f t="shared" si="23"/>
        <v>Site Reliability Engineer</v>
      </c>
      <c r="D139" s="42" t="s">
        <v>486</v>
      </c>
      <c r="E139" s="44">
        <v>44186.628530092596</v>
      </c>
    </row>
    <row r="140">
      <c r="A140" s="42"/>
      <c r="B140" s="42" t="s">
        <v>50</v>
      </c>
      <c r="C140" s="43" t="str">
        <f t="shared" ref="C140:C141" si="24">hyperlink("https://au.indeed.com/viewjob?jk=3ee9f9d45f789dcd","Data Center Services Engineer")</f>
        <v>Data Center Services Engineer</v>
      </c>
      <c r="D140" s="42" t="s">
        <v>487</v>
      </c>
      <c r="E140" s="44">
        <v>44186.58965277778</v>
      </c>
    </row>
    <row r="141">
      <c r="A141" s="42"/>
      <c r="B141" s="42" t="s">
        <v>50</v>
      </c>
      <c r="C141" s="43" t="str">
        <f t="shared" si="24"/>
        <v>Data Center Services Engineer</v>
      </c>
      <c r="D141" s="42" t="s">
        <v>487</v>
      </c>
      <c r="E141" s="44">
        <v>44186.63054398148</v>
      </c>
    </row>
    <row r="142">
      <c r="A142" s="42"/>
      <c r="B142" s="42" t="s">
        <v>54</v>
      </c>
      <c r="C142" s="43" t="str">
        <f t="shared" ref="C142:C143" si="25">hyperlink("https://au.indeed.com/viewjob?jk=0f94254268ad1e39","Technical Product Engineer")</f>
        <v>Technical Product Engineer</v>
      </c>
      <c r="D142" s="42" t="s">
        <v>488</v>
      </c>
      <c r="E142" s="44">
        <v>44186.593043981484</v>
      </c>
    </row>
    <row r="143">
      <c r="A143" s="42"/>
      <c r="B143" s="42" t="s">
        <v>54</v>
      </c>
      <c r="C143" s="43" t="str">
        <f t="shared" si="25"/>
        <v>Technical Product Engineer</v>
      </c>
      <c r="D143" s="42" t="s">
        <v>488</v>
      </c>
      <c r="E143" s="44">
        <v>44186.6316087963</v>
      </c>
    </row>
    <row r="144">
      <c r="A144" s="42"/>
      <c r="B144" s="42" t="s">
        <v>36</v>
      </c>
      <c r="C144" s="43" t="str">
        <f t="shared" ref="C144:C145" si="26">hyperlink("https://au.indeed.com/viewjob?jk=c2443e051126216e","Infrastructure Engineer")</f>
        <v>Infrastructure Engineer</v>
      </c>
      <c r="D144" s="42" t="s">
        <v>489</v>
      </c>
      <c r="E144" s="44">
        <v>44186.567777777775</v>
      </c>
    </row>
    <row r="145">
      <c r="A145" s="42"/>
      <c r="B145" s="42" t="s">
        <v>36</v>
      </c>
      <c r="C145" s="43" t="str">
        <f t="shared" si="26"/>
        <v>Infrastructure Engineer</v>
      </c>
      <c r="D145" s="42" t="s">
        <v>489</v>
      </c>
      <c r="E145" s="44">
        <v>44186.62248842593</v>
      </c>
    </row>
    <row r="146">
      <c r="A146" s="42"/>
      <c r="B146" s="42" t="s">
        <v>49</v>
      </c>
      <c r="C146" s="43" t="str">
        <f>hyperlink("https://au.indeed.com/viewjob?jk=959bad1c6e015189","Site Reliability Engineer - Core Engineering")</f>
        <v>Site Reliability Engineer - Core Engineering</v>
      </c>
      <c r="D146" s="42" t="s">
        <v>490</v>
      </c>
      <c r="E146" s="44">
        <v>44186.583333333336</v>
      </c>
    </row>
    <row r="147">
      <c r="A147" s="42"/>
      <c r="B147" s="42" t="s">
        <v>49</v>
      </c>
      <c r="C147" s="43" t="str">
        <f>hyperlink("https://au.indeed.com/viewjob?jk=45955d2763b6181c","Site Reliability Engineer - Core Engineering")</f>
        <v>Site Reliability Engineer - Core Engineering</v>
      </c>
      <c r="D147" s="42" t="s">
        <v>490</v>
      </c>
      <c r="E147" s="44">
        <v>44186.58556712963</v>
      </c>
    </row>
    <row r="148">
      <c r="A148" s="42"/>
      <c r="B148" s="42" t="s">
        <v>49</v>
      </c>
      <c r="C148" s="43" t="str">
        <f>hyperlink("https://au.indeed.com/viewjob?jk=959bad1c6e015189","Site Reliability Engineer - Core Engineering")</f>
        <v>Site Reliability Engineer - Core Engineering</v>
      </c>
      <c r="D148" s="42" t="s">
        <v>490</v>
      </c>
      <c r="E148" s="44">
        <v>44186.62842592593</v>
      </c>
    </row>
    <row r="149">
      <c r="A149" s="42"/>
      <c r="B149" s="42" t="s">
        <v>49</v>
      </c>
      <c r="C149" s="43" t="str">
        <f>hyperlink("https://au.indeed.com/viewjob?jk=45955d2763b6181c","Site Reliability Engineer - Core Engineering")</f>
        <v>Site Reliability Engineer - Core Engineering</v>
      </c>
      <c r="D149" s="42" t="s">
        <v>490</v>
      </c>
      <c r="E149" s="44">
        <v>44186.629166666666</v>
      </c>
    </row>
    <row r="150">
      <c r="A150" s="42"/>
      <c r="B150" s="42" t="s">
        <v>45</v>
      </c>
      <c r="C150" s="43" t="str">
        <f>hyperlink("https://au.indeed.com/viewjob?jk=ad8828d56ccbe6bc","Senior Project Engineer")</f>
        <v>Senior Project Engineer</v>
      </c>
      <c r="D150" s="42" t="s">
        <v>491</v>
      </c>
      <c r="E150" s="44">
        <v>44186.574641203704</v>
      </c>
    </row>
    <row r="151">
      <c r="A151" s="42"/>
      <c r="B151" s="42" t="s">
        <v>45</v>
      </c>
      <c r="C151" s="43" t="str">
        <f>hyperlink("https://au.indeed.com/viewjob?jk=5e22d9c99a10c34e","Civil Infrastructure – Project Engineer")</f>
        <v>Civil Infrastructure – Project Engineer</v>
      </c>
      <c r="D151" s="42" t="s">
        <v>491</v>
      </c>
      <c r="E151" s="44">
        <v>44186.57496527778</v>
      </c>
    </row>
    <row r="152">
      <c r="A152" s="42"/>
      <c r="B152" s="42" t="s">
        <v>51</v>
      </c>
      <c r="C152" s="43" t="str">
        <f>hyperlink("https://au.indeed.com/viewjob?jk=a5a1f8b31271bba4","Civil Infrastructure – Site Engineer")</f>
        <v>Civil Infrastructure – Site Engineer</v>
      </c>
      <c r="D152" s="42" t="s">
        <v>491</v>
      </c>
      <c r="E152" s="44">
        <v>44186.5928587963</v>
      </c>
    </row>
    <row r="153">
      <c r="A153" s="42"/>
      <c r="B153" s="42" t="s">
        <v>45</v>
      </c>
      <c r="C153" s="43" t="str">
        <f>hyperlink("https://au.indeed.com/viewjob?jk=ad8828d56ccbe6bc","Senior Project Engineer")</f>
        <v>Senior Project Engineer</v>
      </c>
      <c r="D153" s="42" t="s">
        <v>491</v>
      </c>
      <c r="E153" s="44">
        <v>44186.62517361111</v>
      </c>
    </row>
    <row r="154">
      <c r="A154" s="42"/>
      <c r="B154" s="42" t="s">
        <v>45</v>
      </c>
      <c r="C154" s="43" t="str">
        <f>hyperlink("https://au.indeed.com/viewjob?jk=5e22d9c99a10c34e","Civil Infrastructure – Project Engineer")</f>
        <v>Civil Infrastructure – Project Engineer</v>
      </c>
      <c r="D154" s="42" t="s">
        <v>491</v>
      </c>
      <c r="E154" s="44">
        <v>44186.625625</v>
      </c>
    </row>
    <row r="155">
      <c r="A155" s="42"/>
      <c r="B155" s="42" t="s">
        <v>51</v>
      </c>
      <c r="C155" s="43" t="str">
        <f>hyperlink("https://au.indeed.com/viewjob?jk=a5a1f8b31271bba4","Civil Infrastructure – Site Engineer")</f>
        <v>Civil Infrastructure – Site Engineer</v>
      </c>
      <c r="D155" s="42" t="s">
        <v>491</v>
      </c>
      <c r="E155" s="44">
        <v>44186.63143518518</v>
      </c>
    </row>
    <row r="156">
      <c r="A156" s="42"/>
      <c r="B156" s="42" t="s">
        <v>33</v>
      </c>
      <c r="C156" s="43" t="str">
        <f>hyperlink("https://au.indeed.com/viewjob?jk=263e383291c9bd50","Senior Civil Design Engineer")</f>
        <v>Senior Civil Design Engineer</v>
      </c>
      <c r="D156" s="42" t="s">
        <v>492</v>
      </c>
      <c r="E156" s="44">
        <v>44186.56149305555</v>
      </c>
    </row>
    <row r="157">
      <c r="A157" s="42"/>
      <c r="B157" s="42" t="s">
        <v>38</v>
      </c>
      <c r="C157" s="43" t="str">
        <f>hyperlink("https://au.indeed.com/viewjob?jk=8d6db923e6c89e48","Manufacturing Engineer")</f>
        <v>Manufacturing Engineer</v>
      </c>
      <c r="D157" s="42" t="s">
        <v>492</v>
      </c>
      <c r="E157" s="44">
        <v>44186.56928240741</v>
      </c>
    </row>
    <row r="158">
      <c r="A158" s="42"/>
      <c r="B158" s="42" t="s">
        <v>41</v>
      </c>
      <c r="C158" s="43" t="str">
        <f>hyperlink("https://au.indeed.com/viewjob?jk=d7c523534e02dbff","Undergraduate Process Engineer")</f>
        <v>Undergraduate Process Engineer</v>
      </c>
      <c r="D158" s="42" t="s">
        <v>492</v>
      </c>
      <c r="E158" s="44">
        <v>44186.56943287037</v>
      </c>
    </row>
    <row r="159">
      <c r="A159" s="42"/>
      <c r="B159" s="42" t="s">
        <v>49</v>
      </c>
      <c r="C159" s="43" t="str">
        <f>hyperlink("https://au.indeed.com/viewjob?jk=12178f2cb06800df","Reliability Engineer")</f>
        <v>Reliability Engineer</v>
      </c>
      <c r="D159" s="42" t="s">
        <v>492</v>
      </c>
      <c r="E159" s="44">
        <v>44186.58657407408</v>
      </c>
    </row>
    <row r="160">
      <c r="A160" s="42"/>
      <c r="B160" s="42" t="s">
        <v>33</v>
      </c>
      <c r="C160" s="43" t="str">
        <f>hyperlink("https://au.indeed.com/viewjob?jk=263e383291c9bd50","Senior Civil Design Engineer")</f>
        <v>Senior Civil Design Engineer</v>
      </c>
      <c r="D160" s="42" t="s">
        <v>492</v>
      </c>
      <c r="E160" s="44">
        <v>44186.61855324074</v>
      </c>
    </row>
    <row r="161">
      <c r="A161" s="42"/>
      <c r="B161" s="42" t="s">
        <v>38</v>
      </c>
      <c r="C161" s="43" t="str">
        <f>hyperlink("https://au.indeed.com/viewjob?jk=8d6db923e6c89e48","Manufacturing Engineer")</f>
        <v>Manufacturing Engineer</v>
      </c>
      <c r="D161" s="42" t="s">
        <v>492</v>
      </c>
      <c r="E161" s="44">
        <v>44186.623078703706</v>
      </c>
    </row>
    <row r="162">
      <c r="A162" s="42"/>
      <c r="B162" s="42" t="s">
        <v>41</v>
      </c>
      <c r="C162" s="43" t="str">
        <f>hyperlink("https://au.indeed.com/viewjob?jk=d7c523534e02dbff","Undergraduate Process Engineer")</f>
        <v>Undergraduate Process Engineer</v>
      </c>
      <c r="D162" s="42" t="s">
        <v>492</v>
      </c>
      <c r="E162" s="44">
        <v>44186.62321759259</v>
      </c>
    </row>
    <row r="163">
      <c r="A163" s="42"/>
      <c r="B163" s="42" t="s">
        <v>49</v>
      </c>
      <c r="C163" s="43" t="str">
        <f>hyperlink("https://au.indeed.com/viewjob?jk=12178f2cb06800df","Reliability Engineer")</f>
        <v>Reliability Engineer</v>
      </c>
      <c r="D163" s="42" t="s">
        <v>492</v>
      </c>
      <c r="E163" s="44">
        <v>44186.6296875</v>
      </c>
    </row>
    <row r="164">
      <c r="A164" s="42"/>
      <c r="B164" s="42" t="s">
        <v>33</v>
      </c>
      <c r="C164" s="43" t="str">
        <f t="shared" ref="C164:C165" si="27">hyperlink("https://au.indeed.com/viewjob?jk=bcf1cbd50bad870f","Biomedical Design Engineer")</f>
        <v>Biomedical Design Engineer</v>
      </c>
      <c r="D164" s="42" t="s">
        <v>493</v>
      </c>
      <c r="E164" s="44">
        <v>44186.56456018519</v>
      </c>
    </row>
    <row r="165">
      <c r="A165" s="42"/>
      <c r="B165" s="42" t="s">
        <v>33</v>
      </c>
      <c r="C165" s="43" t="str">
        <f t="shared" si="27"/>
        <v>Biomedical Design Engineer</v>
      </c>
      <c r="D165" s="42" t="s">
        <v>493</v>
      </c>
      <c r="E165" s="44">
        <v>44186.620625</v>
      </c>
    </row>
    <row r="166">
      <c r="A166" s="42"/>
      <c r="B166" s="42" t="s">
        <v>33</v>
      </c>
      <c r="C166" s="43" t="str">
        <f t="shared" ref="C166:C167" si="28">hyperlink("https://au.indeed.com/viewjob?jk=9004b81ca99f6d3b","SENIOR SIGNALING DESIGN ENGINEER")</f>
        <v>SENIOR SIGNALING DESIGN ENGINEER</v>
      </c>
      <c r="D166" s="42" t="s">
        <v>494</v>
      </c>
      <c r="E166" s="44">
        <v>44186.564467592594</v>
      </c>
    </row>
    <row r="167">
      <c r="A167" s="42"/>
      <c r="B167" s="42" t="s">
        <v>33</v>
      </c>
      <c r="C167" s="43" t="str">
        <f t="shared" si="28"/>
        <v>SENIOR SIGNALING DESIGN ENGINEER</v>
      </c>
      <c r="D167" s="42" t="s">
        <v>494</v>
      </c>
      <c r="E167" s="44">
        <v>44186.62053240741</v>
      </c>
    </row>
    <row r="168">
      <c r="A168" s="42"/>
      <c r="B168" s="42" t="s">
        <v>45</v>
      </c>
      <c r="C168" s="43" t="str">
        <f t="shared" ref="C168:C169" si="29">hyperlink("https://au.indeed.com/viewjob?jk=e54a3306521fc1e1","Software Project Engineer")</f>
        <v>Software Project Engineer</v>
      </c>
      <c r="D168" s="42" t="s">
        <v>495</v>
      </c>
      <c r="E168" s="44">
        <v>44186.572905092595</v>
      </c>
    </row>
    <row r="169">
      <c r="A169" s="42"/>
      <c r="B169" s="42" t="s">
        <v>45</v>
      </c>
      <c r="C169" s="43" t="str">
        <f t="shared" si="29"/>
        <v>Software Project Engineer</v>
      </c>
      <c r="D169" s="42" t="s">
        <v>495</v>
      </c>
      <c r="E169" s="44">
        <v>44186.62716435185</v>
      </c>
    </row>
    <row r="170">
      <c r="A170" s="42"/>
      <c r="B170" s="42" t="s">
        <v>49</v>
      </c>
      <c r="C170" s="43" t="str">
        <f t="shared" ref="C170:C171" si="30">hyperlink("https://au.indeed.com/viewjob?jk=643234569ba2582a","Cloud Data Services Site Reliability Engineer")</f>
        <v>Cloud Data Services Site Reliability Engineer</v>
      </c>
      <c r="D170" s="42" t="s">
        <v>496</v>
      </c>
      <c r="E170" s="44">
        <v>44186.58546296296</v>
      </c>
    </row>
    <row r="171">
      <c r="A171" s="42"/>
      <c r="B171" s="42" t="s">
        <v>49</v>
      </c>
      <c r="C171" s="43" t="str">
        <f t="shared" si="30"/>
        <v>Cloud Data Services Site Reliability Engineer</v>
      </c>
      <c r="D171" s="42" t="s">
        <v>496</v>
      </c>
      <c r="E171" s="44">
        <v>44186.62907407407</v>
      </c>
    </row>
    <row r="172">
      <c r="A172" s="42"/>
      <c r="B172" s="42" t="s">
        <v>33</v>
      </c>
      <c r="C172" s="43" t="str">
        <f t="shared" ref="C172:C173" si="31">hyperlink("https://au.indeed.com/viewjob?jk=4673b7a4b2ffd2e9","Software Design Engineer - Graphics Simulation (Sydney Australia)")</f>
        <v>Software Design Engineer - Graphics Simulation (Sydney Australia)</v>
      </c>
      <c r="D172" s="42" t="s">
        <v>497</v>
      </c>
      <c r="E172" s="44">
        <v>44186.56443287037</v>
      </c>
    </row>
    <row r="173">
      <c r="A173" s="42"/>
      <c r="B173" s="42" t="s">
        <v>33</v>
      </c>
      <c r="C173" s="43" t="str">
        <f t="shared" si="31"/>
        <v>Software Design Engineer - Graphics Simulation (Sydney Australia)</v>
      </c>
      <c r="D173" s="42" t="s">
        <v>497</v>
      </c>
      <c r="E173" s="44">
        <v>44186.62049768519</v>
      </c>
    </row>
    <row r="174">
      <c r="A174" s="42"/>
      <c r="B174" s="42" t="s">
        <v>42</v>
      </c>
      <c r="C174" s="43" t="str">
        <f t="shared" ref="C174:C175" si="32">hyperlink("https://au.indeed.com/viewjob?jk=a50adc8f58d2c3f6","Production Engineer Sydney, Australia")</f>
        <v>Production Engineer Sydney, Australia</v>
      </c>
      <c r="D174" s="42" t="s">
        <v>498</v>
      </c>
      <c r="E174" s="44">
        <v>44186.57030092592</v>
      </c>
    </row>
    <row r="175">
      <c r="A175" s="42"/>
      <c r="B175" s="42" t="s">
        <v>42</v>
      </c>
      <c r="C175" s="43" t="str">
        <f t="shared" si="32"/>
        <v>Production Engineer Sydney, Australia</v>
      </c>
      <c r="D175" s="42" t="s">
        <v>498</v>
      </c>
      <c r="E175" s="44">
        <v>44186.62358796296</v>
      </c>
    </row>
    <row r="176">
      <c r="A176" s="42"/>
      <c r="B176" s="42" t="s">
        <v>34</v>
      </c>
      <c r="C176" s="43" t="str">
        <f t="shared" ref="C176:C177" si="33">hyperlink("https://au.indeed.com/viewjob?jk=ee8fa3942396be0a","Quality Development Engineer (Lab)")</f>
        <v>Quality Development Engineer (Lab)</v>
      </c>
      <c r="D176" s="42" t="s">
        <v>499</v>
      </c>
      <c r="E176" s="44">
        <v>44186.56537037037</v>
      </c>
    </row>
    <row r="177">
      <c r="A177" s="42"/>
      <c r="B177" s="42" t="s">
        <v>34</v>
      </c>
      <c r="C177" s="43" t="str">
        <f t="shared" si="33"/>
        <v>Quality Development Engineer (Lab)</v>
      </c>
      <c r="D177" s="42" t="s">
        <v>499</v>
      </c>
      <c r="E177" s="44">
        <v>44186.620983796296</v>
      </c>
    </row>
    <row r="178">
      <c r="A178" s="42"/>
      <c r="B178" s="42" t="s">
        <v>36</v>
      </c>
      <c r="C178" s="43" t="str">
        <f t="shared" ref="C178:C179" si="34">hyperlink("https://au.indeed.com/viewjob?jk=05b2eb83610f608b","Infrastructure Engineer")</f>
        <v>Infrastructure Engineer</v>
      </c>
      <c r="D178" s="42" t="s">
        <v>500</v>
      </c>
      <c r="E178" s="44">
        <v>44186.56693287037</v>
      </c>
    </row>
    <row r="179">
      <c r="A179" s="42"/>
      <c r="B179" s="42" t="s">
        <v>36</v>
      </c>
      <c r="C179" s="43" t="str">
        <f t="shared" si="34"/>
        <v>Infrastructure Engineer</v>
      </c>
      <c r="D179" s="42" t="s">
        <v>500</v>
      </c>
      <c r="E179" s="44">
        <v>44186.62204861111</v>
      </c>
    </row>
    <row r="180">
      <c r="A180" s="42"/>
      <c r="B180" s="42" t="s">
        <v>45</v>
      </c>
      <c r="C180" s="43" t="str">
        <f>hyperlink("https://au.indeed.com/viewjob?jk=ae654bbb34246b97","Project Engineer")</f>
        <v>Project Engineer</v>
      </c>
      <c r="D180" s="42" t="s">
        <v>501</v>
      </c>
      <c r="E180" s="44">
        <v>44186.57440972222</v>
      </c>
    </row>
    <row r="181">
      <c r="A181" s="42"/>
      <c r="B181" s="42" t="s">
        <v>45</v>
      </c>
      <c r="C181" s="43" t="str">
        <f>hyperlink("https://au.indeed.com/viewjob?jk=0193dd0b40e63196","Project Engineer")</f>
        <v>Project Engineer</v>
      </c>
      <c r="D181" s="42" t="s">
        <v>501</v>
      </c>
      <c r="E181" s="44">
        <v>44186.57454861111</v>
      </c>
    </row>
    <row r="182">
      <c r="A182" s="42"/>
      <c r="B182" s="42" t="s">
        <v>45</v>
      </c>
      <c r="C182" s="43" t="str">
        <f>hyperlink("https://au.indeed.com/viewjob?jk=e8a04ba003777a80","Senior Project Engineer - Electrical")</f>
        <v>Senior Project Engineer - Electrical</v>
      </c>
      <c r="D182" s="42" t="s">
        <v>501</v>
      </c>
      <c r="E182" s="44">
        <v>44186.58081018519</v>
      </c>
    </row>
    <row r="183">
      <c r="A183" s="42"/>
      <c r="B183" s="42" t="s">
        <v>45</v>
      </c>
      <c r="C183" s="43" t="str">
        <f>hyperlink("https://au.indeed.com/viewjob?jk=ae654bbb34246b97","Project Engineer")</f>
        <v>Project Engineer</v>
      </c>
      <c r="D183" s="42" t="s">
        <v>501</v>
      </c>
      <c r="E183" s="44">
        <v>44186.62488425926</v>
      </c>
    </row>
    <row r="184">
      <c r="A184" s="42"/>
      <c r="B184" s="42" t="s">
        <v>45</v>
      </c>
      <c r="C184" s="43" t="str">
        <f>hyperlink("https://au.indeed.com/viewjob?jk=0193dd0b40e63196","Project Engineer")</f>
        <v>Project Engineer</v>
      </c>
      <c r="D184" s="42" t="s">
        <v>501</v>
      </c>
      <c r="E184" s="44">
        <v>44186.6250462963</v>
      </c>
    </row>
    <row r="185">
      <c r="A185" s="42"/>
      <c r="B185" s="42" t="s">
        <v>45</v>
      </c>
      <c r="C185" s="43" t="str">
        <f>hyperlink("https://au.indeed.com/viewjob?jk=e8a04ba003777a80","Senior Project Engineer - Electrical")</f>
        <v>Senior Project Engineer - Electrical</v>
      </c>
      <c r="D185" s="42" t="s">
        <v>501</v>
      </c>
      <c r="E185" s="44">
        <v>44186.6278125</v>
      </c>
    </row>
    <row r="186">
      <c r="A186" s="42"/>
      <c r="B186" s="42" t="s">
        <v>45</v>
      </c>
      <c r="C186" s="43" t="str">
        <f t="shared" ref="C186:C187" si="35">hyperlink("https://au.indeed.com/viewjob?jk=95f6cafacfd6310a","Senior Project Engineer")</f>
        <v>Senior Project Engineer</v>
      </c>
      <c r="D186" s="42" t="s">
        <v>502</v>
      </c>
      <c r="E186" s="44">
        <v>44186.57471064815</v>
      </c>
    </row>
    <row r="187">
      <c r="A187" s="42"/>
      <c r="B187" s="42" t="s">
        <v>45</v>
      </c>
      <c r="C187" s="43" t="str">
        <f t="shared" si="35"/>
        <v>Senior Project Engineer</v>
      </c>
      <c r="D187" s="42" t="s">
        <v>502</v>
      </c>
      <c r="E187" s="44">
        <v>44186.6252662037</v>
      </c>
    </row>
    <row r="188">
      <c r="A188" s="42"/>
      <c r="B188" s="42" t="s">
        <v>45</v>
      </c>
      <c r="C188" s="43" t="str">
        <f t="shared" ref="C188:C189" si="36">hyperlink("https://au.indeed.com/viewjob?jk=e0695c1aade40875","Project Engineer")</f>
        <v>Project Engineer</v>
      </c>
      <c r="D188" s="42" t="s">
        <v>503</v>
      </c>
      <c r="E188" s="44">
        <v>44186.57450231481</v>
      </c>
    </row>
    <row r="189">
      <c r="A189" s="42"/>
      <c r="B189" s="42" t="s">
        <v>45</v>
      </c>
      <c r="C189" s="43" t="str">
        <f t="shared" si="36"/>
        <v>Project Engineer</v>
      </c>
      <c r="D189" s="42" t="s">
        <v>503</v>
      </c>
      <c r="E189" s="44">
        <v>44186.62498842592</v>
      </c>
    </row>
    <row r="190">
      <c r="A190" s="42"/>
      <c r="B190" s="42" t="s">
        <v>33</v>
      </c>
      <c r="C190" s="43" t="str">
        <f t="shared" ref="C190:C191" si="37">hyperlink("https://au.indeed.com/viewjob?jk=f746f35929b560d0","Senior Storage &amp; Cloud Design Engineer")</f>
        <v>Senior Storage &amp; Cloud Design Engineer</v>
      </c>
      <c r="D190" s="42" t="s">
        <v>504</v>
      </c>
      <c r="E190" s="44">
        <v>44186.56297453704</v>
      </c>
    </row>
    <row r="191">
      <c r="A191" s="42"/>
      <c r="B191" s="42" t="s">
        <v>33</v>
      </c>
      <c r="C191" s="43" t="str">
        <f t="shared" si="37"/>
        <v>Senior Storage &amp; Cloud Design Engineer</v>
      </c>
      <c r="D191" s="42" t="s">
        <v>504</v>
      </c>
      <c r="E191" s="44">
        <v>44186.61950231482</v>
      </c>
    </row>
    <row r="192">
      <c r="A192" s="42"/>
      <c r="B192" s="42" t="s">
        <v>34</v>
      </c>
      <c r="C192" s="43" t="str">
        <f t="shared" ref="C192:C193" si="38">hyperlink("https://au.indeed.com/viewjob?jk=89304a16a3929ee9","Senior Software Development Engineer in Test")</f>
        <v>Senior Software Development Engineer in Test</v>
      </c>
      <c r="D192" s="42" t="s">
        <v>350</v>
      </c>
      <c r="E192" s="44">
        <v>44186.56642361111</v>
      </c>
    </row>
    <row r="193">
      <c r="A193" s="42"/>
      <c r="B193" s="42" t="s">
        <v>34</v>
      </c>
      <c r="C193" s="43" t="str">
        <f t="shared" si="38"/>
        <v>Senior Software Development Engineer in Test</v>
      </c>
      <c r="D193" s="42" t="s">
        <v>350</v>
      </c>
      <c r="E193" s="44">
        <v>44186.62155092593</v>
      </c>
    </row>
    <row r="194">
      <c r="A194" s="42"/>
      <c r="B194" s="42" t="s">
        <v>33</v>
      </c>
      <c r="C194" s="43" t="str">
        <f>hyperlink("https://au.indeed.com/viewjob?jk=0de2ee31524ba72b","Civil Design Engineer")</f>
        <v>Civil Design Engineer</v>
      </c>
      <c r="D194" s="42" t="s">
        <v>505</v>
      </c>
      <c r="E194" s="44">
        <v>44186.56153935185</v>
      </c>
    </row>
    <row r="195">
      <c r="A195" s="42"/>
      <c r="B195" s="42" t="s">
        <v>33</v>
      </c>
      <c r="C195" s="43" t="str">
        <f>hyperlink("https://au.indeed.com/viewjob?jk=cc888c13f17ac8b0","Civil Design Engineer")</f>
        <v>Civil Design Engineer</v>
      </c>
      <c r="D195" s="42" t="s">
        <v>505</v>
      </c>
      <c r="E195" s="44">
        <v>44186.562002314815</v>
      </c>
    </row>
    <row r="196">
      <c r="A196" s="42"/>
      <c r="B196" s="42" t="s">
        <v>41</v>
      </c>
      <c r="C196" s="43" t="str">
        <f>hyperlink("https://au.indeed.com/viewjob?jk=25e3cfed7af683f7","Process Engineer")</f>
        <v>Process Engineer</v>
      </c>
      <c r="D196" s="42" t="s">
        <v>505</v>
      </c>
      <c r="E196" s="44">
        <v>44186.56947916667</v>
      </c>
    </row>
    <row r="197">
      <c r="A197" s="42"/>
      <c r="B197" s="42" t="s">
        <v>51</v>
      </c>
      <c r="C197" s="43" t="str">
        <f>hyperlink("https://au.indeed.com/viewjob?jk=254f9b20ec022576","Site Engineer")</f>
        <v>Site Engineer</v>
      </c>
      <c r="D197" s="42" t="s">
        <v>505</v>
      </c>
      <c r="E197" s="44">
        <v>44186.59150462963</v>
      </c>
    </row>
    <row r="198">
      <c r="A198" s="42"/>
      <c r="B198" s="42" t="s">
        <v>33</v>
      </c>
      <c r="C198" s="43" t="str">
        <f>hyperlink("https://au.indeed.com/viewjob?jk=0de2ee31524ba72b","Civil Design Engineer")</f>
        <v>Civil Design Engineer</v>
      </c>
      <c r="D198" s="42" t="s">
        <v>505</v>
      </c>
      <c r="E198" s="44">
        <v>44186.61859953704</v>
      </c>
    </row>
    <row r="199">
      <c r="A199" s="42"/>
      <c r="B199" s="42" t="s">
        <v>33</v>
      </c>
      <c r="C199" s="43" t="str">
        <f>hyperlink("https://au.indeed.com/viewjob?jk=cc888c13f17ac8b0","Civil Design Engineer")</f>
        <v>Civil Design Engineer</v>
      </c>
      <c r="D199" s="42" t="s">
        <v>505</v>
      </c>
      <c r="E199" s="44">
        <v>44186.61902777778</v>
      </c>
    </row>
    <row r="200">
      <c r="A200" s="42"/>
      <c r="B200" s="42" t="s">
        <v>41</v>
      </c>
      <c r="C200" s="43" t="str">
        <f>hyperlink("https://au.indeed.com/viewjob?jk=25e3cfed7af683f7","Process Engineer")</f>
        <v>Process Engineer</v>
      </c>
      <c r="D200" s="42" t="s">
        <v>505</v>
      </c>
      <c r="E200" s="44">
        <v>44186.62326388889</v>
      </c>
    </row>
    <row r="201">
      <c r="A201" s="42"/>
      <c r="B201" s="42" t="s">
        <v>51</v>
      </c>
      <c r="C201" s="43" t="str">
        <f>hyperlink("https://au.indeed.com/viewjob?jk=254f9b20ec022576","Site Engineer")</f>
        <v>Site Engineer</v>
      </c>
      <c r="D201" s="42" t="s">
        <v>505</v>
      </c>
      <c r="E201" s="44">
        <v>44186.63135416667</v>
      </c>
    </row>
    <row r="202">
      <c r="A202" s="42"/>
      <c r="B202" s="42" t="s">
        <v>45</v>
      </c>
      <c r="C202" s="43" t="str">
        <f t="shared" ref="C202:C205" si="39">hyperlink("https://au.indeed.com/viewjob?jk=10d33bbd692e8dfc","Project Engineer / Lead")</f>
        <v>Project Engineer / Lead</v>
      </c>
      <c r="D202" s="42" t="s">
        <v>506</v>
      </c>
      <c r="E202" s="44">
        <v>44186.57493055556</v>
      </c>
    </row>
    <row r="203">
      <c r="A203" s="42"/>
      <c r="B203" s="42" t="s">
        <v>45</v>
      </c>
      <c r="C203" s="43" t="str">
        <f t="shared" si="39"/>
        <v>Project Engineer / Lead</v>
      </c>
      <c r="D203" s="42" t="s">
        <v>506</v>
      </c>
      <c r="E203" s="44">
        <v>44186.57894675926</v>
      </c>
    </row>
    <row r="204">
      <c r="A204" s="42"/>
      <c r="B204" s="42" t="s">
        <v>45</v>
      </c>
      <c r="C204" s="43" t="str">
        <f t="shared" si="39"/>
        <v>Project Engineer / Lead</v>
      </c>
      <c r="D204" s="42" t="s">
        <v>506</v>
      </c>
      <c r="E204" s="44">
        <v>44186.62556712963</v>
      </c>
    </row>
    <row r="205">
      <c r="A205" s="42"/>
      <c r="B205" s="42" t="s">
        <v>45</v>
      </c>
      <c r="C205" s="43" t="str">
        <f t="shared" si="39"/>
        <v>Project Engineer / Lead</v>
      </c>
      <c r="D205" s="42" t="s">
        <v>506</v>
      </c>
      <c r="E205" s="44">
        <v>44186.62677083333</v>
      </c>
    </row>
    <row r="206">
      <c r="A206" s="42"/>
      <c r="B206" s="42" t="s">
        <v>45</v>
      </c>
      <c r="C206" s="43" t="str">
        <f t="shared" ref="C206:C207" si="40">hyperlink("https://au.indeed.com/viewjob?jk=ab314ac19350bdb6","BMS Project Engineer")</f>
        <v>BMS Project Engineer</v>
      </c>
      <c r="D206" s="42" t="s">
        <v>507</v>
      </c>
      <c r="E206" s="44">
        <v>44186.581354166665</v>
      </c>
    </row>
    <row r="207">
      <c r="A207" s="42"/>
      <c r="B207" s="42" t="s">
        <v>45</v>
      </c>
      <c r="C207" s="43" t="str">
        <f t="shared" si="40"/>
        <v>BMS Project Engineer</v>
      </c>
      <c r="D207" s="42" t="s">
        <v>507</v>
      </c>
      <c r="E207" s="44">
        <v>44186.628113425926</v>
      </c>
    </row>
    <row r="208">
      <c r="A208" s="42"/>
      <c r="B208" s="42" t="s">
        <v>36</v>
      </c>
      <c r="C208" s="43" t="str">
        <f t="shared" ref="C208:C209" si="41">hyperlink("https://au.indeed.com/viewjob?jk=e60796b4ad78aa24","Infrastructure Engineer")</f>
        <v>Infrastructure Engineer</v>
      </c>
      <c r="D208" s="42" t="s">
        <v>508</v>
      </c>
      <c r="E208" s="44">
        <v>44186.567824074074</v>
      </c>
    </row>
    <row r="209">
      <c r="A209" s="42"/>
      <c r="B209" s="42" t="s">
        <v>36</v>
      </c>
      <c r="C209" s="43" t="str">
        <f t="shared" si="41"/>
        <v>Infrastructure Engineer</v>
      </c>
      <c r="D209" s="42" t="s">
        <v>508</v>
      </c>
      <c r="E209" s="44">
        <v>44186.62253472222</v>
      </c>
    </row>
    <row r="210">
      <c r="A210" s="42"/>
      <c r="B210" s="42" t="s">
        <v>49</v>
      </c>
      <c r="C210" s="43" t="str">
        <f t="shared" ref="C210:C211" si="42">hyperlink("https://au.indeed.com/viewjob?jk=b00717181e04d23a","Systems Reliability Engineer")</f>
        <v>Systems Reliability Engineer</v>
      </c>
      <c r="D210" s="42" t="s">
        <v>509</v>
      </c>
      <c r="E210" s="44">
        <v>44186.58534722222</v>
      </c>
    </row>
    <row r="211">
      <c r="A211" s="42"/>
      <c r="B211" s="42" t="s">
        <v>49</v>
      </c>
      <c r="C211" s="43" t="str">
        <f t="shared" si="42"/>
        <v>Systems Reliability Engineer</v>
      </c>
      <c r="D211" s="42" t="s">
        <v>509</v>
      </c>
      <c r="E211" s="44">
        <v>44186.62902777778</v>
      </c>
    </row>
    <row r="212">
      <c r="A212" s="42"/>
      <c r="B212" s="42" t="s">
        <v>34</v>
      </c>
      <c r="C212" s="43" t="str">
        <f>hyperlink("https://au.indeed.com/viewjob?jk=cf2ac76317e95663","Senior Civil Engineer Land Development $155x - $140k")</f>
        <v>Senior Civil Engineer Land Development $155x - $140k</v>
      </c>
      <c r="D212" s="42" t="s">
        <v>510</v>
      </c>
      <c r="E212" s="44">
        <v>44186.5659375</v>
      </c>
    </row>
    <row r="213">
      <c r="A213" s="42"/>
      <c r="B213" s="42" t="s">
        <v>45</v>
      </c>
      <c r="C213" s="43" t="str">
        <f>hyperlink("https://au.indeed.com/viewjob?jk=37642472cfb0e3b7","Project Engineer")</f>
        <v>Project Engineer</v>
      </c>
      <c r="D213" s="42" t="s">
        <v>510</v>
      </c>
      <c r="E213" s="44">
        <v>44186.58262731481</v>
      </c>
    </row>
    <row r="214">
      <c r="A214" s="42"/>
      <c r="B214" s="42" t="s">
        <v>34</v>
      </c>
      <c r="C214" s="43" t="str">
        <f>hyperlink("https://au.indeed.com/viewjob?jk=cf2ac76317e95663","Senior Civil Engineer Land Development $155x - $140k")</f>
        <v>Senior Civil Engineer Land Development $155x - $140k</v>
      </c>
      <c r="D214" s="42" t="s">
        <v>510</v>
      </c>
      <c r="E214" s="44">
        <v>44186.62113425926</v>
      </c>
    </row>
    <row r="215">
      <c r="A215" s="42"/>
      <c r="B215" s="42" t="s">
        <v>45</v>
      </c>
      <c r="C215" s="43" t="str">
        <f>hyperlink("https://au.indeed.com/viewjob?jk=37642472cfb0e3b7","Project Engineer")</f>
        <v>Project Engineer</v>
      </c>
      <c r="D215" s="42" t="s">
        <v>510</v>
      </c>
      <c r="E215" s="44">
        <v>44186.628171296295</v>
      </c>
    </row>
    <row r="216">
      <c r="A216" s="42"/>
      <c r="B216" s="42" t="s">
        <v>33</v>
      </c>
      <c r="C216" s="43" t="str">
        <f t="shared" ref="C216:C217" si="43">hyperlink("https://au.indeed.com/viewjob?jk=f1dea5d9081f1b58","Senior Design Engineer")</f>
        <v>Senior Design Engineer</v>
      </c>
      <c r="D216" s="42" t="s">
        <v>511</v>
      </c>
      <c r="E216" s="44">
        <v>44186.561886574076</v>
      </c>
    </row>
    <row r="217">
      <c r="A217" s="42"/>
      <c r="B217" s="42" t="s">
        <v>33</v>
      </c>
      <c r="C217" s="43" t="str">
        <f t="shared" si="43"/>
        <v>Senior Design Engineer</v>
      </c>
      <c r="D217" s="42" t="s">
        <v>511</v>
      </c>
      <c r="E217" s="44">
        <v>44186.61892361111</v>
      </c>
    </row>
    <row r="218">
      <c r="A218" s="42"/>
      <c r="B218" s="42" t="s">
        <v>36</v>
      </c>
      <c r="C218" s="43" t="str">
        <f>hyperlink("https://au.indeed.com/viewjob?jk=8510f12f7b8f2e06","Senior Infrastructure Engineer")</f>
        <v>Senior Infrastructure Engineer</v>
      </c>
      <c r="D218" s="42" t="s">
        <v>512</v>
      </c>
      <c r="E218" s="44">
        <v>44186.56670138889</v>
      </c>
    </row>
    <row r="219">
      <c r="A219" s="42"/>
      <c r="B219" s="42" t="s">
        <v>36</v>
      </c>
      <c r="C219" s="43" t="str">
        <f>hyperlink("https://au.indeed.com/viewjob?jk=e2d265fbbfdc37c0","Principle Infrastructure Engineer Cloud and DevOps")</f>
        <v>Principle Infrastructure Engineer Cloud and DevOps</v>
      </c>
      <c r="D219" s="42" t="s">
        <v>512</v>
      </c>
      <c r="E219" s="44">
        <v>44186.56738425926</v>
      </c>
    </row>
    <row r="220">
      <c r="A220" s="42"/>
      <c r="B220" s="42" t="s">
        <v>36</v>
      </c>
      <c r="C220" s="43" t="str">
        <f>hyperlink("https://au.indeed.com/viewjob?jk=7f9ba3811420828d","Senior Lead Infrastructure Engineer/ Specialist")</f>
        <v>Senior Lead Infrastructure Engineer/ Specialist</v>
      </c>
      <c r="D220" s="42" t="s">
        <v>512</v>
      </c>
      <c r="E220" s="44">
        <v>44186.567465277774</v>
      </c>
    </row>
    <row r="221">
      <c r="A221" s="42"/>
      <c r="B221" s="42" t="s">
        <v>36</v>
      </c>
      <c r="C221" s="43" t="str">
        <f>hyperlink("https://au.indeed.com/viewjob?jk=dd4208e5a3efdeb2","Principle DevOps Infrastructure Engineer")</f>
        <v>Principle DevOps Infrastructure Engineer</v>
      </c>
      <c r="D221" s="42" t="s">
        <v>512</v>
      </c>
      <c r="E221" s="44">
        <v>44186.56822916667</v>
      </c>
    </row>
    <row r="222">
      <c r="A222" s="42"/>
      <c r="B222" s="42" t="s">
        <v>36</v>
      </c>
      <c r="C222" s="43" t="str">
        <f>hyperlink("https://au.indeed.com/viewjob?jk=8510f12f7b8f2e06","Senior Infrastructure Engineer")</f>
        <v>Senior Infrastructure Engineer</v>
      </c>
      <c r="D222" s="42" t="s">
        <v>512</v>
      </c>
      <c r="E222" s="44">
        <v>44186.621828703705</v>
      </c>
    </row>
    <row r="223">
      <c r="A223" s="42"/>
      <c r="B223" s="42" t="s">
        <v>36</v>
      </c>
      <c r="C223" s="43" t="str">
        <f>hyperlink("https://au.indeed.com/viewjob?jk=e2d265fbbfdc37c0","Principle Infrastructure Engineer Cloud and DevOps")</f>
        <v>Principle Infrastructure Engineer Cloud and DevOps</v>
      </c>
      <c r="D223" s="42" t="s">
        <v>512</v>
      </c>
      <c r="E223" s="44">
        <v>44186.622094907405</v>
      </c>
    </row>
    <row r="224">
      <c r="A224" s="42"/>
      <c r="B224" s="42" t="s">
        <v>36</v>
      </c>
      <c r="C224" s="43" t="str">
        <f>hyperlink("https://au.indeed.com/viewjob?jk=7f9ba3811420828d","Senior Lead Infrastructure Engineer/ Specialist")</f>
        <v>Senior Lead Infrastructure Engineer/ Specialist</v>
      </c>
      <c r="D224" s="42" t="s">
        <v>512</v>
      </c>
      <c r="E224" s="44">
        <v>44186.62217592593</v>
      </c>
    </row>
    <row r="225">
      <c r="A225" s="42"/>
      <c r="B225" s="42" t="s">
        <v>36</v>
      </c>
      <c r="C225" s="43" t="str">
        <f>hyperlink("https://au.indeed.com/viewjob?jk=dd4208e5a3efdeb2","Principle DevOps Infrastructure Engineer")</f>
        <v>Principle DevOps Infrastructure Engineer</v>
      </c>
      <c r="D225" s="42" t="s">
        <v>512</v>
      </c>
      <c r="E225" s="44">
        <v>44186.62284722222</v>
      </c>
    </row>
    <row r="226">
      <c r="A226" s="42"/>
      <c r="B226" s="42" t="s">
        <v>45</v>
      </c>
      <c r="C226" s="43" t="str">
        <f t="shared" ref="C226:C227" si="44">hyperlink("https://au.indeed.com/viewjob?jk=4d0272e022b96afe","Senior Project Engineer")</f>
        <v>Senior Project Engineer</v>
      </c>
      <c r="D226" s="42" t="s">
        <v>513</v>
      </c>
      <c r="E226" s="44">
        <v>44186.58128472222</v>
      </c>
    </row>
    <row r="227">
      <c r="A227" s="42"/>
      <c r="B227" s="42" t="s">
        <v>45</v>
      </c>
      <c r="C227" s="43" t="str">
        <f t="shared" si="44"/>
        <v>Senior Project Engineer</v>
      </c>
      <c r="D227" s="42" t="s">
        <v>513</v>
      </c>
      <c r="E227" s="44">
        <v>44186.628067129626</v>
      </c>
    </row>
    <row r="228">
      <c r="A228" s="42"/>
      <c r="B228" s="42" t="s">
        <v>45</v>
      </c>
      <c r="C228" s="43" t="str">
        <f>hyperlink("https://au.indeed.com/viewjob?jk=d2f6c944143332f2","Chief Project Engineer")</f>
        <v>Chief Project Engineer</v>
      </c>
      <c r="D228" s="42" t="s">
        <v>514</v>
      </c>
      <c r="E228" s="44">
        <v>44186.579675925925</v>
      </c>
    </row>
    <row r="229">
      <c r="A229" s="42"/>
      <c r="B229" s="42" t="s">
        <v>45</v>
      </c>
      <c r="C229" s="43" t="str">
        <f>hyperlink("https://au.indeed.com/viewjob?jk=0a7886f2703bdeb1","Project Engineer")</f>
        <v>Project Engineer</v>
      </c>
      <c r="D229" s="42" t="s">
        <v>514</v>
      </c>
      <c r="E229" s="44">
        <v>44186.58320601852</v>
      </c>
    </row>
    <row r="230">
      <c r="A230" s="42"/>
      <c r="B230" s="42" t="s">
        <v>45</v>
      </c>
      <c r="C230" s="43" t="str">
        <f>hyperlink("https://au.indeed.com/viewjob?jk=d2f6c944143332f2","Chief Project Engineer")</f>
        <v>Chief Project Engineer</v>
      </c>
      <c r="D230" s="42" t="s">
        <v>514</v>
      </c>
      <c r="E230" s="44">
        <v>44186.62708333333</v>
      </c>
    </row>
    <row r="231">
      <c r="A231" s="42"/>
      <c r="B231" s="42" t="s">
        <v>45</v>
      </c>
      <c r="C231" s="43" t="str">
        <f>hyperlink("https://au.indeed.com/viewjob?jk=0a7886f2703bdeb1","Project Engineer")</f>
        <v>Project Engineer</v>
      </c>
      <c r="D231" s="42" t="s">
        <v>514</v>
      </c>
      <c r="E231" s="44">
        <v>44186.628275462965</v>
      </c>
    </row>
    <row r="232">
      <c r="A232" s="42"/>
      <c r="B232" s="42" t="s">
        <v>49</v>
      </c>
      <c r="C232" s="43" t="str">
        <f t="shared" ref="C232:C233" si="45">hyperlink("https://au.indeed.com/viewjob?jk=59c0de8b51eb78f6","Site Reliability Engineer")</f>
        <v>Site Reliability Engineer</v>
      </c>
      <c r="D232" s="42" t="s">
        <v>515</v>
      </c>
      <c r="E232" s="44">
        <v>44186.58712962963</v>
      </c>
    </row>
    <row r="233">
      <c r="A233" s="42"/>
      <c r="B233" s="42" t="s">
        <v>49</v>
      </c>
      <c r="C233" s="43" t="str">
        <f t="shared" si="45"/>
        <v>Site Reliability Engineer</v>
      </c>
      <c r="D233" s="42" t="s">
        <v>515</v>
      </c>
      <c r="E233" s="44">
        <v>44186.62982638889</v>
      </c>
    </row>
    <row r="234">
      <c r="A234" s="42"/>
      <c r="B234" s="42" t="s">
        <v>45</v>
      </c>
      <c r="C234" s="43" t="str">
        <f t="shared" ref="C234:C235" si="46">hyperlink("https://au.indeed.com/viewjob?jk=e2382c678f96a77a","Junior Project Engineer")</f>
        <v>Junior Project Engineer</v>
      </c>
      <c r="D234" s="42" t="s">
        <v>516</v>
      </c>
      <c r="E234" s="44">
        <v>44186.58267361111</v>
      </c>
    </row>
    <row r="235">
      <c r="A235" s="42"/>
      <c r="B235" s="42" t="s">
        <v>45</v>
      </c>
      <c r="C235" s="43" t="str">
        <f t="shared" si="46"/>
        <v>Junior Project Engineer</v>
      </c>
      <c r="D235" s="42" t="s">
        <v>516</v>
      </c>
      <c r="E235" s="44">
        <v>44186.62820601852</v>
      </c>
    </row>
    <row r="236">
      <c r="A236" s="42"/>
      <c r="B236" s="42" t="s">
        <v>45</v>
      </c>
      <c r="C236" s="43" t="str">
        <f t="shared" ref="C236:C237" si="47">hyperlink("https://au.indeed.com/viewjob?jk=e3e1d22d35a851fa","Senior Project Engineer")</f>
        <v>Senior Project Engineer</v>
      </c>
      <c r="D236" s="42" t="s">
        <v>517</v>
      </c>
      <c r="E236" s="44">
        <v>44186.58325231481</v>
      </c>
    </row>
    <row r="237">
      <c r="A237" s="42"/>
      <c r="B237" s="42" t="s">
        <v>45</v>
      </c>
      <c r="C237" s="43" t="str">
        <f t="shared" si="47"/>
        <v>Senior Project Engineer</v>
      </c>
      <c r="D237" s="42" t="s">
        <v>517</v>
      </c>
      <c r="E237" s="44">
        <v>44186.62832175926</v>
      </c>
    </row>
    <row r="238">
      <c r="A238" s="42"/>
      <c r="B238" s="42" t="s">
        <v>26</v>
      </c>
      <c r="C238" s="43" t="str">
        <f>hyperlink("https://au.indeed.com/viewjob?jk=56d366757d33198c","Lead Mechanical Engineer")</f>
        <v>Lead Mechanical Engineer</v>
      </c>
      <c r="D238" s="42" t="s">
        <v>518</v>
      </c>
      <c r="E238" s="44">
        <v>44186.55866898148</v>
      </c>
    </row>
    <row r="239">
      <c r="A239" s="42"/>
      <c r="B239" s="42" t="s">
        <v>26</v>
      </c>
      <c r="C239" s="43" t="str">
        <f>hyperlink("https://au.indeed.com/viewjob?jk=d1d94ff1023acd90","Lead Mechanical Engineer")</f>
        <v>Lead Mechanical Engineer</v>
      </c>
      <c r="D239" s="42" t="s">
        <v>518</v>
      </c>
      <c r="E239" s="44">
        <v>44186.55997685185</v>
      </c>
    </row>
    <row r="240">
      <c r="A240" s="42"/>
      <c r="B240" s="42" t="s">
        <v>33</v>
      </c>
      <c r="C240" s="43" t="str">
        <f>hyperlink("https://au.indeed.com/viewjob?jk=46b97aab8ab1e49f","Mechanical Design Engineer")</f>
        <v>Mechanical Design Engineer</v>
      </c>
      <c r="D240" s="42" t="s">
        <v>518</v>
      </c>
      <c r="E240" s="44">
        <v>44186.561631944445</v>
      </c>
    </row>
    <row r="241">
      <c r="A241" s="42"/>
      <c r="B241" s="42" t="s">
        <v>33</v>
      </c>
      <c r="C241" s="43" t="str">
        <f>hyperlink("https://au.indeed.com/viewjob?jk=ea616289f0650c7c","Product Design Engineer")</f>
        <v>Product Design Engineer</v>
      </c>
      <c r="D241" s="42" t="s">
        <v>518</v>
      </c>
      <c r="E241" s="44">
        <v>44186.562048611115</v>
      </c>
    </row>
    <row r="242">
      <c r="A242" s="42"/>
      <c r="B242" s="42" t="s">
        <v>33</v>
      </c>
      <c r="C242" s="43" t="str">
        <f>hyperlink("https://au.indeed.com/viewjob?jk=9a6d19a899dcc1fd","Mechanical Design Engineer")</f>
        <v>Mechanical Design Engineer</v>
      </c>
      <c r="D242" s="42" t="s">
        <v>518</v>
      </c>
      <c r="E242" s="44">
        <v>44186.5625</v>
      </c>
    </row>
    <row r="243">
      <c r="A243" s="42"/>
      <c r="B243" s="42" t="s">
        <v>33</v>
      </c>
      <c r="C243" s="43" t="str">
        <f>hyperlink("https://au.indeed.com/viewjob?jk=26ccc82b0b6887f8","Product Design Engineer")</f>
        <v>Product Design Engineer</v>
      </c>
      <c r="D243" s="42" t="s">
        <v>518</v>
      </c>
      <c r="E243" s="44">
        <v>44186.56340277778</v>
      </c>
    </row>
    <row r="244">
      <c r="A244" s="42"/>
      <c r="B244" s="42" t="s">
        <v>26</v>
      </c>
      <c r="C244" s="43" t="str">
        <f>hyperlink("https://au.indeed.com/viewjob?jk=56d366757d33198c","Lead Mechanical Engineer")</f>
        <v>Lead Mechanical Engineer</v>
      </c>
      <c r="D244" s="42" t="s">
        <v>518</v>
      </c>
      <c r="E244" s="44">
        <v>44186.61738425926</v>
      </c>
    </row>
    <row r="245">
      <c r="A245" s="42"/>
      <c r="B245" s="42" t="s">
        <v>26</v>
      </c>
      <c r="C245" s="43" t="str">
        <f>hyperlink("https://au.indeed.com/viewjob?jk=d1d94ff1023acd90","Lead Mechanical Engineer")</f>
        <v>Lead Mechanical Engineer</v>
      </c>
      <c r="D245" s="42" t="s">
        <v>518</v>
      </c>
      <c r="E245" s="44">
        <v>44186.61752314815</v>
      </c>
    </row>
    <row r="246">
      <c r="A246" s="42"/>
      <c r="B246" s="42" t="s">
        <v>33</v>
      </c>
      <c r="C246" s="43" t="str">
        <f>hyperlink("https://au.indeed.com/viewjob?jk=46b97aab8ab1e49f","Mechanical Design Engineer")</f>
        <v>Mechanical Design Engineer</v>
      </c>
      <c r="D246" s="42" t="s">
        <v>518</v>
      </c>
      <c r="E246" s="44">
        <v>44186.61869212963</v>
      </c>
    </row>
    <row r="247">
      <c r="A247" s="42"/>
      <c r="B247" s="42" t="s">
        <v>33</v>
      </c>
      <c r="C247" s="43" t="str">
        <f>hyperlink("https://au.indeed.com/viewjob?jk=ea616289f0650c7c","Product Design Engineer")</f>
        <v>Product Design Engineer</v>
      </c>
      <c r="D247" s="42" t="s">
        <v>518</v>
      </c>
      <c r="E247" s="44">
        <v>44186.61907407407</v>
      </c>
    </row>
    <row r="248">
      <c r="A248" s="42"/>
      <c r="B248" s="42" t="s">
        <v>33</v>
      </c>
      <c r="C248" s="43" t="str">
        <f>hyperlink("https://au.indeed.com/viewjob?jk=9a6d19a899dcc1fd","Mechanical Design Engineer")</f>
        <v>Mechanical Design Engineer</v>
      </c>
      <c r="D248" s="42" t="s">
        <v>518</v>
      </c>
      <c r="E248" s="44">
        <v>44186.61912037037</v>
      </c>
    </row>
    <row r="249">
      <c r="A249" s="42"/>
      <c r="B249" s="42" t="s">
        <v>33</v>
      </c>
      <c r="C249" s="43" t="str">
        <f>hyperlink("https://au.indeed.com/viewjob?jk=26ccc82b0b6887f8","Product Design Engineer")</f>
        <v>Product Design Engineer</v>
      </c>
      <c r="D249" s="42" t="s">
        <v>518</v>
      </c>
      <c r="E249" s="44">
        <v>44186.61987268519</v>
      </c>
    </row>
    <row r="250">
      <c r="A250" s="42"/>
      <c r="B250" s="42" t="s">
        <v>45</v>
      </c>
      <c r="C250" s="43" t="str">
        <f t="shared" ref="C250:C251" si="48">hyperlink("https://au.indeed.com/viewjob?jk=3ae1e05a57d2f428","Project Engineer - Cross River Rail")</f>
        <v>Project Engineer - Cross River Rail</v>
      </c>
      <c r="D250" s="42" t="s">
        <v>519</v>
      </c>
      <c r="E250" s="44">
        <v>44186.574791666666</v>
      </c>
    </row>
    <row r="251">
      <c r="A251" s="42"/>
      <c r="B251" s="42" t="s">
        <v>45</v>
      </c>
      <c r="C251" s="43" t="str">
        <f t="shared" si="48"/>
        <v>Project Engineer - Cross River Rail</v>
      </c>
      <c r="D251" s="42" t="s">
        <v>519</v>
      </c>
      <c r="E251" s="44">
        <v>44186.62542824074</v>
      </c>
    </row>
    <row r="252">
      <c r="A252" s="42"/>
      <c r="B252" s="42" t="s">
        <v>33</v>
      </c>
      <c r="C252" s="43" t="str">
        <f t="shared" ref="C252:C253" si="49">hyperlink("https://au.indeed.com/viewjob?jk=6b36bc3dd24a6c9a","Senior Product Design Engineer")</f>
        <v>Senior Product Design Engineer</v>
      </c>
      <c r="D252" s="42" t="s">
        <v>520</v>
      </c>
      <c r="E252" s="44">
        <v>44186.564351851855</v>
      </c>
    </row>
    <row r="253">
      <c r="A253" s="42"/>
      <c r="B253" s="42" t="s">
        <v>33</v>
      </c>
      <c r="C253" s="43" t="str">
        <f t="shared" si="49"/>
        <v>Senior Product Design Engineer</v>
      </c>
      <c r="D253" s="42" t="s">
        <v>520</v>
      </c>
      <c r="E253" s="44">
        <v>44186.620416666665</v>
      </c>
    </row>
    <row r="254">
      <c r="A254" s="42"/>
      <c r="B254" s="42" t="s">
        <v>26</v>
      </c>
      <c r="C254" s="43" t="str">
        <f t="shared" ref="C254:C255" si="50">hyperlink("https://au.indeed.com/viewjob?jk=6e2405da587ebd04","Mechanical Engineer")</f>
        <v>Mechanical Engineer</v>
      </c>
      <c r="D254" s="42" t="s">
        <v>521</v>
      </c>
      <c r="E254" s="44">
        <v>44186.560069444444</v>
      </c>
    </row>
    <row r="255">
      <c r="A255" s="42"/>
      <c r="B255" s="42" t="s">
        <v>26</v>
      </c>
      <c r="C255" s="43" t="str">
        <f t="shared" si="50"/>
        <v>Mechanical Engineer</v>
      </c>
      <c r="D255" s="42" t="s">
        <v>521</v>
      </c>
      <c r="E255" s="44">
        <v>44186.61766203704</v>
      </c>
    </row>
    <row r="256">
      <c r="A256" s="42"/>
      <c r="B256" s="42" t="s">
        <v>49</v>
      </c>
      <c r="C256" s="43" t="str">
        <f>hyperlink("https://au.indeed.com/viewjob?jk=7997686a763d16f6","Graduate Site Reliability Engineer")</f>
        <v>Graduate Site Reliability Engineer</v>
      </c>
      <c r="D256" s="42" t="s">
        <v>522</v>
      </c>
      <c r="E256" s="44">
        <v>44186.58662037037</v>
      </c>
    </row>
    <row r="257">
      <c r="A257" s="42"/>
      <c r="B257" s="42" t="s">
        <v>49</v>
      </c>
      <c r="C257" s="43" t="str">
        <f>hyperlink("https://au.indeed.com/viewjob?jk=6bdb159386e828c8","Site Reliability Engineer")</f>
        <v>Site Reliability Engineer</v>
      </c>
      <c r="D257" s="42" t="s">
        <v>522</v>
      </c>
      <c r="E257" s="44">
        <v>44186.58721064815</v>
      </c>
    </row>
    <row r="258">
      <c r="A258" s="42"/>
      <c r="B258" s="42" t="s">
        <v>49</v>
      </c>
      <c r="C258" s="43" t="str">
        <f>hyperlink("https://au.indeed.com/viewjob?jk=75ba22a6cdbc9ad9","Site Reliability Engineer")</f>
        <v>Site Reliability Engineer</v>
      </c>
      <c r="D258" s="42" t="s">
        <v>522</v>
      </c>
      <c r="E258" s="44">
        <v>44186.58725694445</v>
      </c>
    </row>
    <row r="259">
      <c r="A259" s="42"/>
      <c r="B259" s="42" t="s">
        <v>49</v>
      </c>
      <c r="C259" s="43" t="str">
        <f>hyperlink("https://au.indeed.com/viewjob?jk=7997686a763d16f6","Graduate Site Reliability Engineer")</f>
        <v>Graduate Site Reliability Engineer</v>
      </c>
      <c r="D259" s="42" t="s">
        <v>522</v>
      </c>
      <c r="E259" s="44">
        <v>44186.6297337963</v>
      </c>
    </row>
    <row r="260">
      <c r="A260" s="42"/>
      <c r="B260" s="42" t="s">
        <v>49</v>
      </c>
      <c r="C260" s="43" t="str">
        <f>hyperlink("https://au.indeed.com/viewjob?jk=6bdb159386e828c8","Site Reliability Engineer")</f>
        <v>Site Reliability Engineer</v>
      </c>
      <c r="D260" s="42" t="s">
        <v>522</v>
      </c>
      <c r="E260" s="44">
        <v>44186.629895833335</v>
      </c>
    </row>
    <row r="261">
      <c r="A261" s="42"/>
      <c r="B261" s="42" t="s">
        <v>49</v>
      </c>
      <c r="C261" s="43" t="str">
        <f>hyperlink("https://au.indeed.com/viewjob?jk=75ba22a6cdbc9ad9","Site Reliability Engineer")</f>
        <v>Site Reliability Engineer</v>
      </c>
      <c r="D261" s="42" t="s">
        <v>522</v>
      </c>
      <c r="E261" s="44">
        <v>44186.62994212963</v>
      </c>
    </row>
    <row r="262">
      <c r="A262" s="42"/>
      <c r="B262" s="42" t="s">
        <v>54</v>
      </c>
      <c r="C262" s="43" t="str">
        <f>hyperlink("https://au.indeed.com/viewjob?jk=29616298127a7084","Principal Product Engineer")</f>
        <v>Principal Product Engineer</v>
      </c>
      <c r="D262" s="42" t="s">
        <v>523</v>
      </c>
      <c r="E262" s="44">
        <v>44186.59295138889</v>
      </c>
    </row>
    <row r="263">
      <c r="A263" s="42"/>
      <c r="B263" s="42" t="s">
        <v>54</v>
      </c>
      <c r="C263" s="43" t="str">
        <f>hyperlink("https://au.indeed.com/viewjob?jk=c2ea7c7c59717a98","Principal Product Engineer")</f>
        <v>Principal Product Engineer</v>
      </c>
      <c r="D263" s="42" t="s">
        <v>523</v>
      </c>
      <c r="E263" s="44">
        <v>44186.593090277776</v>
      </c>
    </row>
    <row r="264">
      <c r="A264" s="42"/>
      <c r="B264" s="42" t="s">
        <v>54</v>
      </c>
      <c r="C264" s="43" t="str">
        <f>hyperlink("https://au.indeed.com/viewjob?jk=1cf18b3a9c1a693e","Senior Product Engineer")</f>
        <v>Senior Product Engineer</v>
      </c>
      <c r="D264" s="42" t="s">
        <v>523</v>
      </c>
      <c r="E264" s="44">
        <v>44186.593148148146</v>
      </c>
    </row>
    <row r="265">
      <c r="A265" s="42"/>
      <c r="B265" s="42" t="s">
        <v>54</v>
      </c>
      <c r="C265" s="43" t="str">
        <f>hyperlink("https://au.indeed.com/viewjob?jk=29616298127a7084","Principal Product Engineer")</f>
        <v>Principal Product Engineer</v>
      </c>
      <c r="D265" s="42" t="s">
        <v>523</v>
      </c>
      <c r="E265" s="44">
        <v>44186.631516203706</v>
      </c>
    </row>
    <row r="266">
      <c r="A266" s="42"/>
      <c r="B266" s="42" t="s">
        <v>54</v>
      </c>
      <c r="C266" s="43" t="str">
        <f>hyperlink("https://au.indeed.com/viewjob?jk=c2ea7c7c59717a98","Principal Product Engineer")</f>
        <v>Principal Product Engineer</v>
      </c>
      <c r="D266" s="42" t="s">
        <v>523</v>
      </c>
      <c r="E266" s="44">
        <v>44186.63165509259</v>
      </c>
    </row>
    <row r="267">
      <c r="A267" s="42"/>
      <c r="B267" s="42" t="s">
        <v>54</v>
      </c>
      <c r="C267" s="43" t="str">
        <f>hyperlink("https://au.indeed.com/viewjob?jk=1cf18b3a9c1a693e","Senior Product Engineer")</f>
        <v>Senior Product Engineer</v>
      </c>
      <c r="D267" s="42" t="s">
        <v>523</v>
      </c>
      <c r="E267" s="44">
        <v>44186.63170138889</v>
      </c>
    </row>
    <row r="268">
      <c r="A268" s="42"/>
      <c r="B268" s="42" t="s">
        <v>45</v>
      </c>
      <c r="C268" s="43" t="str">
        <f t="shared" ref="C268:C269" si="51">hyperlink("https://au.indeed.com/viewjob?jk=4b308ba4982f4fca","Project Engineer")</f>
        <v>Project Engineer</v>
      </c>
      <c r="D268" s="42" t="s">
        <v>524</v>
      </c>
      <c r="E268" s="44">
        <v>44186.57052083333</v>
      </c>
    </row>
    <row r="269">
      <c r="A269" s="42"/>
      <c r="B269" s="42" t="s">
        <v>45</v>
      </c>
      <c r="C269" s="43" t="str">
        <f t="shared" si="51"/>
        <v>Project Engineer</v>
      </c>
      <c r="D269" s="42" t="s">
        <v>524</v>
      </c>
      <c r="E269" s="44">
        <v>44186.62385416667</v>
      </c>
    </row>
    <row r="270">
      <c r="A270" s="42"/>
      <c r="B270" s="42" t="s">
        <v>49</v>
      </c>
      <c r="C270" s="43" t="str">
        <f t="shared" ref="C270:C271" si="52">hyperlink("https://au.indeed.com/viewjob?jk=72419708d2feb41f","Staff Site Reliability Engineer - Federal")</f>
        <v>Staff Site Reliability Engineer - Federal</v>
      </c>
      <c r="D270" s="42" t="s">
        <v>525</v>
      </c>
      <c r="E270" s="44">
        <v>44186.58409722222</v>
      </c>
    </row>
    <row r="271">
      <c r="A271" s="42"/>
      <c r="B271" s="42" t="s">
        <v>49</v>
      </c>
      <c r="C271" s="43" t="str">
        <f t="shared" si="52"/>
        <v>Staff Site Reliability Engineer - Federal</v>
      </c>
      <c r="D271" s="42" t="s">
        <v>525</v>
      </c>
      <c r="E271" s="44">
        <v>44186.62866898148</v>
      </c>
    </row>
    <row r="272">
      <c r="A272" s="42"/>
      <c r="B272" s="42" t="s">
        <v>45</v>
      </c>
      <c r="C272" s="43" t="str">
        <f>hyperlink("https://au.indeed.com/viewjob?jk=e802137947bec24a","Project Engineer")</f>
        <v>Project Engineer</v>
      </c>
      <c r="D272" s="42" t="s">
        <v>526</v>
      </c>
      <c r="E272" s="44">
        <v>44186.57380787037</v>
      </c>
    </row>
    <row r="273">
      <c r="A273" s="42"/>
      <c r="B273" s="42" t="s">
        <v>51</v>
      </c>
      <c r="C273" s="43" t="str">
        <f>hyperlink("https://au.indeed.com/viewjob?jk=35a8005e8e907ed2","Site Engineer")</f>
        <v>Site Engineer</v>
      </c>
      <c r="D273" s="42" t="s">
        <v>526</v>
      </c>
      <c r="E273" s="44">
        <v>44186.590578703705</v>
      </c>
    </row>
    <row r="274">
      <c r="A274" s="42"/>
      <c r="B274" s="42" t="s">
        <v>45</v>
      </c>
      <c r="C274" s="43" t="str">
        <f>hyperlink("https://au.indeed.com/viewjob?jk=e802137947bec24a","Project Engineer")</f>
        <v>Project Engineer</v>
      </c>
      <c r="D274" s="42" t="s">
        <v>526</v>
      </c>
      <c r="E274" s="44">
        <v>44186.62443287037</v>
      </c>
    </row>
    <row r="275">
      <c r="A275" s="42"/>
      <c r="B275" s="42" t="s">
        <v>51</v>
      </c>
      <c r="C275" s="43" t="str">
        <f>hyperlink("https://au.indeed.com/viewjob?jk=35a8005e8e907ed2","Site Engineer")</f>
        <v>Site Engineer</v>
      </c>
      <c r="D275" s="42" t="s">
        <v>526</v>
      </c>
      <c r="E275" s="44">
        <v>44186.631053240744</v>
      </c>
    </row>
    <row r="276">
      <c r="A276" s="42"/>
      <c r="B276" s="42" t="s">
        <v>49</v>
      </c>
      <c r="C276" s="43" t="str">
        <f t="shared" ref="C276:C277" si="53">hyperlink("https://au.indeed.com/viewjob?jk=2a9aa74fd7a8e08d","Site Reliability Engineer (remote)")</f>
        <v>Site Reliability Engineer (remote)</v>
      </c>
      <c r="D276" s="42" t="s">
        <v>527</v>
      </c>
      <c r="E276" s="44">
        <v>44186.58834490741</v>
      </c>
    </row>
    <row r="277">
      <c r="A277" s="42"/>
      <c r="B277" s="42" t="s">
        <v>49</v>
      </c>
      <c r="C277" s="43" t="str">
        <f t="shared" si="53"/>
        <v>Site Reliability Engineer (remote)</v>
      </c>
      <c r="D277" s="42" t="s">
        <v>527</v>
      </c>
      <c r="E277" s="44">
        <v>44186.63017361111</v>
      </c>
    </row>
    <row r="278">
      <c r="A278" s="42"/>
      <c r="B278" s="42" t="s">
        <v>26</v>
      </c>
      <c r="C278" s="43" t="str">
        <f t="shared" ref="C278:C279" si="54">hyperlink("https://au.indeed.com/viewjob?jk=2d346696011626ca","Senior Rolling Stock Engineer - Mechanical")</f>
        <v>Senior Rolling Stock Engineer - Mechanical</v>
      </c>
      <c r="D278" s="42" t="s">
        <v>456</v>
      </c>
      <c r="E278" s="44">
        <v>44186.55863425926</v>
      </c>
    </row>
    <row r="279">
      <c r="A279" s="42"/>
      <c r="B279" s="42" t="s">
        <v>26</v>
      </c>
      <c r="C279" s="43" t="str">
        <f t="shared" si="54"/>
        <v>Senior Rolling Stock Engineer - Mechanical</v>
      </c>
      <c r="D279" s="42" t="s">
        <v>456</v>
      </c>
      <c r="E279" s="44">
        <v>44186.61734953704</v>
      </c>
    </row>
    <row r="280">
      <c r="A280" s="42"/>
      <c r="B280" s="42" t="s">
        <v>26</v>
      </c>
      <c r="C280" s="43" t="str">
        <f t="shared" ref="C280:C281" si="55">hyperlink("https://au.indeed.com/viewjob?jk=ce45184e67dfa91d","Fitter General / Mechanical Engineer")</f>
        <v>Fitter General / Mechanical Engineer</v>
      </c>
      <c r="D280" s="42" t="s">
        <v>528</v>
      </c>
      <c r="E280" s="44">
        <v>44186.56010416667</v>
      </c>
    </row>
    <row r="281">
      <c r="A281" s="42"/>
      <c r="B281" s="42" t="s">
        <v>26</v>
      </c>
      <c r="C281" s="43" t="str">
        <f t="shared" si="55"/>
        <v>Fitter General / Mechanical Engineer</v>
      </c>
      <c r="D281" s="42" t="s">
        <v>528</v>
      </c>
      <c r="E281" s="44">
        <v>44186.61761574074</v>
      </c>
    </row>
    <row r="282">
      <c r="A282" s="42"/>
      <c r="B282" s="42" t="s">
        <v>45</v>
      </c>
      <c r="C282" s="43" t="str">
        <f t="shared" ref="C282:C283" si="56">hyperlink("https://au.indeed.com/viewjob?jk=326fe651d7eefab7","Project Engineer")</f>
        <v>Project Engineer</v>
      </c>
      <c r="D282" s="42" t="s">
        <v>529</v>
      </c>
      <c r="E282" s="44">
        <v>44186.572800925926</v>
      </c>
    </row>
    <row r="283">
      <c r="A283" s="42"/>
      <c r="B283" s="42" t="s">
        <v>45</v>
      </c>
      <c r="C283" s="43" t="str">
        <f t="shared" si="56"/>
        <v>Project Engineer</v>
      </c>
      <c r="D283" s="42" t="s">
        <v>529</v>
      </c>
      <c r="E283" s="44">
        <v>44186.62432870371</v>
      </c>
    </row>
    <row r="284">
      <c r="A284" s="42"/>
      <c r="B284" s="42" t="s">
        <v>45</v>
      </c>
      <c r="C284" s="43" t="str">
        <f t="shared" ref="C284:C285" si="57">hyperlink("https://au.indeed.com/viewjob?jk=fea116918cc7284b","Project Engineer")</f>
        <v>Project Engineer</v>
      </c>
      <c r="D284" s="42" t="s">
        <v>530</v>
      </c>
      <c r="E284" s="44">
        <v>44186.57445601852</v>
      </c>
    </row>
    <row r="285">
      <c r="A285" s="42"/>
      <c r="B285" s="42" t="s">
        <v>45</v>
      </c>
      <c r="C285" s="43" t="str">
        <f t="shared" si="57"/>
        <v>Project Engineer</v>
      </c>
      <c r="D285" s="42" t="s">
        <v>530</v>
      </c>
      <c r="E285" s="44">
        <v>44186.624930555554</v>
      </c>
    </row>
    <row r="286">
      <c r="A286" s="42"/>
      <c r="B286" s="42" t="s">
        <v>54</v>
      </c>
      <c r="C286" s="43" t="str">
        <f t="shared" ref="C286:C287" si="58">hyperlink("https://au.indeed.com/viewjob?jk=fd275adb012f8df3","DevOps/Product Engineer/Developer")</f>
        <v>DevOps/Product Engineer/Developer</v>
      </c>
      <c r="D286" s="42" t="s">
        <v>531</v>
      </c>
      <c r="E286" s="44">
        <v>44186.592997685184</v>
      </c>
    </row>
    <row r="287">
      <c r="A287" s="42"/>
      <c r="B287" s="42" t="s">
        <v>54</v>
      </c>
      <c r="C287" s="43" t="str">
        <f t="shared" si="58"/>
        <v>DevOps/Product Engineer/Developer</v>
      </c>
      <c r="D287" s="42" t="s">
        <v>531</v>
      </c>
      <c r="E287" s="44">
        <v>44186.6315625</v>
      </c>
    </row>
    <row r="288">
      <c r="A288" s="42"/>
      <c r="B288" s="42" t="s">
        <v>26</v>
      </c>
      <c r="C288" s="43" t="str">
        <f>hyperlink("https://au.indeed.com/viewjob?jk=7048c1fc4f314e7e","Mechanical Engineer")</f>
        <v>Mechanical Engineer</v>
      </c>
      <c r="D288" s="42" t="s">
        <v>532</v>
      </c>
      <c r="E288" s="44">
        <v>44186.560208333336</v>
      </c>
    </row>
    <row r="289">
      <c r="A289" s="42"/>
      <c r="B289" s="42" t="s">
        <v>45</v>
      </c>
      <c r="C289" s="43" t="str">
        <f>hyperlink("https://au.indeed.com/viewjob?jk=e0950cf5c0b8482b","Project Engineer")</f>
        <v>Project Engineer</v>
      </c>
      <c r="D289" s="42" t="s">
        <v>532</v>
      </c>
      <c r="E289" s="44">
        <v>44186.57488425926</v>
      </c>
    </row>
    <row r="290">
      <c r="A290" s="42"/>
      <c r="B290" s="42" t="s">
        <v>26</v>
      </c>
      <c r="C290" s="43" t="str">
        <f>hyperlink("https://au.indeed.com/viewjob?jk=7048c1fc4f314e7e","Mechanical Engineer")</f>
        <v>Mechanical Engineer</v>
      </c>
      <c r="D290" s="42" t="s">
        <v>532</v>
      </c>
      <c r="E290" s="44">
        <v>44186.617743055554</v>
      </c>
    </row>
    <row r="291">
      <c r="A291" s="42"/>
      <c r="B291" s="42" t="s">
        <v>45</v>
      </c>
      <c r="C291" s="43" t="str">
        <f>hyperlink("https://au.indeed.com/viewjob?jk=e0950cf5c0b8482b","Project Engineer")</f>
        <v>Project Engineer</v>
      </c>
      <c r="D291" s="42" t="s">
        <v>532</v>
      </c>
      <c r="E291" s="44">
        <v>44186.62552083333</v>
      </c>
    </row>
    <row r="292">
      <c r="A292" s="42"/>
      <c r="B292" s="42" t="s">
        <v>36</v>
      </c>
      <c r="C292" s="43" t="str">
        <f t="shared" ref="C292:C293" si="59">hyperlink("https://au.indeed.com/viewjob?jk=5f1222c4b0115bc1","Infrastructure Engineer")</f>
        <v>Infrastructure Engineer</v>
      </c>
      <c r="D292" s="42" t="s">
        <v>533</v>
      </c>
      <c r="E292" s="44">
        <v>44186.56753472222</v>
      </c>
    </row>
    <row r="293">
      <c r="A293" s="42"/>
      <c r="B293" s="42" t="s">
        <v>36</v>
      </c>
      <c r="C293" s="43" t="str">
        <f t="shared" si="59"/>
        <v>Infrastructure Engineer</v>
      </c>
      <c r="D293" s="42" t="s">
        <v>533</v>
      </c>
      <c r="E293" s="44">
        <v>44186.622245370374</v>
      </c>
    </row>
    <row r="294">
      <c r="A294" s="42"/>
      <c r="B294" s="42" t="s">
        <v>36</v>
      </c>
      <c r="C294" s="43" t="str">
        <f t="shared" ref="C294:C295" si="60">hyperlink("https://au.indeed.com/viewjob?jk=3c9898f57b914c99","Infrastructure Engineer")</f>
        <v>Infrastructure Engineer</v>
      </c>
      <c r="D294" s="42" t="s">
        <v>534</v>
      </c>
      <c r="E294" s="44">
        <v>44186.56684027778</v>
      </c>
    </row>
    <row r="295">
      <c r="A295" s="42"/>
      <c r="B295" s="42" t="s">
        <v>36</v>
      </c>
      <c r="C295" s="43" t="str">
        <f t="shared" si="60"/>
        <v>Infrastructure Engineer</v>
      </c>
      <c r="D295" s="42" t="s">
        <v>534</v>
      </c>
      <c r="E295" s="44">
        <v>44186.62196759259</v>
      </c>
    </row>
    <row r="296">
      <c r="A296" s="42"/>
      <c r="B296" s="42" t="s">
        <v>43</v>
      </c>
      <c r="C296" s="43" t="str">
        <f>hyperlink("https://au.indeed.com/viewjob?jk=3f145679a164cc21","Project Controls Engineer")</f>
        <v>Project Controls Engineer</v>
      </c>
      <c r="D296" s="42" t="s">
        <v>535</v>
      </c>
      <c r="E296" s="44">
        <v>44186.57042824074</v>
      </c>
    </row>
    <row r="297">
      <c r="A297" s="42"/>
      <c r="B297" s="42" t="s">
        <v>45</v>
      </c>
      <c r="C297" s="43" t="str">
        <f>hyperlink("https://au.indeed.com/viewjob?jk=33588361a3123230","Project Engineer Civil")</f>
        <v>Project Engineer Civil</v>
      </c>
      <c r="D297" s="42" t="s">
        <v>535</v>
      </c>
      <c r="E297" s="44">
        <v>44186.57152777778</v>
      </c>
    </row>
    <row r="298">
      <c r="A298" s="42"/>
      <c r="B298" s="42" t="s">
        <v>45</v>
      </c>
      <c r="C298" s="43" t="str">
        <f>hyperlink("https://au.indeed.com/viewjob?jk=fdeec6085ff415df","Civil Project Engineer")</f>
        <v>Civil Project Engineer</v>
      </c>
      <c r="D298" s="42" t="s">
        <v>535</v>
      </c>
      <c r="E298" s="44">
        <v>44186.57197916666</v>
      </c>
    </row>
    <row r="299">
      <c r="A299" s="42"/>
      <c r="B299" s="42" t="s">
        <v>43</v>
      </c>
      <c r="C299" s="43" t="str">
        <f>hyperlink("https://au.indeed.com/viewjob?jk=3f145679a164cc21","Project Controls Engineer")</f>
        <v>Project Controls Engineer</v>
      </c>
      <c r="D299" s="42" t="s">
        <v>535</v>
      </c>
      <c r="E299" s="44">
        <v>44186.623773148145</v>
      </c>
    </row>
    <row r="300">
      <c r="A300" s="42"/>
      <c r="B300" s="42" t="s">
        <v>45</v>
      </c>
      <c r="C300" s="43" t="str">
        <f>hyperlink("https://au.indeed.com/viewjob?jk=33588361a3123230","Project Engineer Civil")</f>
        <v>Project Engineer Civil</v>
      </c>
      <c r="D300" s="42" t="s">
        <v>535</v>
      </c>
      <c r="E300" s="44">
        <v>44186.62395833333</v>
      </c>
    </row>
    <row r="301">
      <c r="A301" s="42"/>
      <c r="B301" s="42" t="s">
        <v>45</v>
      </c>
      <c r="C301" s="43" t="str">
        <f>hyperlink("https://au.indeed.com/viewjob?jk=fdeec6085ff415df","Civil Project Engineer")</f>
        <v>Civil Project Engineer</v>
      </c>
      <c r="D301" s="42" t="s">
        <v>535</v>
      </c>
      <c r="E301" s="44">
        <v>44186.62400462963</v>
      </c>
    </row>
    <row r="302">
      <c r="A302" s="42"/>
      <c r="B302" s="42" t="s">
        <v>49</v>
      </c>
      <c r="C302" s="43" t="str">
        <f t="shared" ref="C302:C303" si="61">hyperlink("https://au.indeed.com/viewjob?jk=335ef7e22af903e2","Site Reliability Engineer")</f>
        <v>Site Reliability Engineer</v>
      </c>
      <c r="D302" s="42" t="s">
        <v>536</v>
      </c>
      <c r="E302" s="44">
        <v>44186.58337962963</v>
      </c>
    </row>
    <row r="303">
      <c r="A303" s="42"/>
      <c r="B303" s="42" t="s">
        <v>49</v>
      </c>
      <c r="C303" s="43" t="str">
        <f t="shared" si="61"/>
        <v>Site Reliability Engineer</v>
      </c>
      <c r="D303" s="42" t="s">
        <v>536</v>
      </c>
      <c r="E303" s="44">
        <v>44186.628483796296</v>
      </c>
    </row>
    <row r="304">
      <c r="A304" s="42"/>
      <c r="B304" s="42" t="s">
        <v>45</v>
      </c>
      <c r="C304" s="43" t="str">
        <f t="shared" ref="C304:C305" si="62">hyperlink("https://au.indeed.com/viewjob?jk=68c55df1c2a889b1","Project Engineers")</f>
        <v>Project Engineers</v>
      </c>
      <c r="D304" s="42" t="s">
        <v>537</v>
      </c>
      <c r="E304" s="44">
        <v>44186.57334490741</v>
      </c>
    </row>
    <row r="305">
      <c r="A305" s="42"/>
      <c r="B305" s="42" t="s">
        <v>45</v>
      </c>
      <c r="C305" s="43" t="str">
        <f t="shared" si="62"/>
        <v>Project Engineers</v>
      </c>
      <c r="D305" s="42" t="s">
        <v>537</v>
      </c>
      <c r="E305" s="44">
        <v>44186.624386574076</v>
      </c>
    </row>
    <row r="306">
      <c r="A306" s="42"/>
      <c r="B306" s="42" t="s">
        <v>33</v>
      </c>
      <c r="C306" s="43" t="str">
        <f t="shared" ref="C306:C307" si="63">hyperlink("https://au.indeed.com/viewjob?jk=c4f03d7878cf71c6","DC Design Engineer")</f>
        <v>DC Design Engineer</v>
      </c>
      <c r="D306" s="42" t="s">
        <v>538</v>
      </c>
      <c r="E306" s="44">
        <v>44186.56451388889</v>
      </c>
    </row>
    <row r="307">
      <c r="A307" s="42"/>
      <c r="B307" s="42" t="s">
        <v>33</v>
      </c>
      <c r="C307" s="43" t="str">
        <f t="shared" si="63"/>
        <v>DC Design Engineer</v>
      </c>
      <c r="D307" s="42" t="s">
        <v>538</v>
      </c>
      <c r="E307" s="44">
        <v>44186.6205787037</v>
      </c>
    </row>
    <row r="308">
      <c r="A308" s="42"/>
      <c r="B308" s="42" t="s">
        <v>43</v>
      </c>
      <c r="C308" s="43" t="str">
        <f t="shared" ref="C308:C309" si="64">hyperlink("https://au.indeed.com/viewjob?jk=19cc96020fb5262f","Project Controls Engineer, Transport")</f>
        <v>Project Controls Engineer, Transport</v>
      </c>
      <c r="D308" s="42" t="s">
        <v>539</v>
      </c>
      <c r="E308" s="44">
        <v>44186.570381944446</v>
      </c>
    </row>
    <row r="309">
      <c r="A309" s="42"/>
      <c r="B309" s="42" t="s">
        <v>43</v>
      </c>
      <c r="C309" s="43" t="str">
        <f t="shared" si="64"/>
        <v>Project Controls Engineer, Transport</v>
      </c>
      <c r="D309" s="42" t="s">
        <v>539</v>
      </c>
      <c r="E309" s="44">
        <v>44186.623703703706</v>
      </c>
    </row>
    <row r="310">
      <c r="A310" s="42"/>
      <c r="B310" s="42" t="s">
        <v>45</v>
      </c>
      <c r="C310" s="43" t="str">
        <f>hyperlink("https://au.indeed.com/viewjob?jk=b52388bdec501ccd","Project Engineer")</f>
        <v>Project Engineer</v>
      </c>
      <c r="D310" s="42" t="s">
        <v>540</v>
      </c>
      <c r="E310" s="44">
        <v>44186.57475694444</v>
      </c>
    </row>
    <row r="311">
      <c r="A311" s="42"/>
      <c r="B311" s="42" t="s">
        <v>45</v>
      </c>
      <c r="C311" s="43" t="str">
        <f>hyperlink("https://au.indeed.com/viewjob?jk=cb1cd4dbedac69d2","Senior Project Engineer - Concrete / FRP")</f>
        <v>Senior Project Engineer - Concrete / FRP</v>
      </c>
      <c r="D311" s="42" t="s">
        <v>540</v>
      </c>
      <c r="E311" s="44">
        <v>44186.5790162037</v>
      </c>
    </row>
    <row r="312">
      <c r="A312" s="42"/>
      <c r="B312" s="42" t="s">
        <v>45</v>
      </c>
      <c r="C312" s="43" t="str">
        <f>hyperlink("https://au.indeed.com/viewjob?jk=b52388bdec501ccd","Project Engineer")</f>
        <v>Project Engineer</v>
      </c>
      <c r="D312" s="42" t="s">
        <v>540</v>
      </c>
      <c r="E312" s="44">
        <v>44186.62538194445</v>
      </c>
    </row>
    <row r="313">
      <c r="A313" s="42"/>
      <c r="B313" s="42" t="s">
        <v>45</v>
      </c>
      <c r="C313" s="43" t="str">
        <f>hyperlink("https://au.indeed.com/viewjob?jk=cb1cd4dbedac69d2","Senior Project Engineer - Concrete / FRP")</f>
        <v>Senior Project Engineer - Concrete / FRP</v>
      </c>
      <c r="D313" s="42" t="s">
        <v>540</v>
      </c>
      <c r="E313" s="44">
        <v>44186.62684027778</v>
      </c>
    </row>
    <row r="314">
      <c r="A314" s="42"/>
      <c r="B314" s="42" t="s">
        <v>45</v>
      </c>
      <c r="C314" s="43" t="str">
        <f>hyperlink("https://au.indeed.com/viewjob?jk=7d720e2c8c4a67b8","Senior Project Engineer - Concrete / FRP")</f>
        <v>Senior Project Engineer - Concrete / FRP</v>
      </c>
      <c r="D314" s="42" t="s">
        <v>541</v>
      </c>
      <c r="E314" s="44">
        <v>44186.58039351852</v>
      </c>
    </row>
    <row r="315">
      <c r="A315" s="42"/>
      <c r="B315" s="42" t="s">
        <v>45</v>
      </c>
      <c r="C315" s="43" t="str">
        <f t="shared" ref="C315:C316" si="65">hyperlink("https://au.indeed.com/viewjob?jk=d6628d30482699da","Project Engineer")</f>
        <v>Project Engineer</v>
      </c>
      <c r="D315" s="42" t="s">
        <v>541</v>
      </c>
      <c r="E315" s="44">
        <v>44186.582719907405</v>
      </c>
    </row>
    <row r="316">
      <c r="A316" s="42"/>
      <c r="B316" s="42" t="s">
        <v>45</v>
      </c>
      <c r="C316" s="43" t="str">
        <f t="shared" si="65"/>
        <v>Project Engineer</v>
      </c>
      <c r="D316" s="42" t="s">
        <v>541</v>
      </c>
      <c r="E316" s="44">
        <v>44186.6253125</v>
      </c>
    </row>
    <row r="317">
      <c r="A317" s="42"/>
      <c r="B317" s="42" t="s">
        <v>45</v>
      </c>
      <c r="C317" s="43" t="str">
        <f>hyperlink("https://au.indeed.com/viewjob?jk=7d720e2c8c4a67b8","Senior Project Engineer - Concrete / FRP")</f>
        <v>Senior Project Engineer - Concrete / FRP</v>
      </c>
      <c r="D317" s="42" t="s">
        <v>541</v>
      </c>
      <c r="E317" s="44">
        <v>44186.62747685185</v>
      </c>
    </row>
    <row r="318">
      <c r="A318" s="42"/>
      <c r="B318" s="42" t="s">
        <v>49</v>
      </c>
      <c r="C318" s="43" t="str">
        <f t="shared" ref="C318:C319" si="66">hyperlink("https://au.indeed.com/viewjob?jk=3eb4e4de00f79bfa","Site Reliability Engineer")</f>
        <v>Site Reliability Engineer</v>
      </c>
      <c r="D318" s="42" t="s">
        <v>542</v>
      </c>
      <c r="E318" s="44">
        <v>44186.58550925926</v>
      </c>
    </row>
    <row r="319">
      <c r="A319" s="42"/>
      <c r="B319" s="42" t="s">
        <v>49</v>
      </c>
      <c r="C319" s="43" t="str">
        <f t="shared" si="66"/>
        <v>Site Reliability Engineer</v>
      </c>
      <c r="D319" s="42" t="s">
        <v>542</v>
      </c>
      <c r="E319" s="44">
        <v>44186.62912037037</v>
      </c>
    </row>
    <row r="320">
      <c r="A320" s="42"/>
      <c r="B320" s="42" t="s">
        <v>45</v>
      </c>
      <c r="C320" s="43" t="str">
        <f t="shared" ref="C320:C321" si="67">hyperlink("https://au.indeed.com/viewjob?jk=1dfa7484f80e1b48","Project Engineer - Cranes &amp; Hoists")</f>
        <v>Project Engineer - Cranes &amp; Hoists</v>
      </c>
      <c r="D320" s="42" t="s">
        <v>543</v>
      </c>
      <c r="E320" s="44">
        <v>44186.572858796295</v>
      </c>
    </row>
    <row r="321">
      <c r="A321" s="42"/>
      <c r="B321" s="42" t="s">
        <v>45</v>
      </c>
      <c r="C321" s="43" t="str">
        <f t="shared" si="67"/>
        <v>Project Engineer - Cranes &amp; Hoists</v>
      </c>
      <c r="D321" s="42" t="s">
        <v>543</v>
      </c>
      <c r="E321" s="44">
        <v>44186.627118055556</v>
      </c>
    </row>
    <row r="322">
      <c r="A322" s="42"/>
      <c r="B322" s="42" t="s">
        <v>49</v>
      </c>
      <c r="C322" s="43" t="str">
        <f t="shared" ref="C322:C323" si="68">hyperlink("https://au.indeed.com/viewjob?jk=af69ec11b2694557","Site Reliability Engineer")</f>
        <v>Site Reliability Engineer</v>
      </c>
      <c r="D322" s="42"/>
      <c r="E322" s="44">
        <v>44186.58788194445</v>
      </c>
    </row>
    <row r="323">
      <c r="A323" s="42"/>
      <c r="B323" s="42" t="s">
        <v>49</v>
      </c>
      <c r="C323" s="43" t="str">
        <f t="shared" si="68"/>
        <v>Site Reliability Engineer</v>
      </c>
      <c r="D323" s="42"/>
      <c r="E323" s="44">
        <v>44186.63012731481</v>
      </c>
    </row>
    <row r="324">
      <c r="A324" s="42"/>
      <c r="B324" s="42" t="s">
        <v>26</v>
      </c>
      <c r="C324" s="43" t="str">
        <f>hyperlink("https://au.indeed.com/viewjob?jk=9ac01c142b59da26","Senior Mechanical Engineer - Data Centre")</f>
        <v>Senior Mechanical Engineer - Data Centre</v>
      </c>
      <c r="D324" s="42" t="s">
        <v>459</v>
      </c>
      <c r="E324" s="44">
        <v>44188.739282407405</v>
      </c>
    </row>
    <row r="325">
      <c r="A325" s="42"/>
      <c r="B325" s="42" t="s">
        <v>26</v>
      </c>
      <c r="C325" s="43" t="str">
        <f>hyperlink("https://au.indeed.com/viewjob?jk=2d346696011626ca","Senior Rolling Stock Engineer - Mechanical")</f>
        <v>Senior Rolling Stock Engineer - Mechanical</v>
      </c>
      <c r="D325" s="42" t="s">
        <v>456</v>
      </c>
      <c r="E325" s="44">
        <v>44188.739432870374</v>
      </c>
    </row>
    <row r="326">
      <c r="A326" s="42"/>
      <c r="B326" s="42" t="s">
        <v>26</v>
      </c>
      <c r="C326" s="43" t="str">
        <f>hyperlink("https://au.indeed.com/viewjob?jk=56d366757d33198c","Lead Mechanical Engineer")</f>
        <v>Lead Mechanical Engineer</v>
      </c>
      <c r="D326" s="42" t="s">
        <v>518</v>
      </c>
      <c r="E326" s="44">
        <v>44188.73993055556</v>
      </c>
    </row>
    <row r="327">
      <c r="A327" s="42"/>
      <c r="B327" s="42" t="s">
        <v>26</v>
      </c>
      <c r="C327" s="43" t="str">
        <f>hyperlink("https://au.indeed.com/viewjob?jk=5b52a616acecf56c","Senior Mechanical Engineer")</f>
        <v>Senior Mechanical Engineer</v>
      </c>
      <c r="D327" s="42" t="s">
        <v>457</v>
      </c>
      <c r="E327" s="44">
        <v>44188.740069444444</v>
      </c>
    </row>
    <row r="328">
      <c r="A328" s="42"/>
      <c r="B328" s="42" t="s">
        <v>26</v>
      </c>
      <c r="C328" s="43" t="str">
        <f>hyperlink("https://au.indeed.com/viewjob?jk=cb922396402eaff2","Principal Mechanical Engineer")</f>
        <v>Principal Mechanical Engineer</v>
      </c>
      <c r="D328" s="42" t="s">
        <v>484</v>
      </c>
      <c r="E328" s="44">
        <v>44188.74023148148</v>
      </c>
    </row>
    <row r="329">
      <c r="A329" s="42"/>
      <c r="B329" s="42" t="s">
        <v>26</v>
      </c>
      <c r="C329" s="43" t="str">
        <f>hyperlink("https://au.indeed.com/viewjob?jk=ee78f1843890ade7","Packaging &amp; Site Mechanical Engineer")</f>
        <v>Packaging &amp; Site Mechanical Engineer</v>
      </c>
      <c r="D329" s="42" t="s">
        <v>544</v>
      </c>
      <c r="E329" s="44">
        <v>44188.7403587963</v>
      </c>
    </row>
    <row r="330">
      <c r="A330" s="42"/>
      <c r="B330" s="42" t="s">
        <v>26</v>
      </c>
      <c r="C330" s="43" t="str">
        <f>hyperlink("https://au.indeed.com/viewjob?jk=d1d94ff1023acd90","Lead Mechanical Engineer")</f>
        <v>Lead Mechanical Engineer</v>
      </c>
      <c r="D330" s="42" t="s">
        <v>518</v>
      </c>
      <c r="E330" s="44">
        <v>44188.74092592593</v>
      </c>
    </row>
    <row r="331">
      <c r="A331" s="42"/>
      <c r="B331" s="42" t="s">
        <v>26</v>
      </c>
      <c r="C331" s="43" t="str">
        <f>hyperlink("https://au.indeed.com/viewjob?jk=510101d27ddc52a8","Mechanical Design Engineer - Data Centers")</f>
        <v>Mechanical Design Engineer - Data Centers</v>
      </c>
      <c r="D331" s="42" t="s">
        <v>470</v>
      </c>
      <c r="E331" s="44">
        <v>44189.22881944444</v>
      </c>
    </row>
    <row r="332">
      <c r="A332" s="42"/>
      <c r="B332" s="42" t="s">
        <v>26</v>
      </c>
      <c r="C332" s="43" t="str">
        <f>hyperlink("https://au.indeed.com/viewjob?jk=ce45184e67dfa91d","Fitter General / Mechanical Engineer")</f>
        <v>Fitter General / Mechanical Engineer</v>
      </c>
      <c r="D332" s="42" t="s">
        <v>528</v>
      </c>
      <c r="E332" s="44">
        <v>44189.228946759256</v>
      </c>
    </row>
    <row r="333">
      <c r="A333" s="42"/>
      <c r="B333" s="42" t="s">
        <v>26</v>
      </c>
      <c r="C333" s="43" t="str">
        <f>hyperlink("https://au.indeed.com/viewjob?jk=6e2405da587ebd04","Mechanical Engineer")</f>
        <v>Mechanical Engineer</v>
      </c>
      <c r="D333" s="42" t="s">
        <v>521</v>
      </c>
      <c r="E333" s="44">
        <v>44189.22903935185</v>
      </c>
    </row>
    <row r="334">
      <c r="A334" s="42"/>
      <c r="B334" s="42" t="s">
        <v>26</v>
      </c>
      <c r="C334" s="43" t="str">
        <f>hyperlink("https://au.indeed.com/viewjob?jk=e0d32840cde15c11","Senior Mechanical Engineer")</f>
        <v>Senior Mechanical Engineer</v>
      </c>
      <c r="D334" s="42" t="s">
        <v>467</v>
      </c>
      <c r="E334" s="44">
        <v>44189.22914351852</v>
      </c>
    </row>
    <row r="335">
      <c r="A335" s="42"/>
      <c r="B335" s="42" t="s">
        <v>26</v>
      </c>
      <c r="C335" s="43" t="str">
        <f>hyperlink("https://au.indeed.com/viewjob?jk=7048c1fc4f314e7e","Mechanical Engineer")</f>
        <v>Mechanical Engineer</v>
      </c>
      <c r="D335" s="42" t="s">
        <v>532</v>
      </c>
      <c r="E335" s="44">
        <v>44189.22924768519</v>
      </c>
    </row>
    <row r="336">
      <c r="A336" s="42"/>
      <c r="B336" s="42" t="s">
        <v>33</v>
      </c>
      <c r="C336" s="43" t="str">
        <f>hyperlink("https://au.indeed.com/viewjob?jk=8516907a90b508ae","GRADUATE DESIGN ENGINEER")</f>
        <v>GRADUATE DESIGN ENGINEER</v>
      </c>
      <c r="D336" s="42" t="s">
        <v>545</v>
      </c>
      <c r="E336" s="44">
        <v>44189.23013888889</v>
      </c>
    </row>
    <row r="337">
      <c r="A337" s="42"/>
      <c r="B337" s="42" t="s">
        <v>33</v>
      </c>
      <c r="C337" s="43" t="str">
        <f>hyperlink("https://au.indeed.com/viewjob?jk=263e383291c9bd50","Senior Civil Design Engineer")</f>
        <v>Senior Civil Design Engineer</v>
      </c>
      <c r="D337" s="42" t="s">
        <v>492</v>
      </c>
      <c r="E337" s="44">
        <v>44189.23023148148</v>
      </c>
    </row>
    <row r="338">
      <c r="A338" s="42"/>
      <c r="B338" s="42" t="s">
        <v>33</v>
      </c>
      <c r="C338" s="43" t="str">
        <f>hyperlink("https://au.indeed.com/viewjob?jk=8cd0814476a1ef17","Design Engineer")</f>
        <v>Design Engineer</v>
      </c>
      <c r="D338" s="42" t="s">
        <v>516</v>
      </c>
      <c r="E338" s="44">
        <v>44189.23033564815</v>
      </c>
    </row>
    <row r="339">
      <c r="A339" s="42"/>
      <c r="B339" s="42" t="s">
        <v>33</v>
      </c>
      <c r="C339" s="43" t="str">
        <f>hyperlink("https://au.indeed.com/viewjob?jk=0de2ee31524ba72b","Civil Design Engineer")</f>
        <v>Civil Design Engineer</v>
      </c>
      <c r="D339" s="42" t="s">
        <v>505</v>
      </c>
      <c r="E339" s="44">
        <v>44189.23042824074</v>
      </c>
    </row>
    <row r="340">
      <c r="A340" s="42"/>
      <c r="B340" s="42" t="s">
        <v>33</v>
      </c>
      <c r="C340" s="43" t="str">
        <f>hyperlink("https://au.indeed.com/viewjob?jk=78425ca1d035c26c","Electrical Design Engineer - Data Centers")</f>
        <v>Electrical Design Engineer - Data Centers</v>
      </c>
      <c r="D340" s="42" t="s">
        <v>470</v>
      </c>
      <c r="E340" s="44">
        <v>44189.230532407404</v>
      </c>
    </row>
    <row r="341">
      <c r="A341" s="42"/>
      <c r="B341" s="42" t="s">
        <v>33</v>
      </c>
      <c r="C341" s="43" t="str">
        <f>hyperlink("https://au.indeed.com/viewjob?jk=f1dea5d9081f1b58","Senior Design Engineer")</f>
        <v>Senior Design Engineer</v>
      </c>
      <c r="D341" s="42" t="s">
        <v>511</v>
      </c>
      <c r="E341" s="44">
        <v>44189.23064814815</v>
      </c>
    </row>
    <row r="342">
      <c r="A342" s="42"/>
      <c r="B342" s="42" t="s">
        <v>33</v>
      </c>
      <c r="C342" s="43" t="str">
        <f>hyperlink("https://au.indeed.com/viewjob?jk=2c8a5cd5378079bd","Senior Engineer - Electrical Design (Lines)")</f>
        <v>Senior Engineer - Electrical Design (Lines)</v>
      </c>
      <c r="D342" s="42" t="s">
        <v>466</v>
      </c>
      <c r="E342" s="44">
        <v>44189.230775462966</v>
      </c>
    </row>
    <row r="343">
      <c r="A343" s="42"/>
      <c r="B343" s="42" t="s">
        <v>33</v>
      </c>
      <c r="C343" s="43" t="str">
        <f>hyperlink("https://au.indeed.com/viewjob?jk=cc888c13f17ac8b0","Civil Design Engineer")</f>
        <v>Civil Design Engineer</v>
      </c>
      <c r="D343" s="42" t="s">
        <v>505</v>
      </c>
      <c r="E343" s="44">
        <v>44189.23087962963</v>
      </c>
    </row>
    <row r="344">
      <c r="A344" s="42"/>
      <c r="B344" s="42" t="s">
        <v>33</v>
      </c>
      <c r="C344" s="43" t="str">
        <f>hyperlink("https://au.indeed.com/viewjob?jk=ea616289f0650c7c","Product Design Engineer")</f>
        <v>Product Design Engineer</v>
      </c>
      <c r="D344" s="42" t="s">
        <v>518</v>
      </c>
      <c r="E344" s="44">
        <v>44189.23097222222</v>
      </c>
    </row>
    <row r="345">
      <c r="A345" s="42"/>
      <c r="B345" s="42" t="s">
        <v>33</v>
      </c>
      <c r="C345" s="43" t="str">
        <f>hyperlink("https://au.indeed.com/viewjob?jk=9a6d19a899dcc1fd","Mechanical Design Engineer")</f>
        <v>Mechanical Design Engineer</v>
      </c>
      <c r="D345" s="42" t="s">
        <v>518</v>
      </c>
      <c r="E345" s="44">
        <v>44189.23106481481</v>
      </c>
    </row>
    <row r="346">
      <c r="A346" s="42"/>
      <c r="B346" s="42" t="s">
        <v>33</v>
      </c>
      <c r="C346" s="43" t="str">
        <f>hyperlink("https://au.indeed.com/viewjob?jk=f746f35929b560d0","Senior Storage &amp; Cloud Design Engineer")</f>
        <v>Senior Storage &amp; Cloud Design Engineer</v>
      </c>
      <c r="D346" s="42" t="s">
        <v>504</v>
      </c>
      <c r="E346" s="44">
        <v>44189.70490740741</v>
      </c>
    </row>
    <row r="347">
      <c r="A347" s="42"/>
      <c r="B347" s="42" t="s">
        <v>33</v>
      </c>
      <c r="C347" s="43" t="str">
        <f>hyperlink("https://au.indeed.com/viewjob?jk=827bbca73acc9162","Senior Mechanical Design Engineer")</f>
        <v>Senior Mechanical Design Engineer</v>
      </c>
      <c r="D347" s="42" t="s">
        <v>518</v>
      </c>
      <c r="E347" s="44">
        <v>44189.70501157407</v>
      </c>
    </row>
    <row r="348">
      <c r="A348" s="42"/>
      <c r="B348" s="42" t="s">
        <v>33</v>
      </c>
      <c r="C348" s="43" t="str">
        <f>hyperlink("https://au.indeed.com/viewjob?jk=a49f06da90992981","Civil Design Engineer")</f>
        <v>Civil Design Engineer</v>
      </c>
      <c r="D348" s="42" t="s">
        <v>475</v>
      </c>
      <c r="E348" s="44">
        <v>44189.70511574074</v>
      </c>
    </row>
    <row r="349">
      <c r="A349" s="42"/>
      <c r="B349" s="42" t="s">
        <v>33</v>
      </c>
      <c r="C349" s="43" t="str">
        <f>hyperlink("https://au.indeed.com/viewjob?jk=26ccc82b0b6887f8","Product Design Engineer")</f>
        <v>Product Design Engineer</v>
      </c>
      <c r="D349" s="42" t="s">
        <v>518</v>
      </c>
      <c r="E349" s="44">
        <v>44189.7058912037</v>
      </c>
    </row>
    <row r="350">
      <c r="A350" s="42"/>
      <c r="B350" s="42" t="s">
        <v>33</v>
      </c>
      <c r="C350" s="43" t="str">
        <f>hyperlink("https://au.indeed.com/viewjob?jk=4305d5d4cce88bbd","Electrical Design Engineer - Data Centers")</f>
        <v>Electrical Design Engineer - Data Centers</v>
      </c>
      <c r="D350" s="42" t="s">
        <v>462</v>
      </c>
      <c r="E350" s="44">
        <v>44189.70684027778</v>
      </c>
    </row>
    <row r="351">
      <c r="A351" s="42"/>
      <c r="B351" s="42" t="s">
        <v>33</v>
      </c>
      <c r="C351" s="43" t="str">
        <f>hyperlink("https://au.indeed.com/viewjob?jk=4c3f0bd1b7c6272d","Senior Civil Design Engineer (Stormwater)")</f>
        <v>Senior Civil Design Engineer (Stormwater)</v>
      </c>
      <c r="D351" s="42" t="s">
        <v>333</v>
      </c>
      <c r="E351" s="44">
        <v>44189.706979166665</v>
      </c>
    </row>
    <row r="352">
      <c r="A352" s="42"/>
      <c r="B352" s="42" t="s">
        <v>33</v>
      </c>
      <c r="C352" s="43" t="str">
        <f>hyperlink("https://au.indeed.com/viewjob?jk=6b36bc3dd24a6c9a","Senior Product Design Engineer")</f>
        <v>Senior Product Design Engineer</v>
      </c>
      <c r="D352" s="42" t="s">
        <v>520</v>
      </c>
      <c r="E352" s="44">
        <v>44189.70707175926</v>
      </c>
    </row>
    <row r="353">
      <c r="A353" s="42"/>
      <c r="B353" s="42" t="s">
        <v>33</v>
      </c>
      <c r="C353" s="43" t="str">
        <f>hyperlink("https://au.indeed.com/viewjob?jk=4673b7a4b2ffd2e9","Software Design Engineer - Graphics Simulation (Sydney Australia)")</f>
        <v>Software Design Engineer - Graphics Simulation (Sydney Australia)</v>
      </c>
      <c r="D353" s="42" t="s">
        <v>497</v>
      </c>
      <c r="E353" s="44">
        <v>44189.7071875</v>
      </c>
    </row>
    <row r="354">
      <c r="A354" s="42"/>
      <c r="B354" s="42" t="s">
        <v>33</v>
      </c>
      <c r="C354" s="43" t="str">
        <f>hyperlink("https://au.indeed.com/viewjob?jk=9004b81ca99f6d3b","SENIOR SIGNALING DESIGN ENGINEER")</f>
        <v>SENIOR SIGNALING DESIGN ENGINEER</v>
      </c>
      <c r="D354" s="42" t="s">
        <v>494</v>
      </c>
      <c r="E354" s="44">
        <v>44189.707280092596</v>
      </c>
    </row>
    <row r="355">
      <c r="A355" s="42"/>
      <c r="B355" s="42" t="s">
        <v>33</v>
      </c>
      <c r="C355" s="43" t="str">
        <f>hyperlink("https://au.indeed.com/viewjob?jk=c4f03d7878cf71c6","DC Design Engineer")</f>
        <v>DC Design Engineer</v>
      </c>
      <c r="D355" s="42" t="s">
        <v>538</v>
      </c>
      <c r="E355" s="44">
        <v>44189.70738425926</v>
      </c>
    </row>
    <row r="356">
      <c r="A356" s="42"/>
      <c r="B356" s="42" t="s">
        <v>33</v>
      </c>
      <c r="C356" s="43" t="str">
        <f>hyperlink("https://au.indeed.com/viewjob?jk=5e0b31c5acc5ba0e","Design Engineer")</f>
        <v>Design Engineer</v>
      </c>
      <c r="D356" s="42" t="s">
        <v>546</v>
      </c>
      <c r="E356" s="44">
        <v>44189.70747685185</v>
      </c>
    </row>
    <row r="357">
      <c r="A357" s="42"/>
      <c r="B357" s="42" t="s">
        <v>33</v>
      </c>
      <c r="C357" s="43" t="str">
        <f>hyperlink("https://au.indeed.com/viewjob?jk=bcf1cbd50bad870f","Biomedical Design Engineer")</f>
        <v>Biomedical Design Engineer</v>
      </c>
      <c r="D357" s="42" t="s">
        <v>493</v>
      </c>
      <c r="E357" s="44">
        <v>44189.70762731481</v>
      </c>
    </row>
    <row r="358">
      <c r="A358" s="42"/>
      <c r="B358" s="42" t="s">
        <v>33</v>
      </c>
      <c r="C358" s="43" t="str">
        <f>hyperlink("https://au.indeed.com/viewjob?jk=fbdd55293cee59da","Senior Mechanical Design Engineer")</f>
        <v>Senior Mechanical Design Engineer</v>
      </c>
      <c r="D358" s="42" t="s">
        <v>518</v>
      </c>
      <c r="E358" s="44">
        <v>44189.70774305556</v>
      </c>
    </row>
    <row r="359">
      <c r="A359" s="42"/>
      <c r="B359" s="42" t="s">
        <v>34</v>
      </c>
      <c r="C359" s="43" t="str">
        <f>hyperlink("https://au.indeed.com/viewjob?jk=9daffd5a8ac52b71","Software Development Engineer (Load Balancing)")</f>
        <v>Software Development Engineer (Load Balancing)</v>
      </c>
      <c r="D359" s="42" t="s">
        <v>463</v>
      </c>
      <c r="E359" s="44">
        <v>44189.707870370374</v>
      </c>
    </row>
    <row r="360">
      <c r="A360" s="42"/>
      <c r="B360" s="42" t="s">
        <v>34</v>
      </c>
      <c r="C360" s="43" t="str">
        <f>hyperlink("https://au.indeed.com/viewjob?jk=afac043a3b4cbb86","Service Development Engineer")</f>
        <v>Service Development Engineer</v>
      </c>
      <c r="D360" s="42" t="s">
        <v>546</v>
      </c>
      <c r="E360" s="44">
        <v>44189.70798611111</v>
      </c>
    </row>
    <row r="361">
      <c r="A361" s="42"/>
      <c r="B361" s="42" t="s">
        <v>34</v>
      </c>
      <c r="C361" s="43" t="str">
        <f>hyperlink("https://au.indeed.com/viewjob?jk=57707e51a636dfd5","Systems Development Engineer – Data Center Operations")</f>
        <v>Systems Development Engineer – Data Center Operations</v>
      </c>
      <c r="D361" s="42" t="s">
        <v>462</v>
      </c>
      <c r="E361" s="44">
        <v>44189.708090277774</v>
      </c>
    </row>
    <row r="362">
      <c r="A362" s="42"/>
      <c r="B362" s="42" t="s">
        <v>34</v>
      </c>
      <c r="C362" s="43" t="str">
        <f>hyperlink("https://au.indeed.com/viewjob?jk=4395564a68a2ab5c","Software Development Engineer - AWS Redshift")</f>
        <v>Software Development Engineer - AWS Redshift</v>
      </c>
      <c r="D362" s="42" t="s">
        <v>470</v>
      </c>
      <c r="E362" s="44">
        <v>44189.70821759259</v>
      </c>
    </row>
    <row r="363">
      <c r="A363" s="42"/>
      <c r="B363" s="42" t="s">
        <v>34</v>
      </c>
      <c r="C363" s="43" t="str">
        <f>hyperlink("https://au.indeed.com/viewjob?jk=f8bb51e4b12c7026","Software Development Engineer - AWS")</f>
        <v>Software Development Engineer - AWS</v>
      </c>
      <c r="D363" s="42" t="s">
        <v>470</v>
      </c>
      <c r="E363" s="44">
        <v>44189.70832175926</v>
      </c>
    </row>
    <row r="364">
      <c r="A364" s="42"/>
      <c r="B364" s="42" t="s">
        <v>34</v>
      </c>
      <c r="C364" s="43" t="str">
        <f>hyperlink("https://au.indeed.com/viewjob?jk=7941c9ce4d606127","Sr. System Development Engineer")</f>
        <v>Sr. System Development Engineer</v>
      </c>
      <c r="D364" s="42" t="s">
        <v>463</v>
      </c>
      <c r="E364" s="44">
        <v>44189.70842592593</v>
      </c>
    </row>
    <row r="365">
      <c r="A365" s="42"/>
      <c r="B365" s="42" t="s">
        <v>34</v>
      </c>
      <c r="C365" s="43" t="str">
        <f>hyperlink("https://au.indeed.com/viewjob?jk=58774d5dfa61c6c4","Software Development Engineer - AWS - Networking")</f>
        <v>Software Development Engineer - AWS - Networking</v>
      </c>
      <c r="D365" s="42" t="s">
        <v>462</v>
      </c>
      <c r="E365" s="44">
        <v>44189.70853009259</v>
      </c>
    </row>
    <row r="366">
      <c r="A366" s="42"/>
      <c r="B366" s="42" t="s">
        <v>34</v>
      </c>
      <c r="C366" s="43" t="str">
        <f>hyperlink("https://au.indeed.com/viewjob?jk=70939e1725eb08af","Software Development Engineer - AWS Redshift")</f>
        <v>Software Development Engineer - AWS Redshift</v>
      </c>
      <c r="D366" s="42" t="s">
        <v>470</v>
      </c>
      <c r="E366" s="44">
        <v>44189.70863425926</v>
      </c>
    </row>
    <row r="367">
      <c r="A367" s="42"/>
      <c r="B367" s="42" t="s">
        <v>34</v>
      </c>
      <c r="C367" s="43" t="str">
        <f>hyperlink("https://au.indeed.com/viewjob?jk=ee8fa3942396be0a","Quality Development Engineer (Lab)")</f>
        <v>Quality Development Engineer (Lab)</v>
      </c>
      <c r="D367" s="42" t="s">
        <v>499</v>
      </c>
      <c r="E367" s="44">
        <v>44189.70873842593</v>
      </c>
    </row>
    <row r="368">
      <c r="A368" s="42"/>
      <c r="B368" s="42" t="s">
        <v>34</v>
      </c>
      <c r="C368" s="43" t="str">
        <f>hyperlink("https://au.indeed.com/viewjob?jk=d564e8b662a6617e","Software Development Engineer - New AWS Service")</f>
        <v>Software Development Engineer - New AWS Service</v>
      </c>
      <c r="D368" s="42" t="s">
        <v>463</v>
      </c>
      <c r="E368" s="44">
        <v>44189.708865740744</v>
      </c>
    </row>
    <row r="369">
      <c r="A369" s="42"/>
      <c r="B369" s="42" t="s">
        <v>34</v>
      </c>
      <c r="C369" s="43" t="str">
        <f>hyperlink("https://au.indeed.com/viewjob?jk=7a725a34a5380131","Network Development Engineer")</f>
        <v>Network Development Engineer</v>
      </c>
      <c r="D369" s="42" t="s">
        <v>462</v>
      </c>
      <c r="E369" s="44">
        <v>44189.708969907406</v>
      </c>
    </row>
    <row r="370">
      <c r="A370" s="42"/>
      <c r="B370" s="42" t="s">
        <v>34</v>
      </c>
      <c r="C370" s="43" t="str">
        <f>hyperlink("https://au.indeed.com/viewjob?jk=70e20bd48cb3fcb6","Network Development Engineer")</f>
        <v>Network Development Engineer</v>
      </c>
      <c r="D370" s="42" t="s">
        <v>462</v>
      </c>
      <c r="E370" s="44">
        <v>44189.709074074075</v>
      </c>
    </row>
    <row r="371">
      <c r="A371" s="42"/>
      <c r="B371" s="42" t="s">
        <v>34</v>
      </c>
      <c r="C371" s="43" t="str">
        <f>hyperlink("https://au.indeed.com/viewjob?jk=db9208499a5cb5e6","Software Development Engineer - AWS Redshift")</f>
        <v>Software Development Engineer - AWS Redshift</v>
      </c>
      <c r="D371" s="42" t="s">
        <v>470</v>
      </c>
      <c r="E371" s="44">
        <v>44189.709189814814</v>
      </c>
    </row>
    <row r="372">
      <c r="A372" s="42"/>
      <c r="B372" s="42" t="s">
        <v>34</v>
      </c>
      <c r="C372" s="43" t="str">
        <f>hyperlink("https://au.indeed.com/viewjob?jk=2bfdcedd34946d79","Network Development Engineer")</f>
        <v>Network Development Engineer</v>
      </c>
      <c r="D372" s="42" t="s">
        <v>462</v>
      </c>
      <c r="E372" s="44">
        <v>44189.709282407406</v>
      </c>
    </row>
    <row r="373">
      <c r="A373" s="42"/>
      <c r="B373" s="42" t="s">
        <v>34</v>
      </c>
      <c r="C373" s="43" t="str">
        <f>hyperlink("https://au.indeed.com/viewjob?jk=c9035e6c25f942e8","Network Development Engineer - Core Networks - Automation")</f>
        <v>Network Development Engineer - Core Networks - Automation</v>
      </c>
      <c r="D373" s="42" t="s">
        <v>462</v>
      </c>
      <c r="E373" s="44">
        <v>44189.70940972222</v>
      </c>
    </row>
    <row r="374">
      <c r="A374" s="42"/>
      <c r="B374" s="42" t="s">
        <v>34</v>
      </c>
      <c r="C374" s="43" t="str">
        <f>hyperlink("https://au.indeed.com/viewjob?jk=b3f9e219bb6a4af8","Sr. Network Development Engineer")</f>
        <v>Sr. Network Development Engineer</v>
      </c>
      <c r="D374" s="42" t="s">
        <v>462</v>
      </c>
      <c r="E374" s="44">
        <v>44189.70990740741</v>
      </c>
    </row>
    <row r="375">
      <c r="A375" s="42"/>
      <c r="B375" s="42" t="s">
        <v>34</v>
      </c>
      <c r="C375" s="43" t="str">
        <f>hyperlink("https://au.indeed.com/viewjob?jk=fe23a35e11ff9fec","Sr. Software Development Engineer")</f>
        <v>Sr. Software Development Engineer</v>
      </c>
      <c r="D375" s="42" t="s">
        <v>470</v>
      </c>
      <c r="E375" s="44">
        <v>44189.710023148145</v>
      </c>
    </row>
    <row r="376">
      <c r="A376" s="42"/>
      <c r="B376" s="42" t="s">
        <v>34</v>
      </c>
      <c r="C376" s="43" t="str">
        <f>hyperlink("https://au.indeed.com/viewjob?jk=d306b019690b274c","Network Development Engineer")</f>
        <v>Network Development Engineer</v>
      </c>
      <c r="D376" s="42" t="s">
        <v>462</v>
      </c>
      <c r="E376" s="44">
        <v>44189.710127314815</v>
      </c>
    </row>
    <row r="377">
      <c r="A377" s="42"/>
      <c r="B377" s="42" t="s">
        <v>34</v>
      </c>
      <c r="C377" s="43" t="str">
        <f>hyperlink("https://au.indeed.com/viewjob?jk=8b33a457c2965004","Senior Systems Development Engineer")</f>
        <v>Senior Systems Development Engineer</v>
      </c>
      <c r="D377" s="42" t="s">
        <v>470</v>
      </c>
      <c r="E377" s="44">
        <v>44189.71024305555</v>
      </c>
    </row>
    <row r="378">
      <c r="A378" s="42"/>
      <c r="B378" s="42" t="s">
        <v>34</v>
      </c>
      <c r="C378" s="43" t="str">
        <f>hyperlink("https://au.indeed.com/viewjob?jk=89304a16a3929ee9","Senior Software Development Engineer in Test")</f>
        <v>Senior Software Development Engineer in Test</v>
      </c>
      <c r="D378" s="42" t="s">
        <v>350</v>
      </c>
      <c r="E378" s="44">
        <v>44189.71034722222</v>
      </c>
    </row>
    <row r="379">
      <c r="A379" s="42"/>
      <c r="B379" s="42" t="s">
        <v>34</v>
      </c>
      <c r="C379" s="43" t="str">
        <f>hyperlink("https://au.indeed.com/viewjob?jk=7a6b7e451095607c","Network Development Engineer - Direct Connect")</f>
        <v>Network Development Engineer - Direct Connect</v>
      </c>
      <c r="D379" s="42" t="s">
        <v>462</v>
      </c>
      <c r="E379" s="44">
        <v>44189.71046296296</v>
      </c>
    </row>
    <row r="380">
      <c r="A380" s="42"/>
      <c r="B380" s="42" t="s">
        <v>34</v>
      </c>
      <c r="C380" s="43" t="str">
        <f>hyperlink("https://au.indeed.com/viewjob?jk=439ae44f99274363","System Development Engineer")</f>
        <v>System Development Engineer</v>
      </c>
      <c r="D380" s="42" t="s">
        <v>463</v>
      </c>
      <c r="E380" s="44">
        <v>44189.71057870371</v>
      </c>
    </row>
    <row r="381">
      <c r="A381" s="42"/>
      <c r="B381" s="42" t="s">
        <v>34</v>
      </c>
      <c r="C381" s="43" t="str">
        <f>hyperlink("https://au.indeed.com/viewjob?jk=2757151eba00ffea","Systems Development Engineer")</f>
        <v>Systems Development Engineer</v>
      </c>
      <c r="D381" s="42" t="s">
        <v>470</v>
      </c>
      <c r="E381" s="44">
        <v>44189.710694444446</v>
      </c>
    </row>
    <row r="382">
      <c r="A382" s="42"/>
      <c r="B382" s="42" t="s">
        <v>34</v>
      </c>
      <c r="C382" s="43" t="str">
        <f>hyperlink("https://au.indeed.com/viewjob?jk=de10751bcf455db8","Network Development Engineer")</f>
        <v>Network Development Engineer</v>
      </c>
      <c r="D382" s="42" t="s">
        <v>462</v>
      </c>
      <c r="E382" s="44">
        <v>44189.71084490741</v>
      </c>
    </row>
    <row r="383">
      <c r="A383" s="42"/>
      <c r="B383" s="42" t="s">
        <v>36</v>
      </c>
      <c r="C383" s="43" t="str">
        <f>hyperlink("https://au.indeed.com/viewjob?jk=8510f12f7b8f2e06","Senior Infrastructure Engineer")</f>
        <v>Senior Infrastructure Engineer</v>
      </c>
      <c r="D383" s="42" t="s">
        <v>512</v>
      </c>
      <c r="E383" s="44">
        <v>44189.71152777778</v>
      </c>
    </row>
    <row r="384">
      <c r="A384" s="42"/>
      <c r="B384" s="42" t="s">
        <v>36</v>
      </c>
      <c r="C384" s="43" t="str">
        <f>hyperlink("https://au.indeed.com/viewjob?jk=578c85626f503e10","Security &amp; Infrastructure Engineer")</f>
        <v>Security &amp; Infrastructure Engineer</v>
      </c>
      <c r="D384" s="42" t="s">
        <v>479</v>
      </c>
      <c r="E384" s="44">
        <v>44189.71166666667</v>
      </c>
    </row>
    <row r="385">
      <c r="A385" s="42"/>
      <c r="B385" s="42" t="s">
        <v>36</v>
      </c>
      <c r="C385" s="43" t="str">
        <f>hyperlink("https://au.indeed.com/viewjob?jk=49ec23c9cee7739a","Senior Infrastructure Engineer")</f>
        <v>Senior Infrastructure Engineer</v>
      </c>
      <c r="D385" s="42" t="s">
        <v>471</v>
      </c>
      <c r="E385" s="44">
        <v>44189.71181712963</v>
      </c>
    </row>
    <row r="386">
      <c r="A386" s="42"/>
      <c r="B386" s="42" t="s">
        <v>36</v>
      </c>
      <c r="C386" s="43" t="str">
        <f>hyperlink("https://au.indeed.com/viewjob?jk=3c9898f57b914c99","Infrastructure Engineer")</f>
        <v>Infrastructure Engineer</v>
      </c>
      <c r="D386" s="42" t="s">
        <v>534</v>
      </c>
      <c r="E386" s="44">
        <v>44189.71196759259</v>
      </c>
    </row>
    <row r="387">
      <c r="A387" s="42"/>
      <c r="B387" s="42" t="s">
        <v>36</v>
      </c>
      <c r="C387" s="43" t="str">
        <f>hyperlink("https://au.indeed.com/viewjob?jk=993b2779fcd079f3","System Infrastructure Engineer")</f>
        <v>System Infrastructure Engineer</v>
      </c>
      <c r="D387" s="42" t="s">
        <v>547</v>
      </c>
      <c r="E387" s="44">
        <v>44189.712060185186</v>
      </c>
    </row>
    <row r="388">
      <c r="A388" s="42"/>
      <c r="B388" s="42" t="s">
        <v>36</v>
      </c>
      <c r="C388" s="43" t="str">
        <f>hyperlink("https://au.indeed.com/viewjob?jk=f29121690d193e2b","IT Infrastructure Engineer")</f>
        <v>IT Infrastructure Engineer</v>
      </c>
      <c r="D388" s="42" t="s">
        <v>485</v>
      </c>
      <c r="E388" s="44">
        <v>44189.7121875</v>
      </c>
    </row>
    <row r="389">
      <c r="A389" s="42"/>
      <c r="B389" s="42" t="s">
        <v>36</v>
      </c>
      <c r="C389" s="43" t="str">
        <f>hyperlink("https://au.indeed.com/viewjob?jk=05b2eb83610f608b","Infrastructure Engineer")</f>
        <v>Infrastructure Engineer</v>
      </c>
      <c r="D389" s="42" t="s">
        <v>500</v>
      </c>
      <c r="E389" s="44">
        <v>44189.71229166666</v>
      </c>
    </row>
    <row r="390">
      <c r="A390" s="42"/>
      <c r="B390" s="42" t="s">
        <v>36</v>
      </c>
      <c r="C390" s="43" t="str">
        <f>hyperlink("https://au.indeed.com/viewjob?jk=e2d265fbbfdc37c0","Principle Infrastructure Engineer Cloud and DevOps")</f>
        <v>Principle Infrastructure Engineer Cloud and DevOps</v>
      </c>
      <c r="D390" s="42" t="s">
        <v>512</v>
      </c>
      <c r="E390" s="44">
        <v>44189.712858796294</v>
      </c>
    </row>
    <row r="391">
      <c r="A391" s="42"/>
      <c r="B391" s="42" t="s">
        <v>36</v>
      </c>
      <c r="C391" s="43" t="str">
        <f>hyperlink("https://au.indeed.com/viewjob?jk=59d679cbf57b4ab4","Flood / Storm water Infrastructure Engineer")</f>
        <v>Flood / Storm water Infrastructure Engineer</v>
      </c>
      <c r="D391" s="42" t="s">
        <v>476</v>
      </c>
      <c r="E391" s="44">
        <v>44189.71298611111</v>
      </c>
    </row>
    <row r="392">
      <c r="A392" s="42"/>
      <c r="B392" s="42" t="s">
        <v>36</v>
      </c>
      <c r="C392" s="43" t="str">
        <f>hyperlink("https://au.indeed.com/viewjob?jk=7f9ba3811420828d","Senior Lead Infrastructure Engineer/ Specialist")</f>
        <v>Senior Lead Infrastructure Engineer/ Specialist</v>
      </c>
      <c r="D392" s="42" t="s">
        <v>512</v>
      </c>
      <c r="E392" s="44">
        <v>44189.71310185185</v>
      </c>
    </row>
    <row r="393">
      <c r="A393" s="42"/>
      <c r="B393" s="42" t="s">
        <v>36</v>
      </c>
      <c r="C393" s="43" t="str">
        <f>hyperlink("https://au.indeed.com/viewjob?jk=5f1222c4b0115bc1","Infrastructure Engineer")</f>
        <v>Infrastructure Engineer</v>
      </c>
      <c r="D393" s="42" t="s">
        <v>533</v>
      </c>
      <c r="E393" s="44">
        <v>44189.713229166664</v>
      </c>
    </row>
    <row r="394">
      <c r="A394" s="42"/>
      <c r="B394" s="42" t="s">
        <v>36</v>
      </c>
      <c r="C394" s="43" t="str">
        <f>hyperlink("https://au.indeed.com/viewjob?jk=c2443e051126216e","Infrastructure Engineer")</f>
        <v>Infrastructure Engineer</v>
      </c>
      <c r="D394" s="42" t="s">
        <v>489</v>
      </c>
      <c r="E394" s="44">
        <v>44189.71351851852</v>
      </c>
    </row>
    <row r="395">
      <c r="A395" s="42"/>
      <c r="B395" s="42" t="s">
        <v>36</v>
      </c>
      <c r="C395" s="43" t="str">
        <f>hyperlink("https://au.indeed.com/viewjob?jk=e60796b4ad78aa24","Infrastructure Engineer")</f>
        <v>Infrastructure Engineer</v>
      </c>
      <c r="D395" s="42" t="s">
        <v>508</v>
      </c>
      <c r="E395" s="44">
        <v>44189.71362268519</v>
      </c>
    </row>
    <row r="396">
      <c r="A396" s="42"/>
      <c r="B396" s="42" t="s">
        <v>36</v>
      </c>
      <c r="C396" s="43" t="str">
        <f>hyperlink("https://au.indeed.com/viewjob?jk=dd4208e5a3efdeb2","Principle DevOps Infrastructure Engineer")</f>
        <v>Principle DevOps Infrastructure Engineer</v>
      </c>
      <c r="D396" s="42" t="s">
        <v>512</v>
      </c>
      <c r="E396" s="44">
        <v>44189.71408564815</v>
      </c>
    </row>
    <row r="397">
      <c r="A397" s="42"/>
      <c r="B397" s="42" t="s">
        <v>37</v>
      </c>
      <c r="C397" s="43" t="str">
        <f>hyperlink("https://au.indeed.com/viewjob?jk=8fb3a46cd5941dc2","Aircraft Maintenance Engineer")</f>
        <v>Aircraft Maintenance Engineer</v>
      </c>
      <c r="D397" s="42" t="s">
        <v>461</v>
      </c>
      <c r="E397" s="44">
        <v>44189.714212962965</v>
      </c>
    </row>
    <row r="398">
      <c r="A398" s="42"/>
      <c r="B398" s="42" t="s">
        <v>38</v>
      </c>
      <c r="C398" s="43" t="str">
        <f>hyperlink("https://au.indeed.com/viewjob?jk=bbad94caf16a24c8","Manufacturing Engineer - Wetherill Park")</f>
        <v>Manufacturing Engineer - Wetherill Park</v>
      </c>
      <c r="D398" s="42" t="s">
        <v>481</v>
      </c>
      <c r="E398" s="44">
        <v>44189.71434027778</v>
      </c>
    </row>
    <row r="399">
      <c r="A399" s="42"/>
      <c r="B399" s="42" t="s">
        <v>38</v>
      </c>
      <c r="C399" s="43" t="str">
        <f>hyperlink("https://au.indeed.com/viewjob?jk=a468f1c84718058e","Electrical Manufacturing Engineer")</f>
        <v>Electrical Manufacturing Engineer</v>
      </c>
      <c r="D399" s="42" t="s">
        <v>472</v>
      </c>
      <c r="E399" s="44">
        <v>44189.71444444444</v>
      </c>
    </row>
    <row r="400">
      <c r="A400" s="42"/>
      <c r="B400" s="42" t="s">
        <v>38</v>
      </c>
      <c r="C400" s="43" t="str">
        <f>hyperlink("https://au.indeed.com/viewjob?jk=8d6db923e6c89e48","Manufacturing Engineer")</f>
        <v>Manufacturing Engineer</v>
      </c>
      <c r="D400" s="42" t="s">
        <v>492</v>
      </c>
      <c r="E400" s="44">
        <v>44189.71454861111</v>
      </c>
    </row>
    <row r="401">
      <c r="A401" s="42"/>
      <c r="B401" s="42" t="s">
        <v>41</v>
      </c>
      <c r="C401" s="43" t="str">
        <f>hyperlink("https://au.indeed.com/viewjob?jk=a554cc564c5ecf2b","RPA Process Engineer")</f>
        <v>RPA Process Engineer</v>
      </c>
      <c r="D401" s="42" t="s">
        <v>471</v>
      </c>
      <c r="E401" s="44">
        <v>44189.71471064815</v>
      </c>
    </row>
    <row r="402">
      <c r="A402" s="42"/>
      <c r="B402" s="42" t="s">
        <v>41</v>
      </c>
      <c r="C402" s="43" t="str">
        <f>hyperlink("https://au.indeed.com/viewjob?jk=25e3cfed7af683f7","Process Engineer")</f>
        <v>Process Engineer</v>
      </c>
      <c r="D402" s="42" t="s">
        <v>505</v>
      </c>
      <c r="E402" s="44">
        <v>44189.71481481481</v>
      </c>
    </row>
    <row r="403">
      <c r="A403" s="42"/>
      <c r="B403" s="42" t="s">
        <v>42</v>
      </c>
      <c r="C403" s="43" t="str">
        <f>hyperlink("https://au.indeed.com/viewjob?jk=a50adc8f58d2c3f6","Production Engineer Sydney, Australia")</f>
        <v>Production Engineer Sydney, Australia</v>
      </c>
      <c r="D403" s="42" t="s">
        <v>498</v>
      </c>
      <c r="E403" s="44">
        <v>44189.71649305556</v>
      </c>
    </row>
    <row r="404">
      <c r="A404" s="42"/>
      <c r="B404" s="42" t="s">
        <v>43</v>
      </c>
      <c r="C404" s="43" t="str">
        <f>hyperlink("https://au.indeed.com/viewjob?jk=19cc96020fb5262f","Project Controls Engineer, Transport")</f>
        <v>Project Controls Engineer, Transport</v>
      </c>
      <c r="D404" s="42" t="s">
        <v>539</v>
      </c>
      <c r="E404" s="44">
        <v>44189.716631944444</v>
      </c>
    </row>
    <row r="405">
      <c r="A405" s="42"/>
      <c r="B405" s="42" t="s">
        <v>43</v>
      </c>
      <c r="C405" s="43" t="str">
        <f>hyperlink("https://au.indeed.com/viewjob?jk=3f145679a164cc21","Project Controls Engineer")</f>
        <v>Project Controls Engineer</v>
      </c>
      <c r="D405" s="42" t="s">
        <v>535</v>
      </c>
      <c r="E405" s="44">
        <v>44189.71673611111</v>
      </c>
    </row>
    <row r="406">
      <c r="A406" s="42"/>
      <c r="B406" s="42" t="s">
        <v>45</v>
      </c>
      <c r="C406" s="43" t="str">
        <f>hyperlink("https://au.indeed.com/viewjob?jk=4b308ba4982f4fca","Project Engineer")</f>
        <v>Project Engineer</v>
      </c>
      <c r="D406" s="42" t="s">
        <v>524</v>
      </c>
      <c r="E406" s="44">
        <v>44189.716875</v>
      </c>
    </row>
    <row r="407">
      <c r="A407" s="42"/>
      <c r="B407" s="42" t="s">
        <v>45</v>
      </c>
      <c r="C407" s="43" t="str">
        <f>hyperlink("https://au.indeed.com/viewjob?jk=9b85566fd21786d2","Senior Project Engineer (Utilities)")</f>
        <v>Senior Project Engineer (Utilities)</v>
      </c>
      <c r="D407" s="42" t="s">
        <v>483</v>
      </c>
      <c r="E407" s="44">
        <v>44189.717314814814</v>
      </c>
    </row>
    <row r="408">
      <c r="A408" s="42"/>
      <c r="B408" s="42" t="s">
        <v>45</v>
      </c>
      <c r="C408" s="43" t="str">
        <f>hyperlink("https://au.indeed.com/viewjob?jk=33588361a3123230","Project Engineer Civil")</f>
        <v>Project Engineer Civil</v>
      </c>
      <c r="D408" s="42" t="s">
        <v>535</v>
      </c>
      <c r="E408" s="44">
        <v>44189.71741898148</v>
      </c>
    </row>
    <row r="409">
      <c r="A409" s="42"/>
      <c r="B409" s="42" t="s">
        <v>45</v>
      </c>
      <c r="C409" s="43" t="str">
        <f>hyperlink("https://au.indeed.com/viewjob?jk=4109414bf2858671","Junior Project Engineer")</f>
        <v>Junior Project Engineer</v>
      </c>
      <c r="D409" s="42" t="s">
        <v>516</v>
      </c>
      <c r="E409" s="44">
        <v>44189.71753472222</v>
      </c>
    </row>
    <row r="410">
      <c r="A410" s="42"/>
      <c r="B410" s="42" t="s">
        <v>45</v>
      </c>
      <c r="C410" s="43" t="str">
        <f>hyperlink("https://au.indeed.com/viewjob?jk=fdeec6085ff415df","Civil Project Engineer")</f>
        <v>Civil Project Engineer</v>
      </c>
      <c r="D410" s="42" t="s">
        <v>535</v>
      </c>
      <c r="E410" s="44">
        <v>44189.71763888889</v>
      </c>
    </row>
    <row r="411">
      <c r="A411" s="42"/>
      <c r="B411" s="42" t="s">
        <v>45</v>
      </c>
      <c r="C411" s="43" t="str">
        <f>hyperlink("https://au.indeed.com/viewjob?jk=326fe651d7eefab7","Project Engineer")</f>
        <v>Project Engineer</v>
      </c>
      <c r="D411" s="42" t="s">
        <v>529</v>
      </c>
      <c r="E411" s="44">
        <v>44189.71811342592</v>
      </c>
    </row>
    <row r="412">
      <c r="A412" s="42"/>
      <c r="B412" s="42" t="s">
        <v>45</v>
      </c>
      <c r="C412" s="43" t="str">
        <f>hyperlink("https://au.indeed.com/viewjob?jk=e54a3306521fc1e1","Software Project Engineer")</f>
        <v>Software Project Engineer</v>
      </c>
      <c r="D412" s="42" t="s">
        <v>495</v>
      </c>
      <c r="E412" s="44">
        <v>44189.71821759259</v>
      </c>
    </row>
    <row r="413">
      <c r="A413" s="42"/>
      <c r="B413" s="42" t="s">
        <v>45</v>
      </c>
      <c r="C413" s="43" t="str">
        <f>hyperlink("https://au.indeed.com/viewjob?jk=04862faac22afeab","Project Engineer")</f>
        <v>Project Engineer</v>
      </c>
      <c r="D413" s="42" t="s">
        <v>524</v>
      </c>
      <c r="E413" s="44">
        <v>44189.71832175926</v>
      </c>
    </row>
    <row r="414">
      <c r="A414" s="42"/>
      <c r="B414" s="42" t="s">
        <v>45</v>
      </c>
      <c r="C414" s="43" t="str">
        <f>hyperlink("https://au.indeed.com/viewjob?jk=68c55df1c2a889b1","Project Engineers")</f>
        <v>Project Engineers</v>
      </c>
      <c r="D414" s="42" t="s">
        <v>537</v>
      </c>
      <c r="E414" s="44">
        <v>44189.71842592592</v>
      </c>
    </row>
    <row r="415">
      <c r="A415" s="42"/>
      <c r="B415" s="42" t="s">
        <v>45</v>
      </c>
      <c r="C415" s="43" t="str">
        <f>hyperlink("https://au.indeed.com/viewjob?jk=e802137947bec24a","Project Engineer")</f>
        <v>Project Engineer</v>
      </c>
      <c r="D415" s="42" t="s">
        <v>526</v>
      </c>
      <c r="E415" s="44">
        <v>44189.71853009259</v>
      </c>
    </row>
    <row r="416">
      <c r="A416" s="42"/>
      <c r="B416" s="42" t="s">
        <v>45</v>
      </c>
      <c r="C416" s="43" t="str">
        <f>hyperlink("https://au.indeed.com/viewjob?jk=480e7938e80b145c","Senior Project Engineer (Water/Pipelines)")</f>
        <v>Senior Project Engineer (Water/Pipelines)</v>
      </c>
      <c r="D416" s="42" t="s">
        <v>483</v>
      </c>
      <c r="E416" s="44">
        <v>44189.71902777778</v>
      </c>
    </row>
    <row r="417">
      <c r="A417" s="42"/>
      <c r="B417" s="42" t="s">
        <v>45</v>
      </c>
      <c r="C417" s="43" t="str">
        <f>hyperlink("https://au.indeed.com/viewjob?jk=ae654bbb34246b97","Project Engineer")</f>
        <v>Project Engineer</v>
      </c>
      <c r="D417" s="42" t="s">
        <v>501</v>
      </c>
      <c r="E417" s="44">
        <v>44189.71913194445</v>
      </c>
    </row>
    <row r="418">
      <c r="A418" s="42"/>
      <c r="B418" s="42" t="s">
        <v>45</v>
      </c>
      <c r="C418" s="43" t="str">
        <f>hyperlink("https://au.indeed.com/viewjob?jk=fea116918cc7284b","Project Engineer")</f>
        <v>Project Engineer</v>
      </c>
      <c r="D418" s="42" t="s">
        <v>530</v>
      </c>
      <c r="E418" s="44">
        <v>44189.71923611111</v>
      </c>
    </row>
    <row r="419">
      <c r="A419" s="42"/>
      <c r="B419" s="42" t="s">
        <v>45</v>
      </c>
      <c r="C419" s="43" t="str">
        <f>hyperlink("https://au.indeed.com/viewjob?jk=0193dd0b40e63196","Project Engineer")</f>
        <v>Project Engineer</v>
      </c>
      <c r="D419" s="42" t="s">
        <v>501</v>
      </c>
      <c r="E419" s="44">
        <v>44189.71934027778</v>
      </c>
    </row>
    <row r="420">
      <c r="A420" s="42"/>
      <c r="B420" s="42" t="s">
        <v>45</v>
      </c>
      <c r="C420" s="43" t="str">
        <f>hyperlink("https://au.indeed.com/viewjob?jk=e0695c1aade40875","Project Engineer")</f>
        <v>Project Engineer</v>
      </c>
      <c r="D420" s="42" t="s">
        <v>503</v>
      </c>
      <c r="E420" s="44">
        <v>44189.719456018516</v>
      </c>
    </row>
    <row r="421">
      <c r="A421" s="42"/>
      <c r="B421" s="42" t="s">
        <v>45</v>
      </c>
      <c r="C421" s="43" t="str">
        <f>hyperlink("https://au.indeed.com/viewjob?jk=571a060e52f6e81d","Project Engineer")</f>
        <v>Project Engineer</v>
      </c>
      <c r="D421" s="42" t="s">
        <v>484</v>
      </c>
      <c r="E421" s="44">
        <v>44189.719560185185</v>
      </c>
    </row>
    <row r="422">
      <c r="A422" s="42"/>
      <c r="B422" s="42" t="s">
        <v>45</v>
      </c>
      <c r="C422" s="43" t="str">
        <f>hyperlink("https://au.indeed.com/viewjob?jk=ad8828d56ccbe6bc","Senior Project Engineer")</f>
        <v>Senior Project Engineer</v>
      </c>
      <c r="D422" s="42" t="s">
        <v>491</v>
      </c>
      <c r="E422" s="44">
        <v>44189.719664351855</v>
      </c>
    </row>
    <row r="423">
      <c r="A423" s="42"/>
      <c r="B423" s="42" t="s">
        <v>45</v>
      </c>
      <c r="C423" s="43" t="str">
        <f>hyperlink("https://au.indeed.com/viewjob?jk=95f6cafacfd6310a","Senior Project Engineer")</f>
        <v>Senior Project Engineer</v>
      </c>
      <c r="D423" s="42" t="s">
        <v>502</v>
      </c>
      <c r="E423" s="44">
        <v>44189.71975694445</v>
      </c>
    </row>
    <row r="424">
      <c r="A424" s="42"/>
      <c r="B424" s="42" t="s">
        <v>45</v>
      </c>
      <c r="C424" s="43" t="str">
        <f>hyperlink("https://au.indeed.com/viewjob?jk=860c9652db685426","Project Engineer - Electrical")</f>
        <v>Project Engineer - Electrical</v>
      </c>
      <c r="D424" s="42" t="s">
        <v>535</v>
      </c>
      <c r="E424" s="44">
        <v>44189.719872685186</v>
      </c>
    </row>
    <row r="425">
      <c r="A425" s="42"/>
      <c r="B425" s="42" t="s">
        <v>45</v>
      </c>
      <c r="C425" s="43" t="str">
        <f>hyperlink("https://au.indeed.com/viewjob?jk=3ae1e05a57d2f428","Project Engineer - Cross River Rail")</f>
        <v>Project Engineer - Cross River Rail</v>
      </c>
      <c r="D425" s="42" t="s">
        <v>519</v>
      </c>
      <c r="E425" s="44">
        <v>44189.72</v>
      </c>
    </row>
    <row r="426">
      <c r="A426" s="42"/>
      <c r="B426" s="42" t="s">
        <v>45</v>
      </c>
      <c r="C426" s="43" t="str">
        <f>hyperlink("https://au.indeed.com/viewjob?jk=ef3d5eff2b709b44","Project Engineer")</f>
        <v>Project Engineer</v>
      </c>
      <c r="D426" s="42" t="s">
        <v>474</v>
      </c>
      <c r="E426" s="44">
        <v>44189.72010416666</v>
      </c>
    </row>
    <row r="427">
      <c r="A427" s="42"/>
      <c r="B427" s="42" t="s">
        <v>45</v>
      </c>
      <c r="C427" s="43" t="str">
        <f>hyperlink("https://au.indeed.com/viewjob?jk=e0950cf5c0b8482b","Project Engineer")</f>
        <v>Project Engineer</v>
      </c>
      <c r="D427" s="42" t="s">
        <v>532</v>
      </c>
      <c r="E427" s="44">
        <v>44189.72021990741</v>
      </c>
    </row>
    <row r="428">
      <c r="A428" s="42"/>
      <c r="B428" s="42" t="s">
        <v>45</v>
      </c>
      <c r="C428" s="43" t="str">
        <f>hyperlink("https://au.indeed.com/viewjob?jk=fcf55626fffad39a","Project Engineer – Food and Beverage Projects (Intermediate level)")</f>
        <v>Project Engineer – Food and Beverage Projects (Intermediate level)</v>
      </c>
      <c r="D428" s="42" t="s">
        <v>548</v>
      </c>
      <c r="E428" s="44">
        <v>44189.72033564815</v>
      </c>
    </row>
    <row r="429">
      <c r="A429" s="42"/>
      <c r="B429" s="42" t="s">
        <v>45</v>
      </c>
      <c r="C429" s="43" t="str">
        <f>hyperlink("https://au.indeed.com/viewjob?jk=10d33bbd692e8dfc","Project Engineer / Lead")</f>
        <v>Project Engineer / Lead</v>
      </c>
      <c r="D429" s="42" t="s">
        <v>506</v>
      </c>
      <c r="E429" s="44">
        <v>44189.72043981482</v>
      </c>
    </row>
    <row r="430">
      <c r="A430" s="42"/>
      <c r="B430" s="42" t="s">
        <v>45</v>
      </c>
      <c r="C430" s="43" t="str">
        <f>hyperlink("https://au.indeed.com/viewjob?jk=5e22d9c99a10c34e","Civil Infrastructure – Project Engineer")</f>
        <v>Civil Infrastructure – Project Engineer</v>
      </c>
      <c r="D430" s="42" t="s">
        <v>491</v>
      </c>
      <c r="E430" s="44">
        <v>44189.72054398148</v>
      </c>
    </row>
    <row r="431">
      <c r="A431" s="42"/>
      <c r="B431" s="42" t="s">
        <v>45</v>
      </c>
      <c r="C431" s="43" t="str">
        <f>hyperlink("https://au.indeed.com/viewjob?jk=3538e335821d9ac8","Expressions of Interest | Project Engineers, Water")</f>
        <v>Expressions of Interest | Project Engineers, Water</v>
      </c>
      <c r="D431" s="42" t="s">
        <v>459</v>
      </c>
      <c r="E431" s="44">
        <v>44189.721041666664</v>
      </c>
    </row>
    <row r="432">
      <c r="A432" s="42"/>
      <c r="B432" s="42" t="s">
        <v>45</v>
      </c>
      <c r="C432" s="43" t="str">
        <f>hyperlink("https://au.indeed.com/viewjob?jk=b1dbf913040313aa","EOI - Security Systems Project Engineer, Pacific")</f>
        <v>EOI - Security Systems Project Engineer, Pacific</v>
      </c>
      <c r="D432" s="42" t="s">
        <v>549</v>
      </c>
      <c r="E432" s="44">
        <v>44189.721134259256</v>
      </c>
    </row>
    <row r="433">
      <c r="A433" s="42"/>
      <c r="B433" s="42" t="s">
        <v>45</v>
      </c>
      <c r="C433" s="43" t="str">
        <f>hyperlink("https://au.indeed.com/viewjob?jk=013dd81125672d36","Electrical Project Engineer - Confluence Water")</f>
        <v>Electrical Project Engineer - Confluence Water</v>
      </c>
      <c r="D433" s="42" t="s">
        <v>484</v>
      </c>
      <c r="E433" s="44">
        <v>44189.72143518519</v>
      </c>
    </row>
    <row r="434">
      <c r="A434" s="42"/>
      <c r="B434" s="42" t="s">
        <v>45</v>
      </c>
      <c r="C434" s="43" t="str">
        <f>hyperlink("https://au.indeed.com/viewjob?jk=7c3b08401cd9c67d","Project Engineer - Wastewater Treatment Plants")</f>
        <v>Project Engineer - Wastewater Treatment Plants</v>
      </c>
      <c r="D434" s="42" t="s">
        <v>484</v>
      </c>
      <c r="E434" s="44">
        <v>44189.72190972222</v>
      </c>
    </row>
    <row r="435">
      <c r="A435" s="42"/>
      <c r="B435" s="42" t="s">
        <v>45</v>
      </c>
      <c r="C435" s="43" t="str">
        <f>hyperlink("https://au.indeed.com/viewjob?jk=27b8a09c239fc098","Project Engineer")</f>
        <v>Project Engineer</v>
      </c>
      <c r="D435" s="42" t="s">
        <v>541</v>
      </c>
      <c r="E435" s="44">
        <v>44189.722037037034</v>
      </c>
    </row>
    <row r="436">
      <c r="A436" s="42"/>
      <c r="B436" s="42" t="s">
        <v>45</v>
      </c>
      <c r="C436" s="43" t="str">
        <f>hyperlink("https://au.indeed.com/viewjob?jk=6b2ae4305744563b","Project Engineer")</f>
        <v>Project Engineer</v>
      </c>
      <c r="D436" s="42" t="s">
        <v>478</v>
      </c>
      <c r="E436" s="44">
        <v>44189.7221412037</v>
      </c>
    </row>
    <row r="437">
      <c r="A437" s="42"/>
      <c r="B437" s="42" t="s">
        <v>45</v>
      </c>
      <c r="C437" s="43" t="str">
        <f>hyperlink("https://au.indeed.com/viewjob?jk=bb1b0ecf442ecaf9","Service Project Engineer")</f>
        <v>Service Project Engineer</v>
      </c>
      <c r="D437" s="42" t="s">
        <v>460</v>
      </c>
      <c r="E437" s="44">
        <v>44189.72224537037</v>
      </c>
    </row>
    <row r="438">
      <c r="A438" s="42"/>
      <c r="B438" s="42" t="s">
        <v>45</v>
      </c>
      <c r="C438" s="43" t="str">
        <f>hyperlink("https://au.indeed.com/viewjob?jk=a2d54aab9aaa87d3","Project Engineer")</f>
        <v>Project Engineer</v>
      </c>
      <c r="D438" s="42" t="s">
        <v>540</v>
      </c>
      <c r="E438" s="44">
        <v>44189.722349537034</v>
      </c>
    </row>
    <row r="439">
      <c r="A439" s="42"/>
      <c r="B439" s="42" t="s">
        <v>45</v>
      </c>
      <c r="C439" s="43" t="str">
        <f>hyperlink("https://au.indeed.com/viewjob?jk=4ab351466ed76779","Senior Project Network Engineer")</f>
        <v>Senior Project Network Engineer</v>
      </c>
      <c r="D439" s="42" t="s">
        <v>465</v>
      </c>
      <c r="E439" s="44">
        <v>44189.72246527778</v>
      </c>
    </row>
    <row r="440">
      <c r="A440" s="42"/>
      <c r="B440" s="42" t="s">
        <v>45</v>
      </c>
      <c r="C440" s="43" t="str">
        <f>hyperlink("https://au.indeed.com/viewjob?jk=52a0bbbe8d46e365","Project Engineer")</f>
        <v>Project Engineer</v>
      </c>
      <c r="D440" s="42" t="s">
        <v>550</v>
      </c>
      <c r="E440" s="44">
        <v>44189.722604166665</v>
      </c>
    </row>
    <row r="441">
      <c r="A441" s="42"/>
      <c r="B441" s="42" t="s">
        <v>45</v>
      </c>
      <c r="C441" s="43" t="str">
        <f>hyperlink("https://au.indeed.com/viewjob?jk=d2f6c944143332f2","Chief Project Engineer")</f>
        <v>Chief Project Engineer</v>
      </c>
      <c r="D441" s="42" t="s">
        <v>514</v>
      </c>
      <c r="E441" s="44">
        <v>44189.722719907404</v>
      </c>
    </row>
    <row r="442">
      <c r="A442" s="42"/>
      <c r="B442" s="42" t="s">
        <v>45</v>
      </c>
      <c r="C442" s="43" t="str">
        <f>hyperlink("https://au.indeed.com/viewjob?jk=1dfa7484f80e1b48","Project Engineer - Cranes &amp; Hoists")</f>
        <v>Project Engineer - Cranes &amp; Hoists</v>
      </c>
      <c r="D442" s="42" t="s">
        <v>543</v>
      </c>
      <c r="E442" s="44">
        <v>44189.72284722222</v>
      </c>
    </row>
    <row r="443">
      <c r="A443" s="42"/>
      <c r="B443" s="42" t="s">
        <v>45</v>
      </c>
      <c r="C443" s="43" t="str">
        <f>hyperlink("https://au.indeed.com/viewjob?jk=1aab41e11ccfb55a","Senior Project Engineer – Civil")</f>
        <v>Senior Project Engineer – Civil</v>
      </c>
      <c r="D443" s="42" t="s">
        <v>464</v>
      </c>
      <c r="E443" s="44">
        <v>44189.72295138889</v>
      </c>
    </row>
    <row r="444">
      <c r="A444" s="42"/>
      <c r="B444" s="42" t="s">
        <v>45</v>
      </c>
      <c r="C444" s="43" t="str">
        <f>hyperlink("https://au.indeed.com/viewjob?jk=18315e68c7718de3","Senior Project Engineer")</f>
        <v>Senior Project Engineer</v>
      </c>
      <c r="D444" s="42" t="s">
        <v>484</v>
      </c>
      <c r="E444" s="44">
        <v>44189.72306712963</v>
      </c>
    </row>
    <row r="445">
      <c r="A445" s="42"/>
      <c r="B445" s="42" t="s">
        <v>45</v>
      </c>
      <c r="C445" s="43" t="str">
        <f>hyperlink("https://au.indeed.com/viewjob?jk=e8a04ba003777a80","Senior Project Engineer - Electrical")</f>
        <v>Senior Project Engineer - Electrical</v>
      </c>
      <c r="D445" s="42" t="s">
        <v>501</v>
      </c>
      <c r="E445" s="44">
        <v>44189.72356481481</v>
      </c>
    </row>
    <row r="446">
      <c r="A446" s="42"/>
      <c r="B446" s="42" t="s">
        <v>45</v>
      </c>
      <c r="C446" s="43" t="str">
        <f>hyperlink("https://au.indeed.com/viewjob?jk=4d0272e022b96afe","Senior Project Engineer")</f>
        <v>Senior Project Engineer</v>
      </c>
      <c r="D446" s="42" t="s">
        <v>513</v>
      </c>
      <c r="E446" s="44">
        <v>44189.72369212963</v>
      </c>
    </row>
    <row r="447">
      <c r="A447" s="42"/>
      <c r="B447" s="42" t="s">
        <v>45</v>
      </c>
      <c r="C447" s="43" t="str">
        <f>hyperlink("https://au.indeed.com/viewjob?jk=ab314ac19350bdb6","BMS Project Engineer")</f>
        <v>BMS Project Engineer</v>
      </c>
      <c r="D447" s="42" t="s">
        <v>507</v>
      </c>
      <c r="E447" s="44">
        <v>44189.72381944444</v>
      </c>
    </row>
    <row r="448">
      <c r="A448" s="42"/>
      <c r="B448" s="42" t="s">
        <v>45</v>
      </c>
      <c r="C448" s="43" t="str">
        <f>hyperlink("https://au.indeed.com/viewjob?jk=e2382c678f96a77a","Junior Project Engineer")</f>
        <v>Junior Project Engineer</v>
      </c>
      <c r="D448" s="42" t="s">
        <v>516</v>
      </c>
      <c r="E448" s="44">
        <v>44189.72393518518</v>
      </c>
    </row>
    <row r="449">
      <c r="A449" s="42"/>
      <c r="B449" s="42" t="s">
        <v>45</v>
      </c>
      <c r="C449" s="43" t="str">
        <f>hyperlink("https://au.indeed.com/viewjob?jk=d6628d30482699da","Project Engineer")</f>
        <v>Project Engineer</v>
      </c>
      <c r="D449" s="42" t="s">
        <v>541</v>
      </c>
      <c r="E449" s="44">
        <v>44189.72403935185</v>
      </c>
    </row>
    <row r="450">
      <c r="A450" s="42"/>
      <c r="B450" s="42" t="s">
        <v>45</v>
      </c>
      <c r="C450" s="43" t="str">
        <f>hyperlink("https://au.indeed.com/viewjob?jk=0a7886f2703bdeb1","Project Engineer")</f>
        <v>Project Engineer</v>
      </c>
      <c r="D450" s="42" t="s">
        <v>514</v>
      </c>
      <c r="E450" s="44">
        <v>44189.724756944444</v>
      </c>
    </row>
    <row r="451">
      <c r="A451" s="42"/>
      <c r="B451" s="42" t="s">
        <v>45</v>
      </c>
      <c r="C451" s="43" t="str">
        <f>hyperlink("https://au.indeed.com/viewjob?jk=b52388bdec501ccd","Project Engineer")</f>
        <v>Project Engineer</v>
      </c>
      <c r="D451" s="42" t="s">
        <v>540</v>
      </c>
      <c r="E451" s="44">
        <v>44189.72486111111</v>
      </c>
    </row>
    <row r="452">
      <c r="A452" s="42"/>
      <c r="B452" s="42" t="s">
        <v>45</v>
      </c>
      <c r="C452" s="43" t="str">
        <f>hyperlink("https://au.indeed.com/viewjob?jk=e3e1d22d35a851fa","Senior Project Engineer")</f>
        <v>Senior Project Engineer</v>
      </c>
      <c r="D452" s="42" t="s">
        <v>517</v>
      </c>
      <c r="E452" s="44">
        <v>44189.724965277775</v>
      </c>
    </row>
    <row r="453">
      <c r="A453" s="42"/>
      <c r="B453" s="42" t="s">
        <v>49</v>
      </c>
      <c r="C453" s="43" t="str">
        <f>hyperlink("https://au.indeed.com/viewjob?jk=959bad1c6e015189","Site Reliability Engineer - Core Engineering")</f>
        <v>Site Reliability Engineer - Core Engineering</v>
      </c>
      <c r="D453" s="42" t="s">
        <v>490</v>
      </c>
      <c r="E453" s="44">
        <v>44189.725127314814</v>
      </c>
    </row>
    <row r="454">
      <c r="A454" s="42"/>
      <c r="B454" s="42" t="s">
        <v>49</v>
      </c>
      <c r="C454" s="43" t="str">
        <f>hyperlink("https://au.indeed.com/viewjob?jk=829f9a6cfb9e0fb7","Site Reliability Engineer")</f>
        <v>Site Reliability Engineer</v>
      </c>
      <c r="D454" s="42" t="s">
        <v>486</v>
      </c>
      <c r="E454" s="44">
        <v>44189.72523148148</v>
      </c>
    </row>
    <row r="455">
      <c r="A455" s="42"/>
      <c r="B455" s="42" t="s">
        <v>49</v>
      </c>
      <c r="C455" s="43" t="str">
        <f>hyperlink("https://au.indeed.com/viewjob?jk=01e5e022f31530c3","Site Reliability Engineer - Networking")</f>
        <v>Site Reliability Engineer - Networking</v>
      </c>
      <c r="D455" s="42" t="s">
        <v>462</v>
      </c>
      <c r="E455" s="44">
        <v>44189.725335648145</v>
      </c>
    </row>
    <row r="456">
      <c r="A456" s="42"/>
      <c r="B456" s="42" t="s">
        <v>49</v>
      </c>
      <c r="C456" s="43" t="str">
        <f>hyperlink("https://au.indeed.com/viewjob?jk=03f2617303fd4cf4","Site Reliability Engineer - Managed Services")</f>
        <v>Site Reliability Engineer - Managed Services</v>
      </c>
      <c r="D456" s="42" t="s">
        <v>470</v>
      </c>
      <c r="E456" s="44">
        <v>44189.725439814814</v>
      </c>
    </row>
    <row r="457">
      <c r="A457" s="42"/>
      <c r="B457" s="42" t="s">
        <v>49</v>
      </c>
      <c r="C457" s="43" t="str">
        <f>hyperlink("https://au.indeed.com/viewjob?jk=72419708d2feb41f","Staff Site Reliability Engineer - Federal")</f>
        <v>Staff Site Reliability Engineer - Federal</v>
      </c>
      <c r="D457" s="42" t="s">
        <v>525</v>
      </c>
      <c r="E457" s="44">
        <v>44189.72555555555</v>
      </c>
    </row>
    <row r="458">
      <c r="A458" s="42"/>
      <c r="B458" s="42" t="s">
        <v>49</v>
      </c>
      <c r="C458" s="43" t="str">
        <f>hyperlink("https://au.indeed.com/viewjob?jk=b00717181e04d23a","Systems Reliability Engineer")</f>
        <v>Systems Reliability Engineer</v>
      </c>
      <c r="D458" s="42" t="s">
        <v>509</v>
      </c>
      <c r="E458" s="44">
        <v>44189.726064814815</v>
      </c>
    </row>
    <row r="459">
      <c r="A459" s="42"/>
      <c r="B459" s="42" t="s">
        <v>49</v>
      </c>
      <c r="C459" s="43" t="str">
        <f>hyperlink("https://au.indeed.com/viewjob?jk=643234569ba2582a","Cloud Data Services Site Reliability Engineer")</f>
        <v>Cloud Data Services Site Reliability Engineer</v>
      </c>
      <c r="D459" s="42" t="s">
        <v>496</v>
      </c>
      <c r="E459" s="44">
        <v>44189.726631944446</v>
      </c>
    </row>
    <row r="460">
      <c r="A460" s="42"/>
      <c r="B460" s="42" t="s">
        <v>49</v>
      </c>
      <c r="C460" s="43" t="str">
        <f>hyperlink("https://au.indeed.com/viewjob?jk=3eb4e4de00f79bfa","Site Reliability Engineer")</f>
        <v>Site Reliability Engineer</v>
      </c>
      <c r="D460" s="42" t="s">
        <v>542</v>
      </c>
      <c r="E460" s="44">
        <v>44189.72673611111</v>
      </c>
    </row>
    <row r="461">
      <c r="A461" s="42"/>
      <c r="B461" s="42" t="s">
        <v>49</v>
      </c>
      <c r="C461" s="43" t="str">
        <f>hyperlink("https://au.indeed.com/viewjob?jk=45955d2763b6181c","Site Reliability Engineer - Core Engineering")</f>
        <v>Site Reliability Engineer - Core Engineering</v>
      </c>
      <c r="D461" s="42" t="s">
        <v>490</v>
      </c>
      <c r="E461" s="44">
        <v>44189.726851851854</v>
      </c>
    </row>
    <row r="462">
      <c r="A462" s="42"/>
      <c r="B462" s="42" t="s">
        <v>49</v>
      </c>
      <c r="C462" s="43" t="str">
        <f>hyperlink("https://au.indeed.com/viewjob?jk=63e51356ddfa1c4a","Site Reliability Engineer (Remote, AUS)")</f>
        <v>Site Reliability Engineer (Remote, AUS)</v>
      </c>
      <c r="D462" s="42" t="s">
        <v>480</v>
      </c>
      <c r="E462" s="44">
        <v>44189.726956018516</v>
      </c>
    </row>
    <row r="463">
      <c r="A463" s="42"/>
      <c r="B463" s="42" t="s">
        <v>49</v>
      </c>
      <c r="C463" s="43" t="str">
        <f>hyperlink("https://au.indeed.com/viewjob?jk=58dd89da4197a434","Site Reliability Engineer (Investment Data)")</f>
        <v>Site Reliability Engineer (Investment Data)</v>
      </c>
      <c r="D463" s="42" t="s">
        <v>482</v>
      </c>
      <c r="E463" s="44">
        <v>44189.727743055555</v>
      </c>
    </row>
    <row r="464">
      <c r="A464" s="42"/>
      <c r="B464" s="42" t="s">
        <v>49</v>
      </c>
      <c r="C464" s="43" t="str">
        <f>hyperlink("https://au.indeed.com/viewjob?jk=6183cefe84d34954","Site Reliability Engineer (Jira Cloud)")</f>
        <v>Site Reliability Engineer (Jira Cloud)</v>
      </c>
      <c r="D464" s="42" t="s">
        <v>468</v>
      </c>
      <c r="E464" s="44">
        <v>44189.727858796294</v>
      </c>
    </row>
    <row r="465">
      <c r="A465" s="42"/>
      <c r="B465" s="42" t="s">
        <v>49</v>
      </c>
      <c r="C465" s="43" t="str">
        <f>hyperlink("https://au.indeed.com/viewjob?jk=12178f2cb06800df","Reliability Engineer")</f>
        <v>Reliability Engineer</v>
      </c>
      <c r="D465" s="42" t="s">
        <v>492</v>
      </c>
      <c r="E465" s="44">
        <v>44189.72796296296</v>
      </c>
    </row>
    <row r="466">
      <c r="A466" s="42"/>
      <c r="B466" s="42" t="s">
        <v>49</v>
      </c>
      <c r="C466" s="43" t="str">
        <f>hyperlink("https://au.indeed.com/viewjob?jk=7997686a763d16f6","Graduate Site Reliability Engineer")</f>
        <v>Graduate Site Reliability Engineer</v>
      </c>
      <c r="D466" s="42" t="s">
        <v>522</v>
      </c>
      <c r="E466" s="44">
        <v>44189.72806712963</v>
      </c>
    </row>
    <row r="467">
      <c r="A467" s="42"/>
      <c r="B467" s="42" t="s">
        <v>49</v>
      </c>
      <c r="C467" s="43" t="str">
        <f>hyperlink("https://au.indeed.com/viewjob?jk=619d7fe0db91d1e1","Senior Site Reliability Engineer (Fully Remote)")</f>
        <v>Senior Site Reliability Engineer (Fully Remote)</v>
      </c>
      <c r="D467" s="42" t="s">
        <v>477</v>
      </c>
      <c r="E467" s="44">
        <v>44189.72819444445</v>
      </c>
    </row>
    <row r="468">
      <c r="A468" s="42"/>
      <c r="B468" s="42" t="s">
        <v>49</v>
      </c>
      <c r="C468" s="43" t="str">
        <f>hyperlink("https://au.indeed.com/viewjob?jk=59c0de8b51eb78f6","Site Reliability Engineer")</f>
        <v>Site Reliability Engineer</v>
      </c>
      <c r="D468" s="42" t="s">
        <v>515</v>
      </c>
      <c r="E468" s="44">
        <v>44189.72829861111</v>
      </c>
    </row>
    <row r="469">
      <c r="A469" s="42"/>
      <c r="B469" s="42" t="s">
        <v>49</v>
      </c>
      <c r="C469" s="43" t="str">
        <f>hyperlink("https://au.indeed.com/viewjob?jk=6bdb159386e828c8","Site Reliability Engineer")</f>
        <v>Site Reliability Engineer</v>
      </c>
      <c r="D469" s="42" t="s">
        <v>522</v>
      </c>
      <c r="E469" s="44">
        <v>44189.728425925925</v>
      </c>
    </row>
    <row r="470">
      <c r="A470" s="42"/>
      <c r="B470" s="42" t="s">
        <v>49</v>
      </c>
      <c r="C470" s="43" t="str">
        <f>hyperlink("https://au.indeed.com/viewjob?jk=75ba22a6cdbc9ad9","Site Reliability Engineer")</f>
        <v>Site Reliability Engineer</v>
      </c>
      <c r="D470" s="42" t="s">
        <v>522</v>
      </c>
      <c r="E470" s="44">
        <v>44189.728541666664</v>
      </c>
    </row>
    <row r="471">
      <c r="A471" s="42"/>
      <c r="B471" s="42" t="s">
        <v>49</v>
      </c>
      <c r="C471" s="43" t="str">
        <f>hyperlink("https://au.indeed.com/viewjob?jk=0ccee39bcfef7cc8","Site Reliability Engineer - Managed Services")</f>
        <v>Site Reliability Engineer - Managed Services</v>
      </c>
      <c r="D471" s="42" t="s">
        <v>470</v>
      </c>
      <c r="E471" s="44">
        <v>44189.72865740741</v>
      </c>
    </row>
    <row r="472">
      <c r="A472" s="42"/>
      <c r="B472" s="42" t="s">
        <v>49</v>
      </c>
      <c r="C472" s="43" t="str">
        <f>hyperlink("https://au.indeed.com/viewjob?jk=4fea98d66d899308","Site Reliability Engineer")</f>
        <v>Site Reliability Engineer</v>
      </c>
      <c r="D472" s="42" t="s">
        <v>473</v>
      </c>
      <c r="E472" s="44">
        <v>44189.72876157407</v>
      </c>
    </row>
    <row r="473">
      <c r="A473" s="42"/>
      <c r="B473" s="42" t="s">
        <v>49</v>
      </c>
      <c r="C473" s="43" t="str">
        <f>hyperlink("https://au.indeed.com/viewjob?jk=af69ec11b2694557","Site Reliability Engineer")</f>
        <v>Site Reliability Engineer</v>
      </c>
      <c r="D473" s="42"/>
      <c r="E473" s="44">
        <v>44189.72887731482</v>
      </c>
    </row>
    <row r="474">
      <c r="A474" s="42"/>
      <c r="B474" s="42" t="s">
        <v>50</v>
      </c>
      <c r="C474" s="43" t="str">
        <f>hyperlink("https://au.indeed.com/viewjob?jk=3ee9f9d45f789dcd","Data Center Services Engineer")</f>
        <v>Data Center Services Engineer</v>
      </c>
      <c r="D474" s="42" t="s">
        <v>487</v>
      </c>
      <c r="E474" s="44">
        <v>44189.72939814815</v>
      </c>
    </row>
    <row r="475">
      <c r="A475" s="42"/>
      <c r="B475" s="42" t="s">
        <v>51</v>
      </c>
      <c r="C475" s="43" t="str">
        <f>hyperlink("https://au.indeed.com/viewjob?jk=3e71fd5ddd392dea","Site Engineer")</f>
        <v>Site Engineer</v>
      </c>
      <c r="D475" s="42" t="s">
        <v>502</v>
      </c>
      <c r="E475" s="44">
        <v>44189.72956018519</v>
      </c>
    </row>
    <row r="476">
      <c r="A476" s="42"/>
      <c r="B476" s="42" t="s">
        <v>51</v>
      </c>
      <c r="C476" s="43" t="str">
        <f>hyperlink("https://au.indeed.com/viewjob?jk=35a8005e8e907ed2","Site Engineer")</f>
        <v>Site Engineer</v>
      </c>
      <c r="D476" s="42" t="s">
        <v>526</v>
      </c>
      <c r="E476" s="44">
        <v>44189.72966435185</v>
      </c>
    </row>
    <row r="477">
      <c r="A477" s="42"/>
      <c r="B477" s="42" t="s">
        <v>51</v>
      </c>
      <c r="C477" s="43" t="str">
        <f>hyperlink("https://au.indeed.com/viewjob?jk=254f9b20ec022576","Site Engineer")</f>
        <v>Site Engineer</v>
      </c>
      <c r="D477" s="42" t="s">
        <v>505</v>
      </c>
      <c r="E477" s="44">
        <v>44189.730150462965</v>
      </c>
    </row>
    <row r="478">
      <c r="A478" s="42"/>
      <c r="B478" s="42" t="s">
        <v>51</v>
      </c>
      <c r="C478" s="43" t="str">
        <f>hyperlink("https://au.indeed.com/viewjob?jk=f34731105e05dda8","Site Engineer")</f>
        <v>Site Engineer</v>
      </c>
      <c r="D478" s="42" t="s">
        <v>544</v>
      </c>
      <c r="E478" s="44">
        <v>44189.73027777778</v>
      </c>
    </row>
    <row r="479">
      <c r="A479" s="42"/>
      <c r="B479" s="42" t="s">
        <v>51</v>
      </c>
      <c r="C479" s="43" t="str">
        <f>hyperlink("https://au.indeed.com/viewjob?jk=a5a1f8b31271bba4","Civil Infrastructure – Site Engineer")</f>
        <v>Civil Infrastructure – Site Engineer</v>
      </c>
      <c r="D479" s="42" t="s">
        <v>491</v>
      </c>
      <c r="E479" s="44">
        <v>44189.73082175926</v>
      </c>
    </row>
    <row r="480">
      <c r="A480" s="42"/>
      <c r="B480" s="42" t="s">
        <v>51</v>
      </c>
      <c r="C480" s="43" t="str">
        <f>hyperlink("https://au.indeed.com/viewjob?jk=ae7c1a4e85163f47","Senior Structural-Site Engineer January Start ok?")</f>
        <v>Senior Structural-Site Engineer January Start ok?</v>
      </c>
      <c r="D480" s="42" t="s">
        <v>510</v>
      </c>
      <c r="E480" s="44">
        <v>44189.7309375</v>
      </c>
    </row>
    <row r="481">
      <c r="A481" s="42"/>
      <c r="B481" s="42" t="s">
        <v>53</v>
      </c>
      <c r="C481" s="43" t="str">
        <f>hyperlink("https://au.indeed.com/viewjob?jk=32823a94b5db405b","Utilities Engineer")</f>
        <v>Utilities Engineer</v>
      </c>
      <c r="D481" s="42" t="s">
        <v>466</v>
      </c>
      <c r="E481" s="44">
        <v>44189.731087962966</v>
      </c>
    </row>
    <row r="482">
      <c r="A482" s="42"/>
      <c r="B482" s="42" t="s">
        <v>54</v>
      </c>
      <c r="C482" s="43" t="str">
        <f>hyperlink("https://au.indeed.com/viewjob?jk=29616298127a7084","Principal Product Engineer")</f>
        <v>Principal Product Engineer</v>
      </c>
      <c r="D482" s="42" t="s">
        <v>523</v>
      </c>
      <c r="E482" s="44">
        <v>44189.73122685185</v>
      </c>
    </row>
    <row r="483">
      <c r="A483" s="42"/>
      <c r="B483" s="42" t="s">
        <v>54</v>
      </c>
      <c r="C483" s="43" t="str">
        <f>hyperlink("https://au.indeed.com/viewjob?jk=fd275adb012f8df3","DevOps/Product Engineer/Developer")</f>
        <v>DevOps/Product Engineer/Developer</v>
      </c>
      <c r="D483" s="42" t="s">
        <v>531</v>
      </c>
      <c r="E483" s="44">
        <v>44189.73133101852</v>
      </c>
    </row>
    <row r="484">
      <c r="A484" s="42"/>
      <c r="B484" s="42" t="s">
        <v>54</v>
      </c>
      <c r="C484" s="43" t="str">
        <f>hyperlink("https://au.indeed.com/viewjob?jk=0f94254268ad1e39","Technical Product Engineer")</f>
        <v>Technical Product Engineer</v>
      </c>
      <c r="D484" s="42" t="s">
        <v>488</v>
      </c>
      <c r="E484" s="44">
        <v>44189.73144675926</v>
      </c>
    </row>
    <row r="485">
      <c r="A485" s="42"/>
      <c r="B485" s="42" t="s">
        <v>54</v>
      </c>
      <c r="C485" s="43" t="str">
        <f>hyperlink("https://au.indeed.com/viewjob?jk=c2ea7c7c59717a98","Principal Product Engineer")</f>
        <v>Principal Product Engineer</v>
      </c>
      <c r="D485" s="42" t="s">
        <v>523</v>
      </c>
      <c r="E485" s="44">
        <v>44189.73155092593</v>
      </c>
    </row>
    <row r="486">
      <c r="A486" s="42"/>
      <c r="B486" s="42" t="s">
        <v>54</v>
      </c>
      <c r="C486" s="43" t="str">
        <f>hyperlink("https://au.indeed.com/viewjob?jk=1cf18b3a9c1a693e","Senior Product Engineer")</f>
        <v>Senior Product Engineer</v>
      </c>
      <c r="D486" s="42" t="s">
        <v>523</v>
      </c>
      <c r="E486" s="44">
        <v>44189.73165509259</v>
      </c>
    </row>
    <row r="487">
      <c r="A487" s="42"/>
      <c r="B487" s="42" t="s">
        <v>32</v>
      </c>
      <c r="C487" s="43" t="str">
        <f>hyperlink("https://au.indeed.com/viewjob?jk=90bdd822e97ef60a","Asset Engineer - Roads and Structural Assets")</f>
        <v>Asset Engineer - Roads and Structural Assets</v>
      </c>
      <c r="D487" s="42" t="s">
        <v>551</v>
      </c>
      <c r="E487" s="47">
        <v>44202.36280092593</v>
      </c>
    </row>
    <row r="488">
      <c r="A488" s="42"/>
      <c r="B488" s="42" t="s">
        <v>33</v>
      </c>
      <c r="C488" s="43" t="str">
        <f>hyperlink("https://au.indeed.com/viewjob?jk=46b97aab8ab1e49f","Mechanical Design Engineer")</f>
        <v>Mechanical Design Engineer</v>
      </c>
      <c r="D488" s="42" t="s">
        <v>518</v>
      </c>
      <c r="E488" s="47">
        <v>44202.36400462963</v>
      </c>
    </row>
    <row r="489">
      <c r="A489" s="42"/>
      <c r="B489" s="42" t="s">
        <v>36</v>
      </c>
      <c r="C489" s="43" t="str">
        <f>hyperlink("https://au.indeed.com/viewjob?jk=045d538da34c3c6a","Flood / Storm water Infrastructure Engineer")</f>
        <v>Flood / Storm water Infrastructure Engineer</v>
      </c>
      <c r="D489" s="42" t="s">
        <v>552</v>
      </c>
      <c r="E489" s="47">
        <v>44202.366215277776</v>
      </c>
    </row>
    <row r="490">
      <c r="A490" s="42"/>
      <c r="B490" s="42" t="s">
        <v>36</v>
      </c>
      <c r="C490" s="43" t="str">
        <f>hyperlink("https://au.indeed.com/viewjob?jk=efd0db82f7b3e48d","System Infrastructure Engineer")</f>
        <v>System Infrastructure Engineer</v>
      </c>
      <c r="D490" s="42" t="s">
        <v>547</v>
      </c>
      <c r="E490" s="47">
        <v>44202.36635416667</v>
      </c>
    </row>
    <row r="491">
      <c r="A491" s="42"/>
      <c r="B491" s="42" t="s">
        <v>26</v>
      </c>
      <c r="C491" s="43" t="str">
        <f>hyperlink("https://au.indeed.com/viewjob?jk=51df7685cf2996dd","HVAC Junior Project Manager")</f>
        <v>HVAC Junior Project Manager</v>
      </c>
      <c r="D491" s="42" t="s">
        <v>492</v>
      </c>
      <c r="E491" s="47">
        <v>44209.725</v>
      </c>
    </row>
    <row r="492">
      <c r="A492" s="42"/>
      <c r="B492" s="42" t="s">
        <v>26</v>
      </c>
      <c r="C492" s="43" t="str">
        <f>hyperlink("https://au.indeed.com/viewjob?jk=da2f8aff1497a689","Mechanical Engineer")</f>
        <v>Mechanical Engineer</v>
      </c>
      <c r="D492" s="42" t="s">
        <v>539</v>
      </c>
      <c r="E492" s="47">
        <v>44209.72511574074</v>
      </c>
    </row>
    <row r="493">
      <c r="A493" s="42"/>
      <c r="B493" s="42" t="s">
        <v>26</v>
      </c>
      <c r="C493" s="43" t="str">
        <f>hyperlink("https://au.indeed.com/viewjob?jk=1724d71ffd9e4be3","Principal Mechanical Engineer - NSW")</f>
        <v>Principal Mechanical Engineer - NSW</v>
      </c>
      <c r="D493" s="42" t="s">
        <v>553</v>
      </c>
      <c r="E493" s="47">
        <v>44209.725856481484</v>
      </c>
    </row>
    <row r="494">
      <c r="A494" s="42"/>
      <c r="B494" s="42" t="s">
        <v>26</v>
      </c>
      <c r="C494" s="43" t="str">
        <f>hyperlink("https://au.indeed.com/viewjob?jk=653f83fd759c506c","Mechanical Engineer")</f>
        <v>Mechanical Engineer</v>
      </c>
      <c r="D494" s="42" t="s">
        <v>458</v>
      </c>
      <c r="E494" s="47">
        <v>44209.725960648146</v>
      </c>
    </row>
    <row r="495">
      <c r="A495" s="42"/>
      <c r="B495" s="42" t="s">
        <v>26</v>
      </c>
      <c r="C495" s="43" t="str">
        <f>hyperlink("https://au.indeed.com/viewjob?jk=612702bf3888aebb","Engineer - HVAC Projects &amp; Design")</f>
        <v>Engineer - HVAC Projects &amp; Design</v>
      </c>
      <c r="D495" s="42" t="s">
        <v>554</v>
      </c>
      <c r="E495" s="47">
        <v>44209.72642361111</v>
      </c>
    </row>
    <row r="496">
      <c r="A496" s="42"/>
      <c r="B496" s="42" t="s">
        <v>26</v>
      </c>
      <c r="C496" s="43" t="str">
        <f>hyperlink("https://au.indeed.com/viewjob?jk=36d26218e6242e2a","Test Engineer - (Mechanical) - RMS")</f>
        <v>Test Engineer - (Mechanical) - RMS</v>
      </c>
      <c r="D496" s="42" t="s">
        <v>551</v>
      </c>
      <c r="E496" s="47">
        <v>44209.72903935185</v>
      </c>
    </row>
    <row r="497">
      <c r="A497" s="42"/>
      <c r="B497" s="42" t="s">
        <v>26</v>
      </c>
      <c r="C497" s="43" t="str">
        <f>hyperlink("https://au.indeed.com/viewjob?jk=13cb310c692d60ba","Graduate Engineer Mechanical")</f>
        <v>Graduate Engineer Mechanical</v>
      </c>
      <c r="D497" s="42" t="s">
        <v>555</v>
      </c>
      <c r="E497" s="47">
        <v>44209.72914351852</v>
      </c>
    </row>
    <row r="498">
      <c r="A498" s="42"/>
      <c r="B498" s="42" t="s">
        <v>26</v>
      </c>
      <c r="C498" s="43" t="str">
        <f>hyperlink("https://au.indeed.com/viewjob?jk=367f2b26d7278fc7","Expressions of Interest: Mechanical Engineers and Process Engineers")</f>
        <v>Expressions of Interest: Mechanical Engineers and Process Engineers</v>
      </c>
      <c r="D498" s="42" t="s">
        <v>548</v>
      </c>
      <c r="E498" s="47">
        <v>44209.73075231481</v>
      </c>
    </row>
    <row r="499">
      <c r="A499" s="42"/>
      <c r="B499" s="42" t="s">
        <v>26</v>
      </c>
      <c r="C499" s="43" t="str">
        <f>hyperlink("https://au.indeed.com/viewjob?jk=3c87ca85e89b9473","Mechanical Engineer")</f>
        <v>Mechanical Engineer</v>
      </c>
      <c r="D499" s="42" t="s">
        <v>556</v>
      </c>
      <c r="E499" s="47">
        <v>44209.73087962963</v>
      </c>
    </row>
    <row r="500">
      <c r="A500" s="42"/>
      <c r="B500" s="42" t="s">
        <v>26</v>
      </c>
      <c r="C500" s="43" t="str">
        <f>hyperlink("https://au.indeed.com/viewjob?jk=92e7b1706b0185e0","Design Engineer - Mechanical")</f>
        <v>Design Engineer - Mechanical</v>
      </c>
      <c r="D500" s="42" t="s">
        <v>532</v>
      </c>
      <c r="E500" s="47">
        <v>44209.7309837963</v>
      </c>
    </row>
    <row r="501">
      <c r="A501" s="42"/>
      <c r="B501" s="42" t="s">
        <v>26</v>
      </c>
      <c r="C501" s="43" t="str">
        <f>hyperlink("https://au.indeed.com/viewjob?jk=c90248a10e7c5578","Senior Mechanical Engineer")</f>
        <v>Senior Mechanical Engineer</v>
      </c>
      <c r="D501" s="42" t="s">
        <v>557</v>
      </c>
      <c r="E501" s="47">
        <v>44209.731099537035</v>
      </c>
    </row>
    <row r="502">
      <c r="A502" s="42"/>
      <c r="B502" s="42" t="s">
        <v>26</v>
      </c>
      <c r="C502" s="43" t="str">
        <f>hyperlink("https://au.indeed.com/viewjob?jk=387e2f5e8916baf1","Mechanical Engineer")</f>
        <v>Mechanical Engineer</v>
      </c>
      <c r="D502" s="42" t="s">
        <v>558</v>
      </c>
      <c r="E502" s="47">
        <v>44209.73207175926</v>
      </c>
    </row>
    <row r="503">
      <c r="A503" s="42"/>
      <c r="B503" s="42" t="s">
        <v>26</v>
      </c>
      <c r="C503" s="43" t="str">
        <f>hyperlink("https://au.indeed.com/viewjob?jk=a4e8d3b4a86fb77a","Aircraft Maintenance Engineer - Mechanical")</f>
        <v>Aircraft Maintenance Engineer - Mechanical</v>
      </c>
      <c r="D503" s="42" t="s">
        <v>559</v>
      </c>
      <c r="E503" s="47">
        <v>44209.73258101852</v>
      </c>
    </row>
    <row r="504">
      <c r="A504" s="42"/>
      <c r="B504" s="42" t="s">
        <v>26</v>
      </c>
      <c r="C504" s="43" t="str">
        <f>hyperlink("https://au.indeed.com/viewjob?jk=6b51ef0cae8ff22c","Principal Mechanical Engineer")</f>
        <v>Principal Mechanical Engineer</v>
      </c>
      <c r="D504" s="42" t="s">
        <v>560</v>
      </c>
      <c r="E504" s="47">
        <v>44209.73268518518</v>
      </c>
    </row>
    <row r="505">
      <c r="A505" s="42"/>
      <c r="B505" s="42" t="s">
        <v>26</v>
      </c>
      <c r="C505" s="43" t="str">
        <f>hyperlink("https://au.indeed.com/viewjob?jk=b49bd4ceb5c7959f","Senior Mechanical Engineer")</f>
        <v>Senior Mechanical Engineer</v>
      </c>
      <c r="D505" s="42" t="s">
        <v>457</v>
      </c>
      <c r="E505" s="47">
        <v>44209.73278935185</v>
      </c>
    </row>
    <row r="506">
      <c r="A506" s="42"/>
      <c r="B506" s="42" t="s">
        <v>26</v>
      </c>
      <c r="C506" s="43" t="str">
        <f>hyperlink("https://au.indeed.com/viewjob?jk=a3adb0346f4a4183","Mechanical Project Engineer")</f>
        <v>Mechanical Project Engineer</v>
      </c>
      <c r="D506" s="42" t="s">
        <v>561</v>
      </c>
      <c r="E506" s="47">
        <v>44209.73289351852</v>
      </c>
    </row>
    <row r="507">
      <c r="A507" s="42"/>
      <c r="B507" s="42" t="s">
        <v>26</v>
      </c>
      <c r="C507" s="43" t="str">
        <f>hyperlink("https://au.indeed.com/viewjob?jk=bb390b95c8af7b5f","Mechanical Engineer")</f>
        <v>Mechanical Engineer</v>
      </c>
      <c r="D507" s="42" t="s">
        <v>458</v>
      </c>
      <c r="E507" s="47">
        <v>44209.73405092592</v>
      </c>
    </row>
    <row r="508">
      <c r="A508" s="42"/>
      <c r="B508" s="42" t="s">
        <v>26</v>
      </c>
      <c r="C508" s="43" t="str">
        <f>hyperlink("https://au.indeed.com/viewjob?jk=e91d173734ffa9e2","Mechanical/Electrical Engineer")</f>
        <v>Mechanical/Electrical Engineer</v>
      </c>
      <c r="D508" s="42" t="s">
        <v>562</v>
      </c>
      <c r="E508" s="47">
        <v>44209.73416666667</v>
      </c>
    </row>
    <row r="509">
      <c r="A509" s="42"/>
      <c r="B509" s="42" t="s">
        <v>26</v>
      </c>
      <c r="C509" s="43" t="str">
        <f>hyperlink("https://au.indeed.com/viewjob?jk=c0ca542045285670","Mechanical Service Engineer - Development")</f>
        <v>Mechanical Service Engineer - Development</v>
      </c>
      <c r="D509" s="42" t="s">
        <v>563</v>
      </c>
      <c r="E509" s="47">
        <v>44209.73427083333</v>
      </c>
    </row>
    <row r="510">
      <c r="A510" s="42"/>
      <c r="B510" s="42" t="s">
        <v>26</v>
      </c>
      <c r="C510" s="43" t="str">
        <f>hyperlink("https://au.indeed.com/viewjob?jk=ffdffb083bbe74a2","Expressions of Interest - Mechanical Engineers - Rozelle Interchange")</f>
        <v>Expressions of Interest - Mechanical Engineers - Rozelle Interchange</v>
      </c>
      <c r="D510" s="42" t="s">
        <v>501</v>
      </c>
      <c r="E510" s="47">
        <v>44209.73438657408</v>
      </c>
    </row>
    <row r="511">
      <c r="A511" s="42"/>
      <c r="B511" s="42" t="s">
        <v>26</v>
      </c>
      <c r="C511" s="43" t="str">
        <f>hyperlink("https://au.indeed.com/viewjob?jk=a58171266e49a059","Aircraft Maintenance Engineer - Mechanical")</f>
        <v>Aircraft Maintenance Engineer - Mechanical</v>
      </c>
      <c r="D511" s="42" t="s">
        <v>564</v>
      </c>
      <c r="E511" s="47">
        <v>44209.73451388889</v>
      </c>
    </row>
    <row r="512">
      <c r="A512" s="42"/>
      <c r="B512" s="42" t="s">
        <v>26</v>
      </c>
      <c r="C512" s="43" t="str">
        <f>hyperlink("https://au.indeed.com/viewjob?jk=601f8bd9f980c06b","HVAC Mechanical Engineer")</f>
        <v>HVAC Mechanical Engineer</v>
      </c>
      <c r="D512" s="42" t="s">
        <v>507</v>
      </c>
      <c r="E512" s="47">
        <v>44209.734618055554</v>
      </c>
    </row>
    <row r="513">
      <c r="A513" s="42"/>
      <c r="B513" s="42" t="s">
        <v>26</v>
      </c>
      <c r="C513" s="43" t="str">
        <f>hyperlink("https://au.indeed.com/viewjob?jk=91c858a3c438bd00","Mechanical Engineer/Designer-Griffith/Sydney, NSW")</f>
        <v>Mechanical Engineer/Designer-Griffith/Sydney, NSW</v>
      </c>
      <c r="D513" s="42" t="s">
        <v>565</v>
      </c>
      <c r="E513" s="47">
        <v>44209.73474537037</v>
      </c>
    </row>
    <row r="514">
      <c r="A514" s="42"/>
      <c r="B514" s="42" t="s">
        <v>26</v>
      </c>
      <c r="C514" s="43" t="str">
        <f>hyperlink("https://au.indeed.com/viewjob?jk=01ade46073c7f223","QC Engineer - Mechanical")</f>
        <v>QC Engineer - Mechanical</v>
      </c>
      <c r="D514" s="42" t="s">
        <v>520</v>
      </c>
      <c r="E514" s="47">
        <v>44209.73484953704</v>
      </c>
    </row>
    <row r="515">
      <c r="A515" s="42"/>
      <c r="B515" s="42" t="s">
        <v>26</v>
      </c>
      <c r="C515" s="43" t="str">
        <f>hyperlink("https://au.indeed.com/viewjob?jk=fd08df8d380fc0b2","R&amp;D Hardware Engineer (Mechanical)")</f>
        <v>R&amp;D Hardware Engineer (Mechanical)</v>
      </c>
      <c r="D515" s="42" t="s">
        <v>532</v>
      </c>
      <c r="E515" s="47">
        <v>44209.734988425924</v>
      </c>
    </row>
    <row r="516">
      <c r="A516" s="42"/>
      <c r="B516" s="42" t="s">
        <v>26</v>
      </c>
      <c r="C516" s="43" t="str">
        <f>hyperlink("https://au.indeed.com/viewjob?jk=482063b27bed72b0","Test Engineer - Mechanical")</f>
        <v>Test Engineer - Mechanical</v>
      </c>
      <c r="D516" s="42" t="s">
        <v>516</v>
      </c>
      <c r="E516" s="47">
        <v>44209.736979166664</v>
      </c>
    </row>
    <row r="517">
      <c r="A517" s="42"/>
      <c r="B517" s="42" t="s">
        <v>32</v>
      </c>
      <c r="C517" s="43" t="str">
        <f>hyperlink("https://au.indeed.com/viewjob?jk=4f404756f251c857","Asset Engineer - Roads and Structural Assets")</f>
        <v>Asset Engineer - Roads and Structural Assets</v>
      </c>
      <c r="D517" s="42" t="s">
        <v>551</v>
      </c>
      <c r="E517" s="47">
        <v>44209.73835648148</v>
      </c>
    </row>
    <row r="518">
      <c r="A518" s="42"/>
      <c r="B518" s="42" t="s">
        <v>32</v>
      </c>
      <c r="C518" s="43" t="str">
        <f>hyperlink("https://au.indeed.com/viewjob?jk=181537b67a01766b","Asset manager - Principal engineer HVAC")</f>
        <v>Asset manager - Principal engineer HVAC</v>
      </c>
      <c r="D518" s="42" t="s">
        <v>566</v>
      </c>
      <c r="E518" s="47">
        <v>44209.738483796296</v>
      </c>
    </row>
    <row r="519">
      <c r="A519" s="42"/>
      <c r="B519" s="42" t="s">
        <v>32</v>
      </c>
      <c r="C519" s="43" t="str">
        <f>hyperlink("https://au.indeed.com/viewjob?jk=13a7bc77d7afbf6b","Asset Management Engineer")</f>
        <v>Asset Management Engineer</v>
      </c>
      <c r="D519" s="42" t="s">
        <v>567</v>
      </c>
      <c r="E519" s="47">
        <v>44209.738587962966</v>
      </c>
    </row>
    <row r="520">
      <c r="A520" s="42"/>
      <c r="B520" s="42" t="s">
        <v>32</v>
      </c>
      <c r="C520" s="43" t="str">
        <f>hyperlink("https://au.indeed.com/viewjob?jk=d5d3e2256b73a547","Principal engineer - Asset management")</f>
        <v>Principal engineer - Asset management</v>
      </c>
      <c r="D520" s="42" t="s">
        <v>566</v>
      </c>
      <c r="E520" s="47">
        <v>44209.73869212963</v>
      </c>
    </row>
    <row r="521">
      <c r="A521" s="42"/>
      <c r="B521" s="42" t="s">
        <v>33</v>
      </c>
      <c r="C521" s="43" t="str">
        <f>hyperlink("https://au.indeed.com/viewjob?jk=c7390aebe023aa58","Senior Electronic Design Engineer")</f>
        <v>Senior Electronic Design Engineer</v>
      </c>
      <c r="D521" s="42" t="s">
        <v>520</v>
      </c>
      <c r="E521" s="47">
        <v>44209.73957175926</v>
      </c>
    </row>
    <row r="522">
      <c r="A522" s="42"/>
      <c r="B522" s="42" t="s">
        <v>33</v>
      </c>
      <c r="C522" s="43" t="str">
        <f>hyperlink("https://au.indeed.com/viewjob?jk=14cf041cea4a823b","Civil Design Engineer")</f>
        <v>Civil Design Engineer</v>
      </c>
      <c r="D522" s="42" t="s">
        <v>333</v>
      </c>
      <c r="E522" s="47">
        <v>44209.74009259259</v>
      </c>
    </row>
    <row r="523">
      <c r="A523" s="42"/>
      <c r="B523" s="42" t="s">
        <v>33</v>
      </c>
      <c r="C523" s="43" t="str">
        <f>hyperlink("https://au.indeed.com/viewjob?jk=544b2fed7c60e8ca","Civil Design Engineer")</f>
        <v>Civil Design Engineer</v>
      </c>
      <c r="D523" s="42" t="s">
        <v>492</v>
      </c>
      <c r="E523" s="47">
        <v>44209.74024305555</v>
      </c>
    </row>
    <row r="524">
      <c r="A524" s="42"/>
      <c r="B524" s="42" t="s">
        <v>33</v>
      </c>
      <c r="C524" s="43" t="str">
        <f>hyperlink("https://au.indeed.com/viewjob?jk=6da656d4863235f6","Design Engineer")</f>
        <v>Design Engineer</v>
      </c>
      <c r="D524" s="42" t="s">
        <v>568</v>
      </c>
      <c r="E524" s="47">
        <v>44209.74041666667</v>
      </c>
    </row>
    <row r="525">
      <c r="A525" s="42"/>
      <c r="B525" s="42" t="s">
        <v>33</v>
      </c>
      <c r="C525" s="43" t="str">
        <f>hyperlink("https://au.indeed.com/viewjob?jk=cf1e04ee5d994732","Civil Design Engineer")</f>
        <v>Civil Design Engineer</v>
      </c>
      <c r="D525" s="42" t="s">
        <v>492</v>
      </c>
      <c r="E525" s="47">
        <v>44209.74239583333</v>
      </c>
    </row>
    <row r="526">
      <c r="A526" s="42"/>
      <c r="B526" s="42" t="s">
        <v>33</v>
      </c>
      <c r="C526" s="43" t="str">
        <f>hyperlink("https://au.indeed.com/viewjob?jk=8a603eeac8e21737","Senior Design Engineer")</f>
        <v>Senior Design Engineer</v>
      </c>
      <c r="D526" s="42" t="s">
        <v>569</v>
      </c>
      <c r="E526" s="47">
        <v>44209.742951388886</v>
      </c>
    </row>
    <row r="527">
      <c r="A527" s="42"/>
      <c r="B527" s="42" t="s">
        <v>33</v>
      </c>
      <c r="C527" s="43" t="str">
        <f>hyperlink("https://au.indeed.com/viewjob?jk=45c4bce411e5fde5","Transformer Design Engineer")</f>
        <v>Transformer Design Engineer</v>
      </c>
      <c r="D527" s="42" t="s">
        <v>570</v>
      </c>
      <c r="E527" s="47">
        <v>44209.7430787037</v>
      </c>
    </row>
    <row r="528">
      <c r="A528" s="42"/>
      <c r="B528" s="42" t="s">
        <v>33</v>
      </c>
      <c r="C528" s="43" t="str">
        <f>hyperlink("https://au.indeed.com/viewjob?jk=b5d8b6b548cf5b9c","Civil Design Engineer")</f>
        <v>Civil Design Engineer</v>
      </c>
      <c r="D528" s="42" t="s">
        <v>505</v>
      </c>
      <c r="E528" s="47">
        <v>44209.744733796295</v>
      </c>
    </row>
    <row r="529">
      <c r="A529" s="42"/>
      <c r="B529" s="42" t="s">
        <v>33</v>
      </c>
      <c r="C529" s="43" t="str">
        <f>hyperlink("https://au.indeed.com/viewjob?jk=9e88c7e12663cf08","Design Systems - Frontend Software Engineer")</f>
        <v>Design Systems - Frontend Software Engineer</v>
      </c>
      <c r="D529" s="42" t="s">
        <v>571</v>
      </c>
      <c r="E529" s="47">
        <v>44209.74488425926</v>
      </c>
    </row>
    <row r="530">
      <c r="A530" s="42"/>
      <c r="B530" s="42" t="s">
        <v>33</v>
      </c>
      <c r="C530" s="43" t="str">
        <f>hyperlink("https://au.indeed.com/viewjob?jk=0672ca34664c987a","Senior Engineer - Design Manager")</f>
        <v>Senior Engineer - Design Manager</v>
      </c>
      <c r="D530" s="42" t="s">
        <v>572</v>
      </c>
      <c r="E530" s="47">
        <v>44209.745520833334</v>
      </c>
    </row>
    <row r="531">
      <c r="A531" s="42"/>
      <c r="B531" s="42" t="s">
        <v>33</v>
      </c>
      <c r="C531" s="43" t="str">
        <f>hyperlink("https://au.indeed.com/viewjob?jk=8de4ee2f185dad3f","Senior Electrical Design Engineer")</f>
        <v>Senior Electrical Design Engineer</v>
      </c>
      <c r="D531" s="42" t="s">
        <v>333</v>
      </c>
      <c r="E531" s="47">
        <v>44209.745729166665</v>
      </c>
    </row>
    <row r="532">
      <c r="A532" s="42"/>
      <c r="B532" s="42" t="s">
        <v>33</v>
      </c>
      <c r="C532" s="43" t="str">
        <f>hyperlink("https://au.indeed.com/viewjob?jk=8adbbcae22635fd3","Structural Design Engineer")</f>
        <v>Structural Design Engineer</v>
      </c>
      <c r="D532" s="42" t="s">
        <v>505</v>
      </c>
      <c r="E532" s="47">
        <v>44209.74667824074</v>
      </c>
    </row>
    <row r="533">
      <c r="A533" s="42"/>
      <c r="B533" s="42" t="s">
        <v>33</v>
      </c>
      <c r="C533" s="43" t="str">
        <f>hyperlink("https://au.indeed.com/viewjob?jk=0f47d039e24e20a1","Senior Civil Design Engineer / PM / Associate")</f>
        <v>Senior Civil Design Engineer / PM / Associate</v>
      </c>
      <c r="D533" s="42" t="s">
        <v>333</v>
      </c>
      <c r="E533" s="47">
        <v>44209.74763888889</v>
      </c>
    </row>
    <row r="534">
      <c r="A534" s="42"/>
      <c r="B534" s="42" t="s">
        <v>33</v>
      </c>
      <c r="C534" s="43" t="str">
        <f>hyperlink("https://au.indeed.com/viewjob?jk=69e3a13dbbf7856c","Electrical Design Engineers")</f>
        <v>Electrical Design Engineers</v>
      </c>
      <c r="D534" s="42" t="s">
        <v>518</v>
      </c>
      <c r="E534" s="47">
        <v>44209.74827546296</v>
      </c>
    </row>
    <row r="535">
      <c r="A535" s="42"/>
      <c r="B535" s="42" t="s">
        <v>34</v>
      </c>
      <c r="C535" s="43" t="str">
        <f>hyperlink("https://au.indeed.com/viewjob?jk=41190b8ed2fb1c06","Product Development Engineer")</f>
        <v>Product Development Engineer</v>
      </c>
      <c r="D535" s="42" t="s">
        <v>573</v>
      </c>
      <c r="E535" s="47">
        <v>44209.74849537037</v>
      </c>
    </row>
    <row r="536">
      <c r="A536" s="42"/>
      <c r="B536" s="42" t="s">
        <v>34</v>
      </c>
      <c r="C536" s="43" t="str">
        <f>hyperlink("https://au.indeed.com/viewjob?jk=3a950ad3db7f1d98","Senior Systems Development Engineer")</f>
        <v>Senior Systems Development Engineer</v>
      </c>
      <c r="D536" s="42" t="s">
        <v>462</v>
      </c>
      <c r="E536" s="47">
        <v>44209.74859953704</v>
      </c>
    </row>
    <row r="537">
      <c r="A537" s="42"/>
      <c r="B537" s="42" t="s">
        <v>34</v>
      </c>
      <c r="C537" s="43" t="str">
        <f>hyperlink("https://au.indeed.com/viewjob?jk=ae241b0faf46f697","Civil Engineer - Intermediate with 3+ years local exp - Urban Development")</f>
        <v>Civil Engineer - Intermediate with 3+ years local exp - Urban Development</v>
      </c>
      <c r="D537" s="42" t="s">
        <v>510</v>
      </c>
      <c r="E537" s="47">
        <v>44209.74869212963</v>
      </c>
    </row>
    <row r="538">
      <c r="A538" s="42"/>
      <c r="B538" s="42" t="s">
        <v>34</v>
      </c>
      <c r="C538" s="43" t="str">
        <f>hyperlink("https://au.indeed.com/viewjob?jk=913aa58e93a4ec50","Optical Process Development Engineer")</f>
        <v>Optical Process Development Engineer</v>
      </c>
      <c r="D538" s="42" t="s">
        <v>458</v>
      </c>
      <c r="E538" s="47">
        <v>44209.74880787037</v>
      </c>
    </row>
    <row r="539">
      <c r="A539" s="42"/>
      <c r="B539" s="42" t="s">
        <v>34</v>
      </c>
      <c r="C539" s="43" t="str">
        <f>hyperlink("https://au.indeed.com/viewjob?jk=4a880851a5c8d711","Data engineer – Talend Development")</f>
        <v>Data engineer – Talend Development</v>
      </c>
      <c r="D539" s="42" t="s">
        <v>574</v>
      </c>
      <c r="E539" s="47">
        <v>44209.74930555555</v>
      </c>
    </row>
    <row r="540">
      <c r="A540" s="42"/>
      <c r="B540" s="42" t="s">
        <v>34</v>
      </c>
      <c r="C540" s="43" t="str">
        <f>hyperlink("https://au.indeed.com/viewjob?jk=db60eaf87bb0c701","Senior Civil Engineer - Land/Urban Development $152K-$139K")</f>
        <v>Senior Civil Engineer - Land/Urban Development $152K-$139K</v>
      </c>
      <c r="D540" s="42" t="s">
        <v>510</v>
      </c>
      <c r="E540" s="47">
        <v>44209.74940972222</v>
      </c>
    </row>
    <row r="541">
      <c r="A541" s="42"/>
      <c r="B541" s="42" t="s">
        <v>34</v>
      </c>
      <c r="C541" s="43" t="str">
        <f>hyperlink("https://au.indeed.com/viewjob?jk=6a5abc132d703a63","Product Development Chemist/Engineer")</f>
        <v>Product Development Chemist/Engineer</v>
      </c>
      <c r="D541" s="42" t="s">
        <v>532</v>
      </c>
      <c r="E541" s="47">
        <v>44209.74952546296</v>
      </c>
    </row>
    <row r="542">
      <c r="A542" s="42"/>
      <c r="B542" s="42" t="s">
        <v>34</v>
      </c>
      <c r="C542" s="43" t="str">
        <f>hyperlink("https://au.indeed.com/viewjob?jk=45a5fb8797e048c7","Software Development Engineer - RDS (Relational Database Services)")</f>
        <v>Software Development Engineer - RDS (Relational Database Services)</v>
      </c>
      <c r="D542" s="42" t="s">
        <v>462</v>
      </c>
      <c r="E542" s="47">
        <v>44209.74961805555</v>
      </c>
    </row>
    <row r="543">
      <c r="A543" s="42"/>
      <c r="B543" s="42" t="s">
        <v>34</v>
      </c>
      <c r="C543" s="43" t="str">
        <f>hyperlink("https://au.indeed.com/viewjob?jk=f02bdcc8a1008d4a","Senior Software Development Engineer – AWS - RDS Platform team")</f>
        <v>Senior Software Development Engineer – AWS - RDS Platform team</v>
      </c>
      <c r="D543" s="42" t="s">
        <v>462</v>
      </c>
      <c r="E543" s="47">
        <v>44209.750543981485</v>
      </c>
    </row>
    <row r="544">
      <c r="A544" s="42"/>
      <c r="B544" s="42" t="s">
        <v>34</v>
      </c>
      <c r="C544" s="43" t="str">
        <f>hyperlink("https://au.indeed.com/viewjob?jk=2a541446ebed2f3b","Software Development Engineer I")</f>
        <v>Software Development Engineer I</v>
      </c>
      <c r="D544" s="43" t="s">
        <v>575</v>
      </c>
      <c r="E544" s="47">
        <v>44209.75109953704</v>
      </c>
    </row>
    <row r="545">
      <c r="A545" s="42"/>
      <c r="B545" s="42" t="s">
        <v>34</v>
      </c>
      <c r="C545" s="43" t="str">
        <f>hyperlink("https://au.indeed.com/viewjob?jk=e186bd6beb106b9b","Sr. Software Development Engineer")</f>
        <v>Sr. Software Development Engineer</v>
      </c>
      <c r="D545" s="42" t="s">
        <v>470</v>
      </c>
      <c r="E545" s="47">
        <v>44209.75121527778</v>
      </c>
    </row>
    <row r="546">
      <c r="A546" s="42"/>
      <c r="B546" s="42" t="s">
        <v>34</v>
      </c>
      <c r="C546" s="43" t="str">
        <f>hyperlink("https://au.indeed.com/viewjob?jk=ae9d75d002b6916f","Development Engineer")</f>
        <v>Development Engineer</v>
      </c>
      <c r="D546" s="42" t="s">
        <v>492</v>
      </c>
      <c r="E546" s="47">
        <v>44209.75131944445</v>
      </c>
    </row>
    <row r="547">
      <c r="A547" s="42"/>
      <c r="B547" s="42" t="s">
        <v>34</v>
      </c>
      <c r="C547" s="43" t="str">
        <f>hyperlink("https://au.indeed.com/viewjob?jk=5d18420e68989c2a","Senior Development Engineer")</f>
        <v>Senior Development Engineer</v>
      </c>
      <c r="D547" s="42" t="s">
        <v>492</v>
      </c>
      <c r="E547" s="47">
        <v>44209.751435185186</v>
      </c>
    </row>
    <row r="548">
      <c r="A548" s="42"/>
      <c r="B548" s="42" t="s">
        <v>34</v>
      </c>
      <c r="C548" s="43" t="str">
        <f>hyperlink("https://au.indeed.com/viewjob?jk=61de11f6ae5ed91b","Civil Engineer - Urban Development")</f>
        <v>Civil Engineer - Urban Development</v>
      </c>
      <c r="D548" s="42" t="s">
        <v>560</v>
      </c>
      <c r="E548" s="47">
        <v>44209.751597222225</v>
      </c>
    </row>
    <row r="549">
      <c r="A549" s="42"/>
      <c r="B549" s="42" t="s">
        <v>34</v>
      </c>
      <c r="C549" s="43" t="str">
        <f>hyperlink("https://au.indeed.com/viewjob?jk=5d86a771c8bc7df8","Python Software Engineer - Developer Platforms (CI, Static Analysis, &amp; Local Development)")</f>
        <v>Python Software Engineer - Developer Platforms (CI, Static Analysis, &amp; Local Development)</v>
      </c>
      <c r="D549" s="42" t="s">
        <v>571</v>
      </c>
      <c r="E549" s="47">
        <v>44209.75209490741</v>
      </c>
    </row>
    <row r="550">
      <c r="A550" s="42"/>
      <c r="B550" s="42" t="s">
        <v>34</v>
      </c>
      <c r="C550" s="43" t="str">
        <f>hyperlink("https://au.indeed.com/viewjob?jk=2e889a7afd086203","Data engineer – Talend Development")</f>
        <v>Data engineer – Talend Development</v>
      </c>
      <c r="D550" s="42" t="s">
        <v>574</v>
      </c>
      <c r="E550" s="47">
        <v>44209.75221064815</v>
      </c>
    </row>
    <row r="551">
      <c r="A551" s="42"/>
      <c r="B551" s="42" t="s">
        <v>34</v>
      </c>
      <c r="C551" s="43" t="str">
        <f>hyperlink("https://au.indeed.com/viewjob?jk=50456c1a123f0407","Electronics Engineer (Technology Development)")</f>
        <v>Electronics Engineer (Technology Development)</v>
      </c>
      <c r="D551" s="42" t="s">
        <v>458</v>
      </c>
      <c r="E551" s="47">
        <v>44209.75232638889</v>
      </c>
    </row>
    <row r="552">
      <c r="A552" s="42"/>
      <c r="B552" s="42" t="s">
        <v>34</v>
      </c>
      <c r="C552" s="43" t="str">
        <f>hyperlink("https://au.indeed.com/viewjob?jk=89992ad2e4c232a4","Systems Development Engineer")</f>
        <v>Systems Development Engineer</v>
      </c>
      <c r="D552" s="42" t="s">
        <v>462</v>
      </c>
      <c r="E552" s="47">
        <v>44209.75288194444</v>
      </c>
    </row>
    <row r="553">
      <c r="A553" s="42"/>
      <c r="B553" s="42" t="s">
        <v>34</v>
      </c>
      <c r="C553" s="43" t="str">
        <f>hyperlink("https://au.indeed.com/viewjob?jk=28bb3bd6a4fe27cf","Senior Civil Engineer - Urban Development")</f>
        <v>Senior Civil Engineer - Urban Development</v>
      </c>
      <c r="D553" s="42" t="s">
        <v>510</v>
      </c>
      <c r="E553" s="47">
        <v>44209.753020833334</v>
      </c>
    </row>
    <row r="554">
      <c r="A554" s="42"/>
      <c r="B554" s="42" t="s">
        <v>34</v>
      </c>
      <c r="C554" s="43" t="str">
        <f>hyperlink("https://au.indeed.com/viewjob?jk=c4a81fa09041a34f","Principal Civil Engineer – Urban Development")</f>
        <v>Principal Civil Engineer – Urban Development</v>
      </c>
      <c r="D554" s="42" t="s">
        <v>560</v>
      </c>
      <c r="E554" s="47">
        <v>44209.75313657407</v>
      </c>
    </row>
    <row r="555">
      <c r="A555" s="42"/>
      <c r="B555" s="42" t="s">
        <v>34</v>
      </c>
      <c r="C555" s="43" t="str">
        <f>hyperlink("https://au.indeed.com/viewjob?jk=34af2749b5447526","Senior Civil Engineer - Urban Development")</f>
        <v>Senior Civil Engineer - Urban Development</v>
      </c>
      <c r="D555" s="42" t="s">
        <v>492</v>
      </c>
      <c r="E555" s="47">
        <v>44209.75325231482</v>
      </c>
    </row>
    <row r="556">
      <c r="A556" s="42"/>
      <c r="B556" s="42" t="s">
        <v>35</v>
      </c>
      <c r="C556" s="43" t="str">
        <f>hyperlink("https://au.indeed.com/viewjob?jk=8c8856847a83ee60","Sales Engineer - Industrial Production Machinery")</f>
        <v>Sales Engineer - Industrial Production Machinery</v>
      </c>
      <c r="D556" s="42" t="s">
        <v>576</v>
      </c>
      <c r="E556" s="47">
        <v>44209.7533912037</v>
      </c>
    </row>
    <row r="557">
      <c r="A557" s="42"/>
      <c r="B557" s="42" t="s">
        <v>35</v>
      </c>
      <c r="C557" s="43" t="str">
        <f>hyperlink("https://au.indeed.com/viewjob?jk=e0155263a07fdfcb","Expressions of Interest: Structural Engineer, Industrial (Intermediate level)")</f>
        <v>Expressions of Interest: Structural Engineer, Industrial (Intermediate level)</v>
      </c>
      <c r="D557" s="42" t="s">
        <v>548</v>
      </c>
      <c r="E557" s="47">
        <v>44209.75349537037</v>
      </c>
    </row>
    <row r="558">
      <c r="A558" s="42"/>
      <c r="B558" s="42" t="s">
        <v>35</v>
      </c>
      <c r="C558" s="43" t="str">
        <f>hyperlink("https://au.indeed.com/viewjob?jk=dd3d89aea21cf42b","Sales Engineer (m/f) for a German industrial machinery manufacturer in Sydney")</f>
        <v>Sales Engineer (m/f) for a German industrial machinery manufacturer in Sydney</v>
      </c>
      <c r="D558" s="42" t="s">
        <v>577</v>
      </c>
      <c r="E558" s="47">
        <v>44209.75361111111</v>
      </c>
    </row>
    <row r="559">
      <c r="A559" s="42"/>
      <c r="B559" s="42" t="s">
        <v>36</v>
      </c>
      <c r="C559" s="43" t="str">
        <f>hyperlink("https://au.indeed.com/viewjob?jk=3c124e2edee519d7","Infrastructure /Active Directory Engineer")</f>
        <v>Infrastructure /Active Directory Engineer</v>
      </c>
      <c r="D559" s="42" t="s">
        <v>504</v>
      </c>
      <c r="E559" s="47">
        <v>44209.754155092596</v>
      </c>
    </row>
    <row r="560">
      <c r="A560" s="42"/>
      <c r="B560" s="42" t="s">
        <v>36</v>
      </c>
      <c r="C560" s="43" t="str">
        <f>hyperlink("https://au.indeed.com/viewjob?jk=cb71316be8143b78","Infrastructure Senior Support Engineer")</f>
        <v>Infrastructure Senior Support Engineer</v>
      </c>
      <c r="D560" s="42" t="s">
        <v>578</v>
      </c>
      <c r="E560" s="47">
        <v>44209.754699074074</v>
      </c>
    </row>
    <row r="561">
      <c r="A561" s="42"/>
      <c r="B561" s="42" t="s">
        <v>36</v>
      </c>
      <c r="C561" s="43" t="str">
        <f>hyperlink("https://au.indeed.com/viewjob?jk=2c88f5a4a4f38b54","Search Infrastructure Software Engineer - Python, AWS, Solr / ElasticSearch")</f>
        <v>Search Infrastructure Software Engineer - Python, AWS, Solr / ElasticSearch</v>
      </c>
      <c r="D561" s="42" t="s">
        <v>571</v>
      </c>
      <c r="E561" s="47">
        <v>44209.75570601852</v>
      </c>
    </row>
    <row r="562">
      <c r="A562" s="42"/>
      <c r="B562" s="42" t="s">
        <v>36</v>
      </c>
      <c r="C562" s="43" t="str">
        <f>hyperlink("https://au.indeed.com/viewjob?jk=151f8b880aa8a044","Infrastructure Modernization Customer Engineer, Public Sector, Google Cloud")</f>
        <v>Infrastructure Modernization Customer Engineer, Public Sector, Google Cloud</v>
      </c>
      <c r="D562" s="42" t="s">
        <v>579</v>
      </c>
      <c r="E562" s="47">
        <v>44209.75582175926</v>
      </c>
    </row>
    <row r="563">
      <c r="A563" s="42"/>
      <c r="B563" s="42" t="s">
        <v>36</v>
      </c>
      <c r="C563" s="43" t="str">
        <f>hyperlink("https://au.indeed.com/viewjob?jk=e0515c755f69f1cb","Infrastructure Patching Engineer")</f>
        <v>Infrastructure Patching Engineer</v>
      </c>
      <c r="D563" s="42" t="s">
        <v>534</v>
      </c>
      <c r="E563" s="47">
        <v>44209.75702546296</v>
      </c>
    </row>
    <row r="564">
      <c r="A564" s="42"/>
      <c r="B564" s="42" t="s">
        <v>36</v>
      </c>
      <c r="C564" s="43" t="str">
        <f>hyperlink("https://au.indeed.com/viewjob?jk=a77f5476eddd38fd","Infrastructure Engineer")</f>
        <v>Infrastructure Engineer</v>
      </c>
      <c r="D564" s="42" t="s">
        <v>538</v>
      </c>
      <c r="E564" s="47">
        <v>44209.76017361111</v>
      </c>
    </row>
    <row r="565">
      <c r="A565" s="42"/>
      <c r="B565" s="42" t="s">
        <v>36</v>
      </c>
      <c r="C565" s="43" t="str">
        <f>hyperlink("https://au.indeed.com/viewjob?jk=3dccbdf7f950e475","Infrastructure Engineer II")</f>
        <v>Infrastructure Engineer II</v>
      </c>
      <c r="D565" s="42" t="s">
        <v>580</v>
      </c>
      <c r="E565" s="47">
        <v>44209.76075231482</v>
      </c>
    </row>
    <row r="566">
      <c r="A566" s="42"/>
      <c r="B566" s="42" t="s">
        <v>36</v>
      </c>
      <c r="C566" s="43" t="str">
        <f>hyperlink("https://au.indeed.com/viewjob?jk=341b23772a77032a","Infrastructure Solutions Engineer - 12 Month Fixed Term Contract")</f>
        <v>Infrastructure Solutions Engineer - 12 Month Fixed Term Contract</v>
      </c>
      <c r="D566" s="42" t="s">
        <v>581</v>
      </c>
      <c r="E566" s="47">
        <v>44209.7608912037</v>
      </c>
    </row>
    <row r="567">
      <c r="A567" s="42"/>
      <c r="B567" s="42" t="s">
        <v>37</v>
      </c>
      <c r="C567" s="43" t="str">
        <f>hyperlink("https://au.indeed.com/viewjob?jk=7cbcdaed6ad84acd","Aircraft Maintenance Engineer (Mech)")</f>
        <v>Aircraft Maintenance Engineer (Mech)</v>
      </c>
      <c r="D567" s="42" t="s">
        <v>461</v>
      </c>
      <c r="E567" s="47">
        <v>44209.761469907404</v>
      </c>
    </row>
    <row r="568">
      <c r="A568" s="42"/>
      <c r="B568" s="42" t="s">
        <v>37</v>
      </c>
      <c r="C568" s="43" t="str">
        <f>hyperlink("https://au.indeed.com/viewjob?jk=50adfc4de743f6ab","Aircraft Maintenance Engineer QantasLink Sydney")</f>
        <v>Aircraft Maintenance Engineer QantasLink Sydney</v>
      </c>
      <c r="D568" s="42" t="s">
        <v>582</v>
      </c>
      <c r="E568" s="47">
        <v>44209.76159722222</v>
      </c>
    </row>
    <row r="569">
      <c r="A569" s="42"/>
      <c r="B569" s="42" t="s">
        <v>37</v>
      </c>
      <c r="C569" s="43" t="str">
        <f>hyperlink("https://au.indeed.com/viewjob?jk=463cf755d000d2a5","Maintenance &amp; Testing Engineer")</f>
        <v>Maintenance &amp; Testing Engineer</v>
      </c>
      <c r="D569" s="42" t="s">
        <v>535</v>
      </c>
      <c r="E569" s="47">
        <v>44209.761724537035</v>
      </c>
    </row>
    <row r="570">
      <c r="A570" s="42"/>
      <c r="B570" s="42" t="s">
        <v>37</v>
      </c>
      <c r="C570" s="43" t="str">
        <f>hyperlink("https://au.indeed.com/viewjob?jk=cf46b0dbeb88ee05","B1 Aircraft Maintenance Engineers &amp; Aircraft Structures Engineers")</f>
        <v>B1 Aircraft Maintenance Engineers &amp; Aircraft Structures Engineers</v>
      </c>
      <c r="D570" s="42" t="s">
        <v>583</v>
      </c>
      <c r="E570" s="47">
        <v>44209.76185185185</v>
      </c>
    </row>
    <row r="571">
      <c r="A571" s="42"/>
      <c r="B571" s="42" t="s">
        <v>38</v>
      </c>
      <c r="C571" s="43" t="str">
        <f>hyperlink("https://au.indeed.com/viewjob?jk=b0989bb9ecdae073","Manufacturing Engineer")</f>
        <v>Manufacturing Engineer</v>
      </c>
      <c r="D571" s="42" t="s">
        <v>563</v>
      </c>
      <c r="E571" s="47">
        <v>44209.76199074074</v>
      </c>
    </row>
    <row r="572">
      <c r="A572" s="42"/>
      <c r="B572" s="42" t="s">
        <v>38</v>
      </c>
      <c r="C572" s="43" t="str">
        <f>hyperlink("https://au.indeed.com/viewjob?jk=2e8474599c152f11","Manufacturing Systems Software Engineer")</f>
        <v>Manufacturing Systems Software Engineer</v>
      </c>
      <c r="D572" s="42" t="s">
        <v>458</v>
      </c>
      <c r="E572" s="47">
        <v>44209.762094907404</v>
      </c>
    </row>
    <row r="573">
      <c r="A573" s="42"/>
      <c r="B573" s="42" t="s">
        <v>39</v>
      </c>
      <c r="C573" s="43" t="str">
        <f>hyperlink("https://au.indeed.com/viewjob?jk=963f6e1dbadae600","Director Consulting Services - Principal Mining Engineer")</f>
        <v>Director Consulting Services - Principal Mining Engineer</v>
      </c>
      <c r="D573" s="42" t="s">
        <v>584</v>
      </c>
      <c r="E573" s="47">
        <v>44209.76226851852</v>
      </c>
    </row>
    <row r="574">
      <c r="A574" s="42"/>
      <c r="B574" s="42" t="s">
        <v>39</v>
      </c>
      <c r="C574" s="43" t="str">
        <f>hyperlink("https://au.indeed.com/viewjob?jk=ccaafe6f2cec29cd","Senior Engineer - Mining - Rosebery Mine")</f>
        <v>Senior Engineer - Mining - Rosebery Mine</v>
      </c>
      <c r="D574" s="42" t="s">
        <v>585</v>
      </c>
      <c r="E574" s="47">
        <v>44209.762870370374</v>
      </c>
    </row>
    <row r="575">
      <c r="A575" s="42"/>
      <c r="B575" s="42" t="s">
        <v>39</v>
      </c>
      <c r="C575" s="43" t="str">
        <f>hyperlink("https://au.indeed.com/viewjob?jk=32d97c3d76fcf157","Principal Mining Engineer")</f>
        <v>Principal Mining Engineer</v>
      </c>
      <c r="D575" s="42" t="s">
        <v>586</v>
      </c>
      <c r="E575" s="47">
        <v>44209.76299768518</v>
      </c>
    </row>
    <row r="576">
      <c r="A576" s="42"/>
      <c r="B576" s="42" t="s">
        <v>39</v>
      </c>
      <c r="C576" s="43" t="str">
        <f>hyperlink("https://au.indeed.com/viewjob?jk=306c301fb13e2ea9","Senior Mining Engineer")</f>
        <v>Senior Mining Engineer</v>
      </c>
      <c r="D576" s="42" t="s">
        <v>586</v>
      </c>
      <c r="E576" s="47">
        <v>44209.76310185185</v>
      </c>
    </row>
    <row r="577">
      <c r="A577" s="42"/>
      <c r="B577" s="42" t="s">
        <v>39</v>
      </c>
      <c r="C577" s="43" t="str">
        <f>hyperlink("https://au.indeed.com/viewjob?jk=d8395b20305050e4","Senior Mining Engineer")</f>
        <v>Senior Mining Engineer</v>
      </c>
      <c r="D577" s="42" t="s">
        <v>400</v>
      </c>
      <c r="E577" s="47">
        <v>44209.76322916667</v>
      </c>
    </row>
    <row r="578">
      <c r="A578" s="42"/>
      <c r="B578" s="42" t="s">
        <v>40</v>
      </c>
      <c r="C578" s="43" t="str">
        <f>hyperlink("https://au.indeed.com/viewjob?jk=eeb3de56bd65783d","Senior Project Engineer / Project Engineer (water/Pipelines)")</f>
        <v>Senior Project Engineer / Project Engineer (water/Pipelines)</v>
      </c>
      <c r="D578" s="42" t="s">
        <v>483</v>
      </c>
      <c r="E578" s="47">
        <v>44209.763391203705</v>
      </c>
    </row>
    <row r="579">
      <c r="A579" s="42"/>
      <c r="B579" s="42" t="s">
        <v>40</v>
      </c>
      <c r="C579" s="43" t="str">
        <f>hyperlink("https://au.indeed.com/viewjob?jk=9a132b2d70d44ff5","SENIOR SOFTWARE ENGINEER – VFX PIPELINE")</f>
        <v>SENIOR SOFTWARE ENGINEER – VFX PIPELINE</v>
      </c>
      <c r="D579" s="42" t="s">
        <v>587</v>
      </c>
      <c r="E579" s="47">
        <v>44209.76351851852</v>
      </c>
    </row>
    <row r="580">
      <c r="A580" s="42"/>
      <c r="B580" s="42" t="s">
        <v>41</v>
      </c>
      <c r="C580" s="43" t="str">
        <f>hyperlink("https://au.indeed.com/viewjob?jk=f5505e5bd9d36508","Process Engineer (Test System Engineer)")</f>
        <v>Process Engineer (Test System Engineer)</v>
      </c>
      <c r="D580" s="42" t="s">
        <v>588</v>
      </c>
      <c r="E580" s="47">
        <v>44209.76416666667</v>
      </c>
    </row>
    <row r="581">
      <c r="A581" s="42"/>
      <c r="B581" s="42" t="s">
        <v>41</v>
      </c>
      <c r="C581" s="43" t="str">
        <f>hyperlink("https://au.indeed.com/viewjob?jk=2851af29078c99f2","Sales Engineer (NSW) - Process and Packaging Machinery")</f>
        <v>Sales Engineer (NSW) - Process and Packaging Machinery</v>
      </c>
      <c r="D581" s="42" t="s">
        <v>576</v>
      </c>
      <c r="E581" s="47">
        <v>44209.76428240741</v>
      </c>
    </row>
    <row r="582">
      <c r="A582" s="42"/>
      <c r="B582" s="42" t="s">
        <v>41</v>
      </c>
      <c r="C582" s="43" t="str">
        <f>hyperlink("https://au.indeed.com/viewjob?jk=7e2ab2cb033357b3","Process Engineer")</f>
        <v>Process Engineer</v>
      </c>
      <c r="D582" s="42" t="s">
        <v>589</v>
      </c>
      <c r="E582" s="47">
        <v>44209.76466435185</v>
      </c>
    </row>
    <row r="583">
      <c r="A583" s="42"/>
      <c r="B583" s="42" t="s">
        <v>42</v>
      </c>
      <c r="C583" s="43" t="str">
        <f>hyperlink("https://au.indeed.com/viewjob?jk=71d20e793a4db381","Production Engineer")</f>
        <v>Production Engineer</v>
      </c>
      <c r="D583" s="42" t="s">
        <v>458</v>
      </c>
      <c r="E583" s="47">
        <v>44209.76710648148</v>
      </c>
    </row>
    <row r="584">
      <c r="A584" s="42"/>
      <c r="B584" s="42" t="s">
        <v>45</v>
      </c>
      <c r="C584" s="43" t="str">
        <f>hyperlink("https://au.indeed.com/viewjob?jk=d89d0003f554f877","Project Engineer")</f>
        <v>Project Engineer</v>
      </c>
      <c r="D584" s="42" t="s">
        <v>460</v>
      </c>
      <c r="E584" s="47">
        <v>44209.767962962964</v>
      </c>
    </row>
    <row r="585">
      <c r="A585" s="42"/>
      <c r="B585" s="42" t="s">
        <v>45</v>
      </c>
      <c r="C585" s="43" t="str">
        <f>hyperlink("https://au.indeed.com/viewjob?jk=4ee0c0650836cea5","Project Engineer")</f>
        <v>Project Engineer</v>
      </c>
      <c r="D585" s="42" t="s">
        <v>590</v>
      </c>
      <c r="E585" s="47">
        <v>44209.768113425926</v>
      </c>
    </row>
    <row r="586">
      <c r="A586" s="42"/>
      <c r="B586" s="42" t="s">
        <v>45</v>
      </c>
      <c r="C586" s="43" t="str">
        <f>hyperlink("https://au.indeed.com/viewjob?jk=7c89fce8b8d8a123","Senior Project Engineer - Signalling")</f>
        <v>Senior Project Engineer - Signalling</v>
      </c>
      <c r="D586" s="42" t="s">
        <v>501</v>
      </c>
      <c r="E586" s="47">
        <v>44209.768275462964</v>
      </c>
    </row>
    <row r="587">
      <c r="A587" s="42"/>
      <c r="B587" s="42" t="s">
        <v>45</v>
      </c>
      <c r="C587" s="43" t="str">
        <f>hyperlink("https://au.indeed.com/viewjob?jk=3612876bfdd5a932","Project Engineer - Track Installation")</f>
        <v>Project Engineer - Track Installation</v>
      </c>
      <c r="D587" s="42" t="s">
        <v>591</v>
      </c>
      <c r="E587" s="47">
        <v>44209.768472222226</v>
      </c>
    </row>
    <row r="588">
      <c r="A588" s="42"/>
      <c r="B588" s="42" t="s">
        <v>45</v>
      </c>
      <c r="C588" s="43" t="str">
        <f>hyperlink("https://au.indeed.com/viewjob?jk=b111107461faf2d1","Project Engineer")</f>
        <v>Project Engineer</v>
      </c>
      <c r="D588" s="42" t="s">
        <v>592</v>
      </c>
      <c r="E588" s="47">
        <v>44209.76912037037</v>
      </c>
    </row>
    <row r="589">
      <c r="A589" s="42"/>
      <c r="B589" s="42" t="s">
        <v>45</v>
      </c>
      <c r="C589" s="43" t="str">
        <f>hyperlink("https://au.indeed.com/viewjob?jk=a2e24cee4d929795","Casual Project Engineer")</f>
        <v>Casual Project Engineer</v>
      </c>
      <c r="D589" s="42" t="s">
        <v>530</v>
      </c>
      <c r="E589" s="47">
        <v>44209.770625</v>
      </c>
    </row>
    <row r="590">
      <c r="A590" s="42"/>
      <c r="B590" s="42" t="s">
        <v>45</v>
      </c>
      <c r="C590" s="43" t="str">
        <f>hyperlink("https://au.indeed.com/viewjob?jk=0f1863e03d5058e7","Senior Structural Engineer - Residential and Commercial Projects")</f>
        <v>Senior Structural Engineer - Residential and Commercial Projects</v>
      </c>
      <c r="D590" s="42" t="s">
        <v>505</v>
      </c>
      <c r="E590" s="47">
        <v>44209.77075231481</v>
      </c>
    </row>
    <row r="591">
      <c r="A591" s="42"/>
      <c r="B591" s="42" t="s">
        <v>45</v>
      </c>
      <c r="C591" s="43" t="str">
        <f>hyperlink("https://au.indeed.com/viewjob?jk=7f22baa190f10a87","Senior Structural Engineer | Residential Projects")</f>
        <v>Senior Structural Engineer | Residential Projects</v>
      </c>
      <c r="D591" s="42" t="s">
        <v>505</v>
      </c>
      <c r="E591" s="47">
        <v>44209.770891203705</v>
      </c>
    </row>
    <row r="592">
      <c r="A592" s="42"/>
      <c r="B592" s="42" t="s">
        <v>45</v>
      </c>
      <c r="C592" s="43" t="str">
        <f>hyperlink("https://au.indeed.com/viewjob?jk=34e257f0b178554f","Project Engineer")</f>
        <v>Project Engineer</v>
      </c>
      <c r="D592" s="42" t="s">
        <v>589</v>
      </c>
      <c r="E592" s="47">
        <v>44209.77104166667</v>
      </c>
    </row>
    <row r="593">
      <c r="A593" s="42"/>
      <c r="B593" s="42" t="s">
        <v>45</v>
      </c>
      <c r="C593" s="43" t="str">
        <f>hyperlink("https://au.indeed.com/viewjob?jk=252b4c32a983e9eb","Project Engineer")</f>
        <v>Project Engineer</v>
      </c>
      <c r="D593" s="42" t="s">
        <v>593</v>
      </c>
      <c r="E593" s="47">
        <v>44209.77211805555</v>
      </c>
    </row>
    <row r="594">
      <c r="A594" s="42"/>
      <c r="B594" s="42" t="s">
        <v>45</v>
      </c>
      <c r="C594" s="43" t="str">
        <f>hyperlink("https://au.indeed.com/viewjob?jk=f37ce41d41baec39","Level 3 Engineer, Project and Solution Services")</f>
        <v>Level 3 Engineer, Project and Solution Services</v>
      </c>
      <c r="D594" s="42" t="s">
        <v>594</v>
      </c>
      <c r="E594" s="47">
        <v>44209.77229166667</v>
      </c>
    </row>
    <row r="595">
      <c r="A595" s="42"/>
      <c r="B595" s="42" t="s">
        <v>45</v>
      </c>
      <c r="C595" s="43" t="str">
        <f>hyperlink("https://au.indeed.com/viewjob?jk=8027da6713b907fd","Service Project Engineer")</f>
        <v>Service Project Engineer</v>
      </c>
      <c r="D595" s="42" t="s">
        <v>460</v>
      </c>
      <c r="E595" s="47">
        <v>44209.77290509259</v>
      </c>
    </row>
    <row r="596">
      <c r="A596" s="42"/>
      <c r="B596" s="42" t="s">
        <v>45</v>
      </c>
      <c r="C596" s="43" t="str">
        <f>hyperlink("https://au.indeed.com/viewjob?jk=07d3dd69406e8d5c","Project Engineer - Transport Access Program")</f>
        <v>Project Engineer - Transport Access Program</v>
      </c>
      <c r="D596" s="42" t="s">
        <v>484</v>
      </c>
      <c r="E596" s="47">
        <v>44209.773043981484</v>
      </c>
    </row>
    <row r="597">
      <c r="A597" s="42"/>
      <c r="B597" s="42" t="s">
        <v>45</v>
      </c>
      <c r="C597" s="43" t="str">
        <f>hyperlink("https://au.indeed.com/viewjob?jk=8115cc7783efcd6a","Project Engineer")</f>
        <v>Project Engineer</v>
      </c>
      <c r="D597" s="42" t="s">
        <v>595</v>
      </c>
      <c r="E597" s="47">
        <v>44209.77315972222</v>
      </c>
    </row>
    <row r="598">
      <c r="A598" s="42"/>
      <c r="B598" s="42" t="s">
        <v>45</v>
      </c>
      <c r="C598" s="43" t="str">
        <f>hyperlink("https://au.indeed.com/viewjob?jk=5ca72b2daa7d3881","Project Engineer x 2")</f>
        <v>Project Engineer x 2</v>
      </c>
      <c r="D598" s="43" t="s">
        <v>596</v>
      </c>
      <c r="E598" s="47">
        <v>44209.77369212963</v>
      </c>
    </row>
    <row r="599">
      <c r="A599" s="42"/>
      <c r="B599" s="42" t="s">
        <v>45</v>
      </c>
      <c r="C599" s="43" t="str">
        <f>hyperlink("https://au.indeed.com/viewjob?jk=f4959d083f1cf9f1","Project Engineer")</f>
        <v>Project Engineer</v>
      </c>
      <c r="D599" s="42" t="s">
        <v>593</v>
      </c>
      <c r="E599" s="47">
        <v>44209.77380787037</v>
      </c>
    </row>
    <row r="600">
      <c r="A600" s="42"/>
      <c r="B600" s="42" t="s">
        <v>45</v>
      </c>
      <c r="C600" s="43" t="str">
        <f>hyperlink("https://au.indeed.com/viewjob?jk=87878af4afed344c","Senior Project Engineer")</f>
        <v>Senior Project Engineer</v>
      </c>
      <c r="D600" s="42" t="s">
        <v>592</v>
      </c>
      <c r="E600" s="47">
        <v>44209.77391203704</v>
      </c>
    </row>
    <row r="601">
      <c r="A601" s="42"/>
      <c r="B601" s="42" t="s">
        <v>45</v>
      </c>
      <c r="C601" s="43" t="str">
        <f>hyperlink("https://au.indeed.com/viewjob?jk=d51e545e1c80bcb0","Project Engineer - Pavements")</f>
        <v>Project Engineer - Pavements</v>
      </c>
      <c r="D601" s="42" t="s">
        <v>501</v>
      </c>
      <c r="E601" s="47">
        <v>44209.77416666667</v>
      </c>
    </row>
    <row r="602">
      <c r="A602" s="42"/>
      <c r="B602" s="42" t="s">
        <v>45</v>
      </c>
      <c r="C602" s="43" t="str">
        <f>hyperlink("https://au.indeed.com/viewjob?jk=4f272d830a084a72","Project Engineer")</f>
        <v>Project Engineer</v>
      </c>
      <c r="D602" s="42" t="s">
        <v>597</v>
      </c>
      <c r="E602" s="47">
        <v>44209.77428240741</v>
      </c>
    </row>
    <row r="603">
      <c r="A603" s="42"/>
      <c r="B603" s="42" t="s">
        <v>45</v>
      </c>
      <c r="C603" s="43" t="str">
        <f>hyperlink("https://au.indeed.com/viewjob?jk=a6a7f0076d3852dd","EOI - Project Engineers (Linewide Project)")</f>
        <v>EOI - Project Engineers (Linewide Project)</v>
      </c>
      <c r="D603" s="42" t="s">
        <v>591</v>
      </c>
      <c r="E603" s="47">
        <v>44209.77475694445</v>
      </c>
    </row>
    <row r="604">
      <c r="A604" s="42"/>
      <c r="B604" s="42" t="s">
        <v>45</v>
      </c>
      <c r="C604" s="43" t="str">
        <f>hyperlink("https://au.indeed.com/viewjob?jk=0563a3e7a770d77c","Project Engineer - Communications Wireless")</f>
        <v>Project Engineer - Communications Wireless</v>
      </c>
      <c r="D604" s="42" t="s">
        <v>484</v>
      </c>
      <c r="E604" s="47">
        <v>44209.77520833333</v>
      </c>
    </row>
    <row r="605">
      <c r="A605" s="42"/>
      <c r="B605" s="42" t="s">
        <v>45</v>
      </c>
      <c r="C605" s="43" t="str">
        <f>hyperlink("https://au.indeed.com/viewjob?jk=b5c7d1b5326fbb6b","Project Engineer - Communications")</f>
        <v>Project Engineer - Communications</v>
      </c>
      <c r="D605" s="42" t="s">
        <v>333</v>
      </c>
      <c r="E605" s="47">
        <v>44209.775347222225</v>
      </c>
    </row>
    <row r="606">
      <c r="A606" s="42"/>
      <c r="B606" s="42" t="s">
        <v>45</v>
      </c>
      <c r="C606" s="43" t="str">
        <f>hyperlink("https://au.indeed.com/viewjob?jk=73ccf67debad764c","Senior Project Engineers (Water)")</f>
        <v>Senior Project Engineers (Water)</v>
      </c>
      <c r="D606" s="42" t="s">
        <v>483</v>
      </c>
      <c r="E606" s="47">
        <v>44209.77548611111</v>
      </c>
    </row>
    <row r="607">
      <c r="A607" s="42"/>
      <c r="B607" s="42" t="s">
        <v>45</v>
      </c>
      <c r="C607" s="43" t="str">
        <f>hyperlink("https://au.indeed.com/viewjob?jk=1d3d909585024e6a","Project Engineer (Defence)")</f>
        <v>Project Engineer (Defence)</v>
      </c>
      <c r="D607" s="42" t="s">
        <v>405</v>
      </c>
      <c r="E607" s="47">
        <v>44209.77659722222</v>
      </c>
    </row>
    <row r="608">
      <c r="A608" s="42"/>
      <c r="B608" s="42" t="s">
        <v>45</v>
      </c>
      <c r="C608" s="43" t="str">
        <f>hyperlink("https://au.indeed.com/viewjob?jk=a2da51b52b0b3785","Project Manager &amp; Project Engineer")</f>
        <v>Project Manager &amp; Project Engineer</v>
      </c>
      <c r="D608" s="42" t="s">
        <v>598</v>
      </c>
      <c r="E608" s="47">
        <v>44209.777280092596</v>
      </c>
    </row>
    <row r="609">
      <c r="A609" s="42"/>
      <c r="B609" s="42" t="s">
        <v>45</v>
      </c>
      <c r="C609" s="43" t="str">
        <f>hyperlink("https://au.indeed.com/viewjob?jk=0697f73fdcf231d0","T&amp;D Engineer / Project Manager")</f>
        <v>T&amp;D Engineer / Project Manager</v>
      </c>
      <c r="D609" s="42" t="s">
        <v>459</v>
      </c>
      <c r="E609" s="47">
        <v>44209.777407407404</v>
      </c>
    </row>
    <row r="610">
      <c r="A610" s="42"/>
      <c r="B610" s="42" t="s">
        <v>45</v>
      </c>
      <c r="C610" s="43" t="str">
        <f>hyperlink("https://au.indeed.com/viewjob?jk=a9ad1fc7cdbcd454","Senior Project Engineer - Track")</f>
        <v>Senior Project Engineer - Track</v>
      </c>
      <c r="D610" s="42" t="s">
        <v>501</v>
      </c>
      <c r="E610" s="47">
        <v>44209.78053240741</v>
      </c>
    </row>
    <row r="611">
      <c r="A611" s="42"/>
      <c r="B611" s="42" t="s">
        <v>45</v>
      </c>
      <c r="C611" s="43" t="str">
        <f>hyperlink("https://au.indeed.com/viewjob?jk=fee7306c45330aef","Junior Project Engineer")</f>
        <v>Junior Project Engineer</v>
      </c>
      <c r="D611" s="42" t="s">
        <v>505</v>
      </c>
      <c r="E611" s="47">
        <v>44209.78203703704</v>
      </c>
    </row>
    <row r="612">
      <c r="A612" s="42"/>
      <c r="B612" s="42" t="s">
        <v>45</v>
      </c>
      <c r="C612" s="43" t="str">
        <f>hyperlink("https://au.indeed.com/viewjob?jk=3dc70723dcccf788","Project Engineer")</f>
        <v>Project Engineer</v>
      </c>
      <c r="D612" s="42" t="s">
        <v>492</v>
      </c>
      <c r="E612" s="47">
        <v>44209.78260416666</v>
      </c>
    </row>
    <row r="613">
      <c r="A613" s="42"/>
      <c r="B613" s="42" t="s">
        <v>45</v>
      </c>
      <c r="C613" s="43" t="str">
        <f>hyperlink("https://au.indeed.com/viewjob?jk=101e821c5316931e","Senior Project Engineer")</f>
        <v>Senior Project Engineer</v>
      </c>
      <c r="D613" s="42" t="s">
        <v>502</v>
      </c>
      <c r="E613" s="47">
        <v>44209.78361111111</v>
      </c>
    </row>
    <row r="614">
      <c r="A614" s="42"/>
      <c r="B614" s="42" t="s">
        <v>26</v>
      </c>
      <c r="C614" s="43" t="str">
        <f>hyperlink("https://au.indeed.com/viewjob?jk=7b1928f1c89df078","Principal Aviation Mechanical Engineer")</f>
        <v>Principal Aviation Mechanical Engineer</v>
      </c>
      <c r="D614" s="42" t="s">
        <v>564</v>
      </c>
      <c r="E614" s="47">
        <v>44217.74193287037</v>
      </c>
    </row>
    <row r="615">
      <c r="A615" s="42"/>
      <c r="B615" s="42" t="s">
        <v>26</v>
      </c>
      <c r="C615" s="43" t="str">
        <f>hyperlink("https://au.indeed.com/viewjob?jk=869f301001931837","Mechanical Design Engineer")</f>
        <v>Mechanical Design Engineer</v>
      </c>
      <c r="D615" s="42" t="s">
        <v>518</v>
      </c>
      <c r="E615" s="47">
        <v>44217.74321759259</v>
      </c>
    </row>
    <row r="616">
      <c r="A616" s="42"/>
      <c r="B616" s="42" t="s">
        <v>26</v>
      </c>
      <c r="C616" s="43" t="str">
        <f>hyperlink("https://au.indeed.com/viewjob?jk=7ac4ad0991284ffe","Principal Aviation Mechanical Engineer")</f>
        <v>Principal Aviation Mechanical Engineer</v>
      </c>
      <c r="D616" s="42" t="s">
        <v>559</v>
      </c>
      <c r="E616" s="47">
        <v>44217.74375</v>
      </c>
    </row>
    <row r="617">
      <c r="A617" s="42"/>
      <c r="B617" s="42" t="s">
        <v>26</v>
      </c>
      <c r="C617" s="43" t="str">
        <f>hyperlink("https://au.indeed.com/viewjob?jk=0631e7b4bdf1ebd4","Mechanical/Electrical Engineer")</f>
        <v>Mechanical/Electrical Engineer</v>
      </c>
      <c r="D617" s="42"/>
      <c r="E617" s="47">
        <v>44217.74422453704</v>
      </c>
    </row>
    <row r="618">
      <c r="A618" s="42"/>
      <c r="B618" s="42" t="s">
        <v>26</v>
      </c>
      <c r="C618" s="43" t="str">
        <f>hyperlink("https://au.indeed.com/viewjob?jk=b120a176901eec1b","Mechanical Design Engineer")</f>
        <v>Mechanical Design Engineer</v>
      </c>
      <c r="D618" s="42" t="s">
        <v>518</v>
      </c>
      <c r="E618" s="47">
        <v>44217.7443287037</v>
      </c>
    </row>
    <row r="619">
      <c r="A619" s="42"/>
      <c r="B619" s="42" t="s">
        <v>26</v>
      </c>
      <c r="C619" s="43" t="str">
        <f>hyperlink("https://au.indeed.com/viewjob?jk=2c3216c168d1a6dc","Apprentice Aircraft Maintenance Engineer (Mechanical)")</f>
        <v>Apprentice Aircraft Maintenance Engineer (Mechanical)</v>
      </c>
      <c r="D619" s="42" t="s">
        <v>564</v>
      </c>
      <c r="E619" s="47">
        <v>44217.74445601852</v>
      </c>
    </row>
    <row r="620">
      <c r="A620" s="42"/>
      <c r="B620" s="42" t="s">
        <v>26</v>
      </c>
      <c r="C620" s="43" t="str">
        <f>hyperlink("https://au.indeed.com/viewjob?jk=7b81c5cb904ea936","Senior Mechanical Engineer")</f>
        <v>Senior Mechanical Engineer</v>
      </c>
      <c r="D620" s="42" t="s">
        <v>457</v>
      </c>
      <c r="E620" s="47">
        <v>44217.74458333333</v>
      </c>
    </row>
    <row r="621">
      <c r="A621" s="42"/>
      <c r="B621" s="42" t="s">
        <v>26</v>
      </c>
      <c r="C621" s="43" t="str">
        <f>hyperlink("https://au.indeed.com/viewjob?jk=faee325ab9296399","Mechanical or Mechatronics Engineer")</f>
        <v>Mechanical or Mechatronics Engineer</v>
      </c>
      <c r="D621" s="42" t="s">
        <v>350</v>
      </c>
      <c r="E621" s="47">
        <v>44217.74532407407</v>
      </c>
    </row>
    <row r="622">
      <c r="A622" s="42"/>
      <c r="B622" s="42" t="s">
        <v>26</v>
      </c>
      <c r="C622" s="43" t="str">
        <f>hyperlink("https://au.indeed.com/viewjob?jk=620e104872638fb1","Apprentice Aircraft Maintenance Engineer (Mechanical)")</f>
        <v>Apprentice Aircraft Maintenance Engineer (Mechanical)</v>
      </c>
      <c r="D622" s="42" t="s">
        <v>559</v>
      </c>
      <c r="E622" s="47">
        <v>44217.74590277778</v>
      </c>
    </row>
    <row r="623">
      <c r="A623" s="42"/>
      <c r="B623" s="42" t="s">
        <v>26</v>
      </c>
      <c r="C623" s="43" t="str">
        <f>hyperlink("https://au.indeed.com/viewjob?jk=0c24412d6f32d9d1","Mechanical or Mechatronics Engineer")</f>
        <v>Mechanical or Mechatronics Engineer</v>
      </c>
      <c r="D623" s="42" t="s">
        <v>350</v>
      </c>
      <c r="E623" s="47">
        <v>44217.74690972222</v>
      </c>
    </row>
    <row r="624">
      <c r="A624" s="42"/>
      <c r="B624" s="42" t="s">
        <v>32</v>
      </c>
      <c r="C624" s="43" t="str">
        <f>hyperlink("https://au.indeed.com/viewjob?jk=a3e49fdc95d964ef","Asset Engineer")</f>
        <v>Asset Engineer</v>
      </c>
      <c r="D624" s="42" t="s">
        <v>474</v>
      </c>
      <c r="E624" s="47">
        <v>44217.74780092593</v>
      </c>
    </row>
    <row r="625">
      <c r="A625" s="42"/>
      <c r="B625" s="42" t="s">
        <v>32</v>
      </c>
      <c r="C625" s="43" t="str">
        <f>hyperlink("https://au.indeed.com/viewjob?jk=7b98605b996b1528","Asset Backed Products Financial Engineer")</f>
        <v>Asset Backed Products Financial Engineer</v>
      </c>
      <c r="D625" s="42" t="s">
        <v>599</v>
      </c>
      <c r="E625" s="47">
        <v>44217.74791666667</v>
      </c>
    </row>
    <row r="626">
      <c r="A626" s="42"/>
      <c r="B626" s="42" t="s">
        <v>33</v>
      </c>
      <c r="C626" s="43" t="str">
        <f>hyperlink("https://au.indeed.com/viewjob?jk=192e79d1a99bd5ee","Senior Design Engineer")</f>
        <v>Senior Design Engineer</v>
      </c>
      <c r="D626" s="42" t="s">
        <v>600</v>
      </c>
      <c r="E626" s="47">
        <v>44217.74980324074</v>
      </c>
    </row>
    <row r="627">
      <c r="A627" s="42"/>
      <c r="B627" s="42" t="s">
        <v>26</v>
      </c>
      <c r="C627" s="43" t="str">
        <f>hyperlink("https://au.indeed.com/viewjob?jk=7e7664823a8e151f","Mechanical Engineer")</f>
        <v>Mechanical Engineer</v>
      </c>
      <c r="D627" s="42" t="s">
        <v>601</v>
      </c>
      <c r="E627" s="47">
        <v>44221.63815972222</v>
      </c>
    </row>
    <row r="628">
      <c r="A628" s="42"/>
      <c r="B628" s="42" t="s">
        <v>26</v>
      </c>
      <c r="C628" s="43" t="str">
        <f>hyperlink("https://au.indeed.com/viewjob?jk=fc27d8562faa5b34","Lead Mechanical Engineer - Snowy 2.0")</f>
        <v>Lead Mechanical Engineer - Snowy 2.0</v>
      </c>
      <c r="D628" s="42" t="s">
        <v>602</v>
      </c>
      <c r="E628" s="47">
        <v>44221.63825231481</v>
      </c>
    </row>
    <row r="629">
      <c r="A629" s="42"/>
      <c r="B629" s="42" t="s">
        <v>26</v>
      </c>
      <c r="C629" s="43" t="str">
        <f>hyperlink("https://au.indeed.com/viewjob?jk=83b7b8e3971c7e0f","Senior Mechanical Engineer")</f>
        <v>Senior Mechanical Engineer</v>
      </c>
      <c r="D629" s="42" t="s">
        <v>539</v>
      </c>
      <c r="E629" s="47">
        <v>44221.638344907406</v>
      </c>
    </row>
    <row r="630">
      <c r="A630" s="42"/>
      <c r="B630" s="42" t="s">
        <v>26</v>
      </c>
      <c r="C630" s="43" t="str">
        <f>hyperlink("https://au.indeed.com/viewjob?jk=b3461f8b85ff4ee7","Principal Mechanical Engineer")</f>
        <v>Principal Mechanical Engineer</v>
      </c>
      <c r="D630" s="42" t="s">
        <v>603</v>
      </c>
      <c r="E630" s="47">
        <v>44221.63847222222</v>
      </c>
    </row>
    <row r="631">
      <c r="A631" s="42"/>
      <c r="B631" s="42" t="s">
        <v>26</v>
      </c>
      <c r="C631" s="43" t="str">
        <f>hyperlink("https://au.indeed.com/viewjob?jk=f46ac5b5a51f042f","Mechanical Engineer")</f>
        <v>Mechanical Engineer</v>
      </c>
      <c r="D631" s="42" t="s">
        <v>604</v>
      </c>
      <c r="E631" s="47">
        <v>44221.63885416667</v>
      </c>
    </row>
    <row r="632">
      <c r="A632" s="42"/>
      <c r="B632" s="42" t="s">
        <v>26</v>
      </c>
      <c r="C632" s="43" t="str">
        <f>hyperlink("https://au.indeed.com/viewjob?jk=b08ba6b21138380e","Mechanical Engineer")</f>
        <v>Mechanical Engineer</v>
      </c>
      <c r="D632" s="42" t="s">
        <v>604</v>
      </c>
      <c r="E632" s="47">
        <v>44221.63924768518</v>
      </c>
    </row>
    <row r="633">
      <c r="A633" s="42"/>
      <c r="B633" s="42" t="s">
        <v>33</v>
      </c>
      <c r="C633" s="43" t="str">
        <f>hyperlink("https://au.indeed.com/viewjob?jk=fdb2c50c2ce9ad17","Senior Electrical Design Engineer")</f>
        <v>Senior Electrical Design Engineer</v>
      </c>
      <c r="D633" s="42" t="s">
        <v>605</v>
      </c>
      <c r="E633" s="47">
        <v>44221.64298611111</v>
      </c>
    </row>
    <row r="634">
      <c r="A634" s="42"/>
      <c r="B634" s="42" t="s">
        <v>33</v>
      </c>
      <c r="C634" s="43" t="str">
        <f>hyperlink("https://au.indeed.com/viewjob?jk=d9732bb196a0e4e6","SENIOR SIGNALING DESIGN ENGINEER")</f>
        <v>SENIOR SIGNALING DESIGN ENGINEER</v>
      </c>
      <c r="D634" s="42" t="s">
        <v>494</v>
      </c>
      <c r="E634" s="47">
        <v>44221.64356481482</v>
      </c>
    </row>
    <row r="635">
      <c r="A635" s="42"/>
      <c r="B635" s="42" t="s">
        <v>33</v>
      </c>
      <c r="C635" s="43" t="str">
        <f>hyperlink("https://au.indeed.com/viewjob?jk=b7bcdb464e7dc499","Transformer Design Engineer")</f>
        <v>Transformer Design Engineer</v>
      </c>
      <c r="D635" s="42" t="s">
        <v>570</v>
      </c>
      <c r="E635" s="47">
        <v>44221.64405092593</v>
      </c>
    </row>
    <row r="636">
      <c r="A636" s="42"/>
      <c r="B636" s="42" t="s">
        <v>33</v>
      </c>
      <c r="C636" s="43" t="str">
        <f>hyperlink("https://au.indeed.com/viewjob?jk=0028f1791518c498","RFFE Filter Design Engineer - Maitland, FL")</f>
        <v>RFFE Filter Design Engineer - Maitland, FL</v>
      </c>
      <c r="D636" s="42" t="s">
        <v>606</v>
      </c>
      <c r="E636" s="47">
        <v>44221.64461805556</v>
      </c>
    </row>
    <row r="637">
      <c r="A637" s="42"/>
      <c r="B637" s="42" t="s">
        <v>34</v>
      </c>
      <c r="C637" s="43" t="str">
        <f>hyperlink("https://au.indeed.com/viewjob?jk=124d9c9faadabef4","Development Engineer")</f>
        <v>Development Engineer</v>
      </c>
      <c r="D637" s="42" t="s">
        <v>607</v>
      </c>
      <c r="E637" s="47">
        <v>44221.646099537036</v>
      </c>
    </row>
    <row r="638">
      <c r="A638" s="42"/>
      <c r="B638" s="42" t="s">
        <v>34</v>
      </c>
      <c r="C638" s="43" t="str">
        <f>hyperlink("https://au.indeed.com/viewjob?jk=05d7edf793dff1cc","Senior Software Engineer - Front End Development")</f>
        <v>Senior Software Engineer - Front End Development</v>
      </c>
      <c r="D638" s="42" t="s">
        <v>582</v>
      </c>
      <c r="E638" s="47">
        <v>44221.64738425926</v>
      </c>
    </row>
    <row r="639">
      <c r="A639" s="42"/>
      <c r="B639" s="42" t="s">
        <v>34</v>
      </c>
      <c r="C639" s="43" t="str">
        <f>hyperlink("https://au.indeed.com/viewjob?jk=9ccc6e5af34a66f1","Senior Network Development Engineer")</f>
        <v>Senior Network Development Engineer</v>
      </c>
      <c r="D639" s="42" t="s">
        <v>462</v>
      </c>
      <c r="E639" s="47">
        <v>44221.64787037037</v>
      </c>
    </row>
    <row r="640">
      <c r="A640" s="42"/>
      <c r="B640" s="42" t="s">
        <v>34</v>
      </c>
      <c r="C640" s="43" t="str">
        <f>hyperlink("https://au.indeed.com/viewjob?jk=95b2d956b9293868","Software Development Engineer - AWS Developer Tools")</f>
        <v>Software Development Engineer - AWS Developer Tools</v>
      </c>
      <c r="D640" s="42" t="s">
        <v>463</v>
      </c>
      <c r="E640" s="47">
        <v>44221.64797453704</v>
      </c>
    </row>
    <row r="641">
      <c r="A641" s="42"/>
      <c r="B641" s="42" t="s">
        <v>34</v>
      </c>
      <c r="C641" s="43" t="str">
        <f>hyperlink("https://au.indeed.com/viewjob?jk=2ad95f0703613a6d","Software Development Engineer - AWS - Networking")</f>
        <v>Software Development Engineer - AWS - Networking</v>
      </c>
      <c r="D641" s="42" t="s">
        <v>462</v>
      </c>
      <c r="E641" s="47">
        <v>44221.6484375</v>
      </c>
    </row>
    <row r="642">
      <c r="A642" s="42"/>
      <c r="B642" s="42" t="s">
        <v>34</v>
      </c>
      <c r="C642" s="43" t="str">
        <f>hyperlink("https://au.indeed.com/viewjob?jk=7a3a2e0c3fc8cc93","Land Development Engineer")</f>
        <v>Land Development Engineer</v>
      </c>
      <c r="D642" s="42" t="s">
        <v>608</v>
      </c>
      <c r="E642" s="47">
        <v>44221.648564814815</v>
      </c>
    </row>
    <row r="643">
      <c r="A643" s="42"/>
      <c r="B643" s="42" t="s">
        <v>34</v>
      </c>
      <c r="C643" s="43" t="str">
        <f>hyperlink("https://au.indeed.com/viewjob?jk=d3b437d9afe66a6a","Senior Development Engineer")</f>
        <v>Senior Development Engineer</v>
      </c>
      <c r="D643" s="42" t="s">
        <v>552</v>
      </c>
      <c r="E643" s="47">
        <v>44221.64869212963</v>
      </c>
    </row>
    <row r="644">
      <c r="A644" s="42"/>
      <c r="B644" s="42" t="s">
        <v>34</v>
      </c>
      <c r="C644" s="43" t="str">
        <f>hyperlink("https://au.indeed.com/viewjob?jk=bca89415bbf05606","Systems Development Engineer-Enterprise Network")</f>
        <v>Systems Development Engineer-Enterprise Network</v>
      </c>
      <c r="D644" s="42" t="s">
        <v>462</v>
      </c>
      <c r="E644" s="47">
        <v>44221.64880787037</v>
      </c>
    </row>
    <row r="645">
      <c r="A645" s="42"/>
      <c r="B645" s="42" t="s">
        <v>34</v>
      </c>
      <c r="C645" s="43" t="str">
        <f>hyperlink("https://au.indeed.com/viewjob?jk=36c5dd2b6e7019ed","Development Engineer")</f>
        <v>Development Engineer</v>
      </c>
      <c r="D645" s="42" t="s">
        <v>607</v>
      </c>
      <c r="E645" s="47">
        <v>44221.64927083333</v>
      </c>
    </row>
    <row r="646">
      <c r="A646" s="42"/>
      <c r="B646" s="42" t="s">
        <v>34</v>
      </c>
      <c r="C646" s="43" t="str">
        <f>hyperlink("https://au.indeed.com/viewjob?jk=02b352c81041424d","Product Development Engineer")</f>
        <v>Product Development Engineer</v>
      </c>
      <c r="D646" s="42" t="s">
        <v>609</v>
      </c>
      <c r="E646" s="47">
        <v>44221.649363425924</v>
      </c>
    </row>
    <row r="647">
      <c r="A647" s="42"/>
      <c r="B647" s="42" t="s">
        <v>34</v>
      </c>
      <c r="C647" s="43" t="str">
        <f>hyperlink("https://au.indeed.com/viewjob?jk=da571cf530cd2a38","Software Development Engineer in Test")</f>
        <v>Software Development Engineer in Test</v>
      </c>
      <c r="D647" s="42" t="s">
        <v>610</v>
      </c>
      <c r="E647" s="47">
        <v>44221.649502314816</v>
      </c>
    </row>
    <row r="648">
      <c r="A648" s="42"/>
      <c r="B648" s="42" t="s">
        <v>34</v>
      </c>
      <c r="C648" s="43" t="str">
        <f>hyperlink("https://au.indeed.com/viewjob?jk=388ecbb4b987e2b6","Development Engineer")</f>
        <v>Development Engineer</v>
      </c>
      <c r="D648" s="42" t="s">
        <v>516</v>
      </c>
      <c r="E648" s="47">
        <v>44221.650046296294</v>
      </c>
    </row>
    <row r="649">
      <c r="A649" s="42"/>
      <c r="B649" s="42" t="s">
        <v>34</v>
      </c>
      <c r="C649" s="43" t="str">
        <f>hyperlink("https://au.indeed.com/viewjob?jk=423756da82a3161a","Senior Civil Engineer - $155k-$133k. Land/Urban Development")</f>
        <v>Senior Civil Engineer - $155k-$133k. Land/Urban Development</v>
      </c>
      <c r="D649" s="42" t="s">
        <v>510</v>
      </c>
      <c r="E649" s="47">
        <v>44221.65015046296</v>
      </c>
    </row>
    <row r="650">
      <c r="A650" s="42"/>
      <c r="B650" s="42" t="s">
        <v>35</v>
      </c>
      <c r="C650" s="43" t="str">
        <f>hyperlink("https://au.indeed.com/viewjob?jk=01ad2654c285e649","Lead Test Engineer - Industrial Communication Systems")</f>
        <v>Lead Test Engineer - Industrial Communication Systems</v>
      </c>
      <c r="D650" s="42" t="s">
        <v>350</v>
      </c>
      <c r="E650" s="47">
        <v>44221.650300925925</v>
      </c>
    </row>
    <row r="651">
      <c r="A651" s="42"/>
      <c r="B651" s="42" t="s">
        <v>36</v>
      </c>
      <c r="C651" s="43" t="str">
        <f>hyperlink("https://au.indeed.com/viewjob?jk=9e94302d0604d955","Infrastructure Engineer")</f>
        <v>Infrastructure Engineer</v>
      </c>
      <c r="D651" s="42" t="s">
        <v>611</v>
      </c>
      <c r="E651" s="47">
        <v>44221.65131944444</v>
      </c>
    </row>
    <row r="652">
      <c r="A652" s="42"/>
      <c r="B652" s="42" t="s">
        <v>36</v>
      </c>
      <c r="C652" s="43" t="str">
        <f>hyperlink("https://au.indeed.com/viewjob?jk=78bafaf3f396a835","Infrastructure Project Engineer")</f>
        <v>Infrastructure Project Engineer</v>
      </c>
      <c r="D652" s="42" t="s">
        <v>612</v>
      </c>
      <c r="E652" s="47">
        <v>44221.6518287037</v>
      </c>
    </row>
    <row r="653">
      <c r="A653" s="42"/>
      <c r="B653" s="42" t="s">
        <v>36</v>
      </c>
      <c r="C653" s="43" t="str">
        <f>hyperlink("https://au.indeed.com/viewjob?jk=f60c0db5d4d94fb1","Senior IT Infrastructure Engineer (Systems Engineering)")</f>
        <v>Senior IT Infrastructure Engineer (Systems Engineering)</v>
      </c>
      <c r="D653" s="42" t="s">
        <v>512</v>
      </c>
      <c r="E653" s="47">
        <v>44221.65247685185</v>
      </c>
    </row>
    <row r="654">
      <c r="A654" s="42"/>
      <c r="B654" s="42" t="s">
        <v>36</v>
      </c>
      <c r="C654" s="43" t="str">
        <f>hyperlink("https://au.indeed.com/viewjob?jk=682440ac6a3181bc","Infrastructure Engineer")</f>
        <v>Infrastructure Engineer</v>
      </c>
      <c r="D654" s="42" t="s">
        <v>611</v>
      </c>
      <c r="E654" s="47">
        <v>44221.65258101852</v>
      </c>
    </row>
    <row r="655">
      <c r="A655" s="42"/>
      <c r="B655" s="42" t="s">
        <v>36</v>
      </c>
      <c r="C655" s="43" t="str">
        <f>hyperlink("https://au.indeed.com/viewjob?jk=702104a7d9644064","Infrastructure Engineer - EUC")</f>
        <v>Infrastructure Engineer - EUC</v>
      </c>
      <c r="D655" s="42" t="s">
        <v>610</v>
      </c>
      <c r="E655" s="47">
        <v>44221.65268518519</v>
      </c>
    </row>
    <row r="656">
      <c r="A656" s="42"/>
      <c r="B656" s="42" t="s">
        <v>36</v>
      </c>
      <c r="C656" s="43" t="str">
        <f>hyperlink("https://au.indeed.com/viewjob?jk=ea77c162dda1d304","Cloud Technical Solutions Engineer, Infrastructure")</f>
        <v>Cloud Technical Solutions Engineer, Infrastructure</v>
      </c>
      <c r="D656" s="42" t="s">
        <v>579</v>
      </c>
      <c r="E656" s="47">
        <v>44221.65521990741</v>
      </c>
    </row>
    <row r="657">
      <c r="A657" s="42"/>
      <c r="B657" s="42" t="s">
        <v>37</v>
      </c>
      <c r="C657" s="43" t="str">
        <f>hyperlink("https://au.indeed.com/viewjob?jk=cafae1591281816e","Aircraft Maintenance Engineer (Maintenance Manager): Avionics")</f>
        <v>Aircraft Maintenance Engineer (Maintenance Manager): Avionics</v>
      </c>
      <c r="D657" s="42" t="s">
        <v>461</v>
      </c>
      <c r="E657" s="47">
        <v>44221.65537037037</v>
      </c>
    </row>
    <row r="658">
      <c r="A658" s="42"/>
      <c r="B658" s="42" t="s">
        <v>37</v>
      </c>
      <c r="C658" s="43" t="str">
        <f>hyperlink("https://au.indeed.com/viewjob?jk=8860e151eb2aea23","Aircraft Maintenance Engineer - Avionics")</f>
        <v>Aircraft Maintenance Engineer - Avionics</v>
      </c>
      <c r="D658" s="42" t="s">
        <v>461</v>
      </c>
      <c r="E658" s="47">
        <v>44221.65550925926</v>
      </c>
    </row>
    <row r="659">
      <c r="A659" s="42"/>
      <c r="B659" s="42" t="s">
        <v>37</v>
      </c>
      <c r="C659" s="43" t="str">
        <f>hyperlink("https://au.indeed.com/viewjob?jk=f335eda8c68e54c0","Maintenance Engineer - Electrician")</f>
        <v>Maintenance Engineer - Electrician</v>
      </c>
      <c r="D659" s="42" t="s">
        <v>613</v>
      </c>
      <c r="E659" s="47">
        <v>44221.65561342592</v>
      </c>
    </row>
    <row r="660">
      <c r="A660" s="42"/>
      <c r="B660" s="42" t="s">
        <v>37</v>
      </c>
      <c r="C660" s="43" t="str">
        <f>hyperlink("https://au.indeed.com/viewjob?jk=70f4181ce2ebcc7a","Part Time Aircraft Maintenance Engineer - Level 2")</f>
        <v>Part Time Aircraft Maintenance Engineer - Level 2</v>
      </c>
      <c r="D660" s="42" t="s">
        <v>614</v>
      </c>
      <c r="E660" s="47">
        <v>44221.655706018515</v>
      </c>
    </row>
    <row r="661">
      <c r="A661" s="42"/>
      <c r="B661" s="42" t="s">
        <v>39</v>
      </c>
      <c r="C661" s="43" t="str">
        <f>hyperlink("https://au.indeed.com/viewjob?jk=06074f51d2c4efc4","Senior Mining Engineer / Alt. Underground Manager")</f>
        <v>Senior Mining Engineer / Alt. Underground Manager</v>
      </c>
      <c r="D661" s="42" t="s">
        <v>550</v>
      </c>
      <c r="E661" s="47">
        <v>44221.65586805555</v>
      </c>
    </row>
    <row r="662">
      <c r="A662" s="42"/>
      <c r="B662" s="42" t="s">
        <v>39</v>
      </c>
      <c r="C662" s="43" t="str">
        <f>hyperlink("https://au.indeed.com/viewjob?jk=122689cc5cfbd74d","Senior Mining Engineer – Weekly Scheduling")</f>
        <v>Senior Mining Engineer – Weekly Scheduling</v>
      </c>
      <c r="D662" s="42" t="s">
        <v>615</v>
      </c>
      <c r="E662" s="47">
        <v>44221.65597222222</v>
      </c>
    </row>
    <row r="663">
      <c r="A663" s="42"/>
      <c r="B663" s="42" t="s">
        <v>41</v>
      </c>
      <c r="C663" s="43" t="str">
        <f>hyperlink("https://au.indeed.com/viewjob?jk=1a5f565994205352","Treatment Process Engineer")</f>
        <v>Treatment Process Engineer</v>
      </c>
      <c r="D663" s="42" t="s">
        <v>616</v>
      </c>
      <c r="E663" s="47">
        <v>44221.656122685185</v>
      </c>
    </row>
    <row r="664">
      <c r="A664" s="42"/>
      <c r="B664" s="42" t="s">
        <v>41</v>
      </c>
      <c r="C664" s="43" t="str">
        <f>hyperlink("https://au.indeed.com/viewjob?jk=030b5c8cd2159624","Safety &amp; Process Engineer")</f>
        <v>Safety &amp; Process Engineer</v>
      </c>
      <c r="D664" s="42" t="s">
        <v>601</v>
      </c>
      <c r="E664" s="47">
        <v>44221.656226851854</v>
      </c>
    </row>
    <row r="665">
      <c r="A665" s="42"/>
      <c r="B665" s="42" t="s">
        <v>41</v>
      </c>
      <c r="C665" s="43" t="str">
        <f>hyperlink("https://au.indeed.com/viewjob?jk=24f7bd90b5c5a38b","Treatment Process Engineer")</f>
        <v>Treatment Process Engineer</v>
      </c>
      <c r="D665" s="42"/>
      <c r="E665" s="47">
        <v>44221.65635416667</v>
      </c>
    </row>
    <row r="666">
      <c r="A666" s="42"/>
      <c r="B666" s="42" t="s">
        <v>41</v>
      </c>
      <c r="C666" s="43" t="str">
        <f>hyperlink("https://au.indeed.com/viewjob?jk=9fb5d2677f3276a9","Senior Process Engineer")</f>
        <v>Senior Process Engineer</v>
      </c>
      <c r="D666" s="42" t="s">
        <v>617</v>
      </c>
      <c r="E666" s="47">
        <v>44221.656863425924</v>
      </c>
    </row>
    <row r="667">
      <c r="A667" s="42"/>
      <c r="B667" s="42" t="s">
        <v>45</v>
      </c>
      <c r="C667" s="43" t="str">
        <f>hyperlink("https://au.indeed.com/viewjob?jk=c6a21d949b5be657","Senior Project Engineer")</f>
        <v>Senior Project Engineer</v>
      </c>
      <c r="D667" s="42" t="s">
        <v>475</v>
      </c>
      <c r="E667" s="47">
        <v>44221.6575</v>
      </c>
    </row>
    <row r="668">
      <c r="A668" s="42"/>
      <c r="B668" s="42" t="s">
        <v>45</v>
      </c>
      <c r="C668" s="43" t="str">
        <f>hyperlink("https://au.indeed.com/viewjob?jk=e084c59e553bc901","Project Engineer - Utilites/Transmission/Electricity")</f>
        <v>Project Engineer - Utilites/Transmission/Electricity</v>
      </c>
      <c r="D668" s="42" t="s">
        <v>551</v>
      </c>
      <c r="E668" s="47">
        <v>44221.65760416666</v>
      </c>
    </row>
    <row r="669">
      <c r="A669" s="42"/>
      <c r="B669" s="42" t="s">
        <v>45</v>
      </c>
      <c r="C669" s="43" t="str">
        <f>hyperlink("https://au.indeed.com/viewjob?jk=7f7c3dd0d42d8e68","Project Engineer")</f>
        <v>Project Engineer</v>
      </c>
      <c r="D669" s="42" t="s">
        <v>618</v>
      </c>
      <c r="E669" s="47">
        <v>44221.658055555556</v>
      </c>
    </row>
    <row r="670">
      <c r="A670" s="42"/>
      <c r="B670" s="42" t="s">
        <v>45</v>
      </c>
      <c r="C670" s="43" t="str">
        <f>hyperlink("https://au.indeed.com/viewjob?jk=7b8db364f6ac584f","Project Engineer_Central Coast")</f>
        <v>Project Engineer_Central Coast</v>
      </c>
      <c r="D670" s="42" t="s">
        <v>619</v>
      </c>
      <c r="E670" s="47">
        <v>44221.658159722225</v>
      </c>
    </row>
    <row r="671">
      <c r="A671" s="42"/>
      <c r="B671" s="42" t="s">
        <v>45</v>
      </c>
      <c r="C671" s="43" t="str">
        <f>hyperlink("https://au.indeed.com/viewjob?jk=2cf67f6d490cfe5d","High Voltage Project Manager/Engineer")</f>
        <v>High Voltage Project Manager/Engineer</v>
      </c>
      <c r="D671" s="42" t="s">
        <v>620</v>
      </c>
      <c r="E671" s="47">
        <v>44221.65869212963</v>
      </c>
    </row>
    <row r="672">
      <c r="A672" s="42"/>
      <c r="B672" s="42" t="s">
        <v>45</v>
      </c>
      <c r="C672" s="43" t="str">
        <f>hyperlink("https://au.indeed.com/viewjob?jk=dd7bd1316a923ba9","Senior Project Engineer")</f>
        <v>Senior Project Engineer</v>
      </c>
      <c r="D672" s="42" t="s">
        <v>551</v>
      </c>
      <c r="E672" s="47">
        <v>44221.65920138889</v>
      </c>
    </row>
    <row r="673">
      <c r="A673" s="42"/>
      <c r="B673" s="42" t="s">
        <v>45</v>
      </c>
      <c r="C673" s="43" t="str">
        <f>hyperlink("https://au.indeed.com/viewjob?jk=fd39a2ac9ea54323","Project Engineer (NSW/VIC)")</f>
        <v>Project Engineer (NSW/VIC)</v>
      </c>
      <c r="D673" s="42" t="s">
        <v>621</v>
      </c>
      <c r="E673" s="47">
        <v>44221.65972222222</v>
      </c>
    </row>
    <row r="674">
      <c r="A674" s="42"/>
      <c r="B674" s="42" t="s">
        <v>45</v>
      </c>
      <c r="C674" s="43" t="str">
        <f>hyperlink("https://au.indeed.com/viewjob?jk=96fb06f4e2e7b60e","Project Engineer")</f>
        <v>Project Engineer</v>
      </c>
      <c r="D674" s="42" t="s">
        <v>622</v>
      </c>
      <c r="E674" s="47">
        <v>44221.659849537034</v>
      </c>
    </row>
    <row r="675">
      <c r="A675" s="42"/>
      <c r="B675" s="42" t="s">
        <v>45</v>
      </c>
      <c r="C675" s="43" t="str">
        <f>hyperlink("https://au.indeed.com/viewjob?jk=ff515a5d4f9b8f8c","Project Engineer")</f>
        <v>Project Engineer</v>
      </c>
      <c r="D675" s="42" t="s">
        <v>623</v>
      </c>
      <c r="E675" s="47">
        <v>44221.66127314815</v>
      </c>
    </row>
    <row r="676">
      <c r="A676" s="42"/>
      <c r="B676" s="42" t="s">
        <v>45</v>
      </c>
      <c r="C676" s="43" t="str">
        <f>hyperlink("https://au.indeed.com/viewjob?jk=0bc4376efb35cfd6","Project Engineer - Civil Engineering")</f>
        <v>Project Engineer - Civil Engineering</v>
      </c>
      <c r="D676" s="42" t="s">
        <v>624</v>
      </c>
      <c r="E676" s="47">
        <v>44221.66138888889</v>
      </c>
    </row>
    <row r="677">
      <c r="A677" s="42"/>
      <c r="B677" s="42" t="s">
        <v>45</v>
      </c>
      <c r="C677" s="43" t="str">
        <f>hyperlink("https://au.indeed.com/viewjob?jk=d7e1be228bf6fda8","Project Engineer")</f>
        <v>Project Engineer</v>
      </c>
      <c r="D677" s="42" t="s">
        <v>618</v>
      </c>
      <c r="E677" s="47">
        <v>44221.66148148148</v>
      </c>
    </row>
    <row r="678">
      <c r="A678" s="42"/>
      <c r="B678" s="42" t="s">
        <v>45</v>
      </c>
      <c r="C678" s="43" t="str">
        <f>hyperlink("https://au.indeed.com/viewjob?jk=2470573b0dec2372","Project Engineer - Track Installation")</f>
        <v>Project Engineer - Track Installation</v>
      </c>
      <c r="D678" s="42" t="s">
        <v>621</v>
      </c>
      <c r="E678" s="47">
        <v>44221.6616087963</v>
      </c>
    </row>
    <row r="679">
      <c r="A679" s="42"/>
      <c r="B679" s="42" t="s">
        <v>45</v>
      </c>
      <c r="C679" s="43" t="str">
        <f>hyperlink("https://au.indeed.com/viewjob?jk=9166c3a0b066e79b","Special Project Engineer")</f>
        <v>Special Project Engineer</v>
      </c>
      <c r="D679" s="42"/>
      <c r="E679" s="47">
        <v>44221.66216435185</v>
      </c>
    </row>
    <row r="680">
      <c r="A680" s="42"/>
      <c r="B680" s="42" t="s">
        <v>45</v>
      </c>
      <c r="C680" s="43" t="str">
        <f>hyperlink("https://au.indeed.com/viewjob?jk=b627c2fc239f9d52","Project Engineer")</f>
        <v>Project Engineer</v>
      </c>
      <c r="D680" s="42" t="s">
        <v>505</v>
      </c>
      <c r="E680" s="47">
        <v>44221.66226851852</v>
      </c>
    </row>
    <row r="681">
      <c r="A681" s="42"/>
      <c r="B681" s="42" t="s">
        <v>45</v>
      </c>
      <c r="C681" s="43" t="str">
        <f>hyperlink("https://au.indeed.com/viewjob?jk=4f4cd0488bfae97e","Senior Project Engineer - Pavements")</f>
        <v>Senior Project Engineer - Pavements</v>
      </c>
      <c r="D681" s="42" t="s">
        <v>501</v>
      </c>
      <c r="E681" s="47">
        <v>44221.66238425926</v>
      </c>
    </row>
    <row r="682">
      <c r="A682" s="42"/>
      <c r="B682" s="42" t="s">
        <v>45</v>
      </c>
      <c r="C682" s="43" t="str">
        <f>hyperlink("https://au.indeed.com/viewjob?jk=be19b140fe7836c9","Senior Project Engineer (SAED)")</f>
        <v>Senior Project Engineer (SAED)</v>
      </c>
      <c r="D682" s="42" t="s">
        <v>600</v>
      </c>
      <c r="E682" s="47">
        <v>44221.66384259259</v>
      </c>
    </row>
    <row r="683">
      <c r="A683" s="42"/>
      <c r="B683" s="42" t="s">
        <v>45</v>
      </c>
      <c r="C683" s="43" t="str">
        <f>hyperlink("https://au.indeed.com/viewjob?jk=3015b93dc932dc01","Electrical Project Engineer")</f>
        <v>Electrical Project Engineer</v>
      </c>
      <c r="D683" s="42" t="s">
        <v>492</v>
      </c>
      <c r="E683" s="47">
        <v>44221.665601851855</v>
      </c>
    </row>
    <row r="684">
      <c r="A684" s="42"/>
      <c r="B684" s="42" t="s">
        <v>45</v>
      </c>
      <c r="C684" s="43" t="str">
        <f>hyperlink("https://au.indeed.com/viewjob?jk=e27cd5482bfa81de","Special Project Engineer")</f>
        <v>Special Project Engineer</v>
      </c>
      <c r="D684" s="42" t="s">
        <v>552</v>
      </c>
      <c r="E684" s="47">
        <v>44221.666967592595</v>
      </c>
    </row>
    <row r="685">
      <c r="A685" s="42"/>
      <c r="B685" s="42" t="s">
        <v>45</v>
      </c>
      <c r="C685" s="43" t="str">
        <f>hyperlink("https://au.indeed.com/viewjob?jk=55179ddb4528b987","Project Engineer - Utilites/Transmission/Electricity")</f>
        <v>Project Engineer - Utilites/Transmission/Electricity</v>
      </c>
      <c r="D685" s="42" t="s">
        <v>551</v>
      </c>
      <c r="E685" s="47">
        <v>44221.669270833336</v>
      </c>
    </row>
    <row r="686">
      <c r="A686" s="42"/>
      <c r="B686" s="42" t="s">
        <v>45</v>
      </c>
      <c r="C686" s="43" t="str">
        <f>hyperlink("https://au.indeed.com/viewjob?jk=e30ffe4ef233d1da","Project Engineer")</f>
        <v>Project Engineer</v>
      </c>
      <c r="D686" s="42" t="s">
        <v>625</v>
      </c>
      <c r="E686" s="47">
        <v>44221.66939814815</v>
      </c>
    </row>
    <row r="687">
      <c r="A687" s="42"/>
      <c r="B687" s="42" t="s">
        <v>45</v>
      </c>
      <c r="C687" s="43" t="str">
        <f>hyperlink("https://au.indeed.com/viewjob?jk=01b557a358b03dac","BMS Project Engineer")</f>
        <v>BMS Project Engineer</v>
      </c>
      <c r="D687" s="42" t="s">
        <v>507</v>
      </c>
      <c r="E687" s="47">
        <v>44221.671643518515</v>
      </c>
    </row>
    <row r="688">
      <c r="A688" s="42"/>
      <c r="B688" s="42" t="s">
        <v>45</v>
      </c>
      <c r="C688" s="43" t="str">
        <f>hyperlink("https://au.indeed.com/viewjob?jk=520b856c7ad2cc0f","EOI - Site Engineers (Linewide Project)")</f>
        <v>EOI - Site Engineers (Linewide Project)</v>
      </c>
      <c r="D688" s="42" t="s">
        <v>621</v>
      </c>
      <c r="E688" s="47">
        <v>44221.671747685185</v>
      </c>
    </row>
    <row r="689">
      <c r="A689" s="42"/>
      <c r="B689" s="42" t="s">
        <v>45</v>
      </c>
      <c r="C689" s="43" t="str">
        <f>hyperlink("https://au.indeed.com/viewjob?jk=d5b4e559b15d9213","Project Engineer")</f>
        <v>Project Engineer</v>
      </c>
      <c r="D689" s="42" t="s">
        <v>405</v>
      </c>
      <c r="E689" s="47">
        <v>44221.67313657407</v>
      </c>
    </row>
    <row r="690">
      <c r="A690" s="42"/>
      <c r="B690" s="42" t="s">
        <v>45</v>
      </c>
      <c r="C690" s="43" t="str">
        <f>hyperlink("https://au.indeed.com/viewjob?jk=11004bd34284abb1","Senior Project Engineer")</f>
        <v>Senior Project Engineer</v>
      </c>
      <c r="D690" s="42" t="s">
        <v>551</v>
      </c>
      <c r="E690" s="47">
        <v>44221.67365740741</v>
      </c>
    </row>
    <row r="691">
      <c r="A691" s="42"/>
      <c r="B691" s="42" t="s">
        <v>45</v>
      </c>
      <c r="C691" s="43" t="str">
        <f>hyperlink("https://au.indeed.com/viewjob?jk=05ef30f19235075b","EOI - Project Engineers (Linewide Project)")</f>
        <v>EOI - Project Engineers (Linewide Project)</v>
      </c>
      <c r="D691" s="42" t="s">
        <v>621</v>
      </c>
      <c r="E691" s="47">
        <v>44221.674212962964</v>
      </c>
    </row>
    <row r="692">
      <c r="A692" s="42"/>
      <c r="B692" s="42" t="s">
        <v>45</v>
      </c>
      <c r="C692" s="43" t="str">
        <f>hyperlink("https://au.indeed.com/viewjob?jk=2ab0ace66ab9ef77","Project Engineer")</f>
        <v>Project Engineer</v>
      </c>
      <c r="D692" s="42" t="s">
        <v>516</v>
      </c>
      <c r="E692" s="47">
        <v>44221.67431712963</v>
      </c>
    </row>
    <row r="693">
      <c r="A693" s="42"/>
      <c r="B693" s="42" t="s">
        <v>45</v>
      </c>
      <c r="C693" s="43" t="str">
        <f>hyperlink("https://au.indeed.com/viewjob?jk=fb84e05d3a5ad182","EOI - Site Engineers (Linewide Project)")</f>
        <v>EOI - Site Engineers (Linewide Project)</v>
      </c>
      <c r="D693" s="42" t="s">
        <v>591</v>
      </c>
      <c r="E693" s="47">
        <v>44221.674849537034</v>
      </c>
    </row>
    <row r="694">
      <c r="A694" s="42"/>
      <c r="B694" s="42" t="s">
        <v>45</v>
      </c>
      <c r="C694" s="43" t="str">
        <f>hyperlink("https://au.indeed.com/viewjob?jk=b3f36fb0a7ca78c6","Project Engineer")</f>
        <v>Project Engineer</v>
      </c>
      <c r="D694" s="42" t="s">
        <v>550</v>
      </c>
      <c r="E694" s="47">
        <v>44221.675405092596</v>
      </c>
    </row>
    <row r="695">
      <c r="A695" s="42"/>
      <c r="B695" s="42" t="s">
        <v>45</v>
      </c>
      <c r="C695" s="43" t="str">
        <f>hyperlink("https://au.indeed.com/viewjob?jk=33905cf7d3f24add","Senior Project Engineer - Civil")</f>
        <v>Senior Project Engineer - Civil</v>
      </c>
      <c r="D695" s="42" t="s">
        <v>516</v>
      </c>
      <c r="E695" s="47">
        <v>44221.675520833334</v>
      </c>
    </row>
    <row r="696">
      <c r="A696" s="42"/>
      <c r="B696" s="42" t="s">
        <v>46</v>
      </c>
      <c r="C696" s="43" t="str">
        <f>hyperlink("https://au.indeed.com/viewjob?jk=dc3d840350f2838d","Site Capital Projects - Mechanical Specialist")</f>
        <v>Site Capital Projects - Mechanical Specialist</v>
      </c>
      <c r="D696" s="42" t="s">
        <v>615</v>
      </c>
      <c r="E696" s="47">
        <v>44221.67607638889</v>
      </c>
    </row>
    <row r="697">
      <c r="A697" s="42"/>
      <c r="B697" s="42" t="s">
        <v>46</v>
      </c>
      <c r="C697" s="43" t="str">
        <f>hyperlink("https://au.indeed.com/viewjob?jk=5df8825d98597081","Mechanical HVAC Project Manager")</f>
        <v>Mechanical HVAC Project Manager</v>
      </c>
      <c r="D697" s="42" t="s">
        <v>492</v>
      </c>
      <c r="E697" s="47">
        <v>44221.67659722222</v>
      </c>
    </row>
    <row r="698">
      <c r="A698" s="42"/>
      <c r="B698" s="42" t="s">
        <v>49</v>
      </c>
      <c r="C698" s="43" t="str">
        <f>hyperlink("https://au.indeed.com/viewjob?jk=81f6d276221a2ee4","Software Engineer, Site Reliability Engineering (Part-time)")</f>
        <v>Software Engineer, Site Reliability Engineering (Part-time)</v>
      </c>
      <c r="D698" s="42" t="s">
        <v>579</v>
      </c>
      <c r="E698" s="47">
        <v>44221.67804398148</v>
      </c>
    </row>
    <row r="699">
      <c r="A699" s="42"/>
      <c r="B699" s="42" t="s">
        <v>49</v>
      </c>
      <c r="C699" s="43" t="str">
        <f>hyperlink("https://au.indeed.com/viewjob?jk=67d2871ae054418b","Software Reliability Engineer")</f>
        <v>Software Reliability Engineer</v>
      </c>
      <c r="D699" s="42" t="s">
        <v>626</v>
      </c>
      <c r="E699" s="47">
        <v>44221.67815972222</v>
      </c>
    </row>
    <row r="700">
      <c r="A700" s="42"/>
      <c r="B700" s="42" t="s">
        <v>49</v>
      </c>
      <c r="C700" s="43" t="str">
        <f>hyperlink("https://au.indeed.com/viewjob?jk=2111618ff9a67a09","Site Reliability Engineer | FinTech | Sydney")</f>
        <v>Site Reliability Engineer | FinTech | Sydney</v>
      </c>
      <c r="D700" s="42" t="s">
        <v>531</v>
      </c>
      <c r="E700" s="47">
        <v>44221.67873842592</v>
      </c>
    </row>
    <row r="701">
      <c r="A701" s="42"/>
      <c r="B701" s="42" t="s">
        <v>49</v>
      </c>
      <c r="C701" s="43" t="str">
        <f>hyperlink("https://au.indeed.com/viewjob?jk=e4a962ccbf86527f","Systems Engineer, Site Reliability Engineering")</f>
        <v>Systems Engineer, Site Reliability Engineering</v>
      </c>
      <c r="D701" s="42" t="s">
        <v>579</v>
      </c>
      <c r="E701" s="47">
        <v>44221.67884259259</v>
      </c>
    </row>
    <row r="702">
      <c r="A702" s="42"/>
      <c r="B702" s="42" t="s">
        <v>49</v>
      </c>
      <c r="C702" s="43" t="str">
        <f>hyperlink("https://au.indeed.com/viewjob?jk=f0d4b4bf959a8b60","Senior Site Reliability Engineer")</f>
        <v>Senior Site Reliability Engineer</v>
      </c>
      <c r="D702" s="42" t="s">
        <v>627</v>
      </c>
      <c r="E702" s="47">
        <v>44221.68011574074</v>
      </c>
    </row>
    <row r="703">
      <c r="A703" s="42"/>
      <c r="B703" s="42" t="s">
        <v>49</v>
      </c>
      <c r="C703" s="43" t="str">
        <f>hyperlink("https://au.indeed.com/viewjob?jk=b4a7eae0dd36762e","Electrical Reliability Engineer")</f>
        <v>Electrical Reliability Engineer</v>
      </c>
      <c r="D703" s="42" t="s">
        <v>622</v>
      </c>
      <c r="E703" s="47">
        <v>44221.68064814815</v>
      </c>
    </row>
    <row r="704">
      <c r="A704" s="42"/>
      <c r="B704" s="42" t="s">
        <v>49</v>
      </c>
      <c r="C704" s="43" t="str">
        <f>hyperlink("https://au.indeed.com/viewjob?jk=c2f3478b53e62c7b","Site Reliability Engineer - APAC")</f>
        <v>Site Reliability Engineer - APAC</v>
      </c>
      <c r="D704" s="42" t="s">
        <v>628</v>
      </c>
      <c r="E704" s="47">
        <v>44221.68078703704</v>
      </c>
    </row>
    <row r="705">
      <c r="A705" s="42"/>
      <c r="B705" s="42" t="s">
        <v>49</v>
      </c>
      <c r="C705" s="43" t="str">
        <f>hyperlink("https://au.indeed.com/viewjob?jk=286e3b90d756d808","Software Engineer, Site Reliability Engineering")</f>
        <v>Software Engineer, Site Reliability Engineering</v>
      </c>
      <c r="D705" s="42" t="s">
        <v>579</v>
      </c>
      <c r="E705" s="47">
        <v>44221.6808912037</v>
      </c>
    </row>
    <row r="706">
      <c r="A706" s="42"/>
      <c r="B706" s="42" t="s">
        <v>49</v>
      </c>
      <c r="C706" s="43" t="str">
        <f>hyperlink("https://au.indeed.com/viewjob?jk=da8c81bf0f7473d2","Site Reliability Engineer")</f>
        <v>Site Reliability Engineer</v>
      </c>
      <c r="D706" s="42" t="s">
        <v>523</v>
      </c>
      <c r="E706" s="47">
        <v>44221.68099537037</v>
      </c>
    </row>
    <row r="707">
      <c r="A707" s="42"/>
      <c r="B707" s="42" t="s">
        <v>49</v>
      </c>
      <c r="C707" s="43" t="str">
        <f>hyperlink("https://au.indeed.com/viewjob?jk=cd6b66385dff6ddf","Site Reliability Engineer (Network Operations)")</f>
        <v>Site Reliability Engineer (Network Operations)</v>
      </c>
      <c r="D707" s="42" t="s">
        <v>627</v>
      </c>
      <c r="E707" s="47">
        <v>44221.68170138889</v>
      </c>
    </row>
    <row r="708">
      <c r="A708" s="42"/>
      <c r="B708" s="42" t="s">
        <v>49</v>
      </c>
      <c r="C708" s="43" t="str">
        <f>hyperlink("https://au.indeed.com/viewjob?jk=d3c5465930c4e24f","Senior Site Reliability Engineer (Fully Remote)")</f>
        <v>Senior Site Reliability Engineer (Fully Remote)</v>
      </c>
      <c r="D708" s="42" t="s">
        <v>477</v>
      </c>
      <c r="E708" s="47">
        <v>44221.681805555556</v>
      </c>
    </row>
    <row r="709">
      <c r="A709" s="42"/>
      <c r="B709" s="42" t="s">
        <v>49</v>
      </c>
      <c r="C709" s="43" t="str">
        <f>hyperlink("https://au.indeed.com/viewjob?jk=1bb36f783e18aa1c","Systems Reliability Engineer")</f>
        <v>Systems Reliability Engineer</v>
      </c>
      <c r="D709" s="42" t="s">
        <v>509</v>
      </c>
      <c r="E709" s="47">
        <v>44221.68193287037</v>
      </c>
    </row>
    <row r="710">
      <c r="A710" s="42"/>
      <c r="B710" s="42" t="s">
        <v>49</v>
      </c>
      <c r="C710" s="43" t="str">
        <f>hyperlink("https://au.indeed.com/viewjob?jk=9c995dde66854f50","Site Reliability Engineer")</f>
        <v>Site Reliability Engineer</v>
      </c>
      <c r="D710" s="42" t="s">
        <v>627</v>
      </c>
      <c r="E710" s="47">
        <v>44221.6825</v>
      </c>
    </row>
    <row r="711">
      <c r="A711" s="42"/>
      <c r="B711" s="42" t="s">
        <v>49</v>
      </c>
      <c r="C711" s="43" t="str">
        <f>hyperlink("https://au.indeed.com/viewjob?jk=fa593eecc4c7ee2c","Site Reliability Engineer - (Remote)")</f>
        <v>Site Reliability Engineer - (Remote)</v>
      </c>
      <c r="D711" s="42" t="s">
        <v>477</v>
      </c>
      <c r="E711" s="47">
        <v>44221.682604166665</v>
      </c>
    </row>
    <row r="712">
      <c r="A712" s="42"/>
      <c r="B712" s="42" t="s">
        <v>49</v>
      </c>
      <c r="C712" s="43" t="str">
        <f>hyperlink("https://au.indeed.com/viewjob?jk=2c0f3f27250bfd24","Reliability Engineers")</f>
        <v>Reliability Engineers</v>
      </c>
      <c r="D712" s="42" t="s">
        <v>622</v>
      </c>
      <c r="E712" s="47">
        <v>44221.68314814815</v>
      </c>
    </row>
    <row r="713">
      <c r="A713" s="42"/>
      <c r="B713" s="42" t="s">
        <v>49</v>
      </c>
      <c r="C713" s="43" t="str">
        <f>hyperlink("https://au.indeed.com/viewjob?jk=d0628d0afb576539","Senior Site Reliability Engineer - Federal")</f>
        <v>Senior Site Reliability Engineer - Federal</v>
      </c>
      <c r="D713" s="42" t="s">
        <v>525</v>
      </c>
      <c r="E713" s="47">
        <v>44221.68325231481</v>
      </c>
    </row>
    <row r="714">
      <c r="A714" s="42"/>
      <c r="B714" s="42" t="s">
        <v>49</v>
      </c>
      <c r="C714" s="43" t="str">
        <f>hyperlink("https://au.indeed.com/viewjob?jk=cd247d8486596dc1","Site Reliability Engineer")</f>
        <v>Site Reliability Engineer</v>
      </c>
      <c r="D714" s="42" t="s">
        <v>512</v>
      </c>
      <c r="E714" s="47">
        <v>44221.68335648148</v>
      </c>
    </row>
    <row r="715">
      <c r="A715" s="42"/>
      <c r="B715" s="42" t="s">
        <v>49</v>
      </c>
      <c r="C715" s="43" t="str">
        <f>hyperlink("https://au.indeed.com/viewjob?jk=17ba8273a1696c7e","Site Reliability Engineer")</f>
        <v>Site Reliability Engineer</v>
      </c>
      <c r="D715" s="42" t="s">
        <v>629</v>
      </c>
      <c r="E715" s="47">
        <v>44221.68381944444</v>
      </c>
    </row>
    <row r="716">
      <c r="A716" s="42"/>
      <c r="B716" s="42" t="s">
        <v>49</v>
      </c>
      <c r="C716" s="43" t="str">
        <f>hyperlink("https://au.indeed.com/viewjob?jk=7c01f4186de4a346","Senior Reliability Engineer")</f>
        <v>Senior Reliability Engineer</v>
      </c>
      <c r="D716" s="42" t="s">
        <v>630</v>
      </c>
      <c r="E716" s="47">
        <v>44221.68394675926</v>
      </c>
    </row>
    <row r="717">
      <c r="A717" s="42"/>
      <c r="B717" s="42" t="s">
        <v>50</v>
      </c>
      <c r="C717" s="43" t="str">
        <f>hyperlink("https://au.indeed.com/viewjob?jk=845bced8943b47ce","Field Service Engineer")</f>
        <v>Field Service Engineer</v>
      </c>
      <c r="D717" s="42" t="s">
        <v>631</v>
      </c>
      <c r="E717" s="47">
        <v>44221.68491898148</v>
      </c>
    </row>
    <row r="718">
      <c r="A718" s="42"/>
      <c r="B718" s="42" t="s">
        <v>50</v>
      </c>
      <c r="C718" s="43" t="str">
        <f>hyperlink("https://au.indeed.com/viewjob?jk=672cea43a6812c00","Senior Network Engineer, Amazon Web Services - Sydney, Australia")</f>
        <v>Senior Network Engineer, Amazon Web Services - Sydney, Australia</v>
      </c>
      <c r="D718" s="42" t="s">
        <v>462</v>
      </c>
      <c r="E718" s="47">
        <v>44221.68502314815</v>
      </c>
    </row>
    <row r="719">
      <c r="A719" s="42"/>
      <c r="B719" s="42" t="s">
        <v>50</v>
      </c>
      <c r="C719" s="43" t="str">
        <f>hyperlink("https://au.indeed.com/viewjob?jk=de79ccacebd4a2ce","Field Service Engineer")</f>
        <v>Field Service Engineer</v>
      </c>
      <c r="D719" s="42" t="s">
        <v>632</v>
      </c>
      <c r="E719" s="47">
        <v>44221.685532407406</v>
      </c>
    </row>
    <row r="720">
      <c r="A720" s="42"/>
      <c r="B720" s="42" t="s">
        <v>50</v>
      </c>
      <c r="C720" s="43" t="str">
        <f>hyperlink("https://au.indeed.com/viewjob?jk=e4ad828ef80f3197","Sr. Full Stack Engineer/Tech Lead - Cloud Services")</f>
        <v>Sr. Full Stack Engineer/Tech Lead - Cloud Services</v>
      </c>
      <c r="D720" s="42" t="s">
        <v>633</v>
      </c>
      <c r="E720" s="47">
        <v>44221.68604166667</v>
      </c>
    </row>
    <row r="721">
      <c r="A721" s="42"/>
      <c r="B721" s="42" t="s">
        <v>50</v>
      </c>
      <c r="C721" s="43" t="str">
        <f>hyperlink("https://au.indeed.com/viewjob?jk=10bdca945466a875","Field Service Engineer")</f>
        <v>Field Service Engineer</v>
      </c>
      <c r="D721" s="42" t="s">
        <v>634</v>
      </c>
      <c r="E721" s="47">
        <v>44221.68614583334</v>
      </c>
    </row>
    <row r="722">
      <c r="A722" s="42"/>
      <c r="B722" s="42" t="s">
        <v>50</v>
      </c>
      <c r="C722" s="43" t="str">
        <f>hyperlink("https://au.indeed.com/viewjob?jk=69b0bae89f138b1e","Strategic Cloud Engineer, Cloud Professional Services")</f>
        <v>Strategic Cloud Engineer, Cloud Professional Services</v>
      </c>
      <c r="D722" s="42" t="s">
        <v>579</v>
      </c>
      <c r="E722" s="47">
        <v>44221.686273148145</v>
      </c>
    </row>
    <row r="723">
      <c r="A723" s="42"/>
      <c r="B723" s="42" t="s">
        <v>50</v>
      </c>
      <c r="C723" s="43" t="str">
        <f>hyperlink("https://au.indeed.com/viewjob?jk=e40d5192b810b64b","Field Service Engineer - Advanced")</f>
        <v>Field Service Engineer - Advanced</v>
      </c>
      <c r="D723" s="42" t="s">
        <v>635</v>
      </c>
      <c r="E723" s="47">
        <v>44221.686377314814</v>
      </c>
    </row>
    <row r="724">
      <c r="A724" s="42"/>
      <c r="B724" s="42" t="s">
        <v>50</v>
      </c>
      <c r="C724" s="43" t="str">
        <f>hyperlink("https://au.indeed.com/viewjob?jk=fe6b090a73df93fb","Engineer - Fire Protection Services")</f>
        <v>Engineer - Fire Protection Services</v>
      </c>
      <c r="D724" s="42" t="s">
        <v>636</v>
      </c>
      <c r="E724" s="47">
        <v>44221.6869212963</v>
      </c>
    </row>
    <row r="725">
      <c r="A725" s="42"/>
      <c r="B725" s="42" t="s">
        <v>50</v>
      </c>
      <c r="C725" s="43" t="str">
        <f>hyperlink("https://au.indeed.com/viewjob?jk=81bd504a51c2dba0","SERVICE DESK ENGINEER")</f>
        <v>SERVICE DESK ENGINEER</v>
      </c>
      <c r="D725" s="42" t="s">
        <v>637</v>
      </c>
      <c r="E725" s="47">
        <v>44221.68702546296</v>
      </c>
    </row>
    <row r="726">
      <c r="A726" s="42"/>
      <c r="B726" s="42" t="s">
        <v>50</v>
      </c>
      <c r="C726" s="43" t="str">
        <f>hyperlink("https://au.indeed.com/viewjob?jk=8ada28eaad99f0ed","Field Service Engineer")</f>
        <v>Field Service Engineer</v>
      </c>
      <c r="D726" s="42" t="s">
        <v>638</v>
      </c>
      <c r="E726" s="47">
        <v>44221.687939814816</v>
      </c>
    </row>
    <row r="727">
      <c r="A727" s="42"/>
      <c r="B727" s="42" t="s">
        <v>50</v>
      </c>
      <c r="C727" s="43" t="str">
        <f>hyperlink("https://au.indeed.com/viewjob?jk=f55d66de7229db07","Technical Services Systems Engineer - Broadcast")</f>
        <v>Technical Services Systems Engineer - Broadcast</v>
      </c>
      <c r="D727" s="42" t="s">
        <v>639</v>
      </c>
      <c r="E727" s="47">
        <v>44221.68848379629</v>
      </c>
    </row>
    <row r="728">
      <c r="A728" s="42"/>
      <c r="B728" s="42" t="s">
        <v>50</v>
      </c>
      <c r="C728" s="43" t="str">
        <f>hyperlink("https://au.indeed.com/viewjob?jk=93cd06d84594b408","Technical Service Engineer")</f>
        <v>Technical Service Engineer</v>
      </c>
      <c r="D728" s="42" t="s">
        <v>640</v>
      </c>
      <c r="E728" s="47">
        <v>44221.68858796296</v>
      </c>
    </row>
    <row r="729">
      <c r="A729" s="42"/>
      <c r="B729" s="42" t="s">
        <v>50</v>
      </c>
      <c r="C729" s="43" t="str">
        <f>hyperlink("https://au.indeed.com/viewjob?jk=5cbe75491b208770","Security Engineer - Global Services")</f>
        <v>Security Engineer - Global Services</v>
      </c>
      <c r="D729" s="42" t="s">
        <v>641</v>
      </c>
      <c r="E729" s="47">
        <v>44221.68869212963</v>
      </c>
    </row>
    <row r="730">
      <c r="A730" s="42"/>
      <c r="B730" s="42" t="s">
        <v>50</v>
      </c>
      <c r="C730" s="43" t="str">
        <f>hyperlink("https://au.indeed.com/viewjob?jk=3ad61c8307c6fb9d","Field Service Engineer")</f>
        <v>Field Service Engineer</v>
      </c>
      <c r="D730" s="42" t="s">
        <v>642</v>
      </c>
      <c r="E730" s="47">
        <v>44221.689618055556</v>
      </c>
    </row>
    <row r="731">
      <c r="A731" s="42"/>
      <c r="B731" s="42" t="s">
        <v>50</v>
      </c>
      <c r="C731" s="43" t="str">
        <f>hyperlink("https://au.indeed.com/viewjob?jk=9363f023ac3a6eff","Customer Service Engineer- LD")</f>
        <v>Customer Service Engineer- LD</v>
      </c>
      <c r="D731" s="42" t="s">
        <v>643</v>
      </c>
      <c r="E731" s="47">
        <v>44221.68974537037</v>
      </c>
    </row>
    <row r="732">
      <c r="A732" s="42"/>
      <c r="B732" s="42" t="s">
        <v>50</v>
      </c>
      <c r="C732" s="43" t="str">
        <f>hyperlink("https://au.indeed.com/viewjob?jk=2d4572dae30415f5","Global Government Service Desk Engineer")</f>
        <v>Global Government Service Desk Engineer</v>
      </c>
      <c r="D732" s="42" t="s">
        <v>644</v>
      </c>
      <c r="E732" s="47">
        <v>44221.69019675926</v>
      </c>
    </row>
    <row r="733">
      <c r="A733" s="42"/>
      <c r="B733" s="42" t="s">
        <v>50</v>
      </c>
      <c r="C733" s="43" t="str">
        <f>hyperlink("https://au.indeed.com/viewjob?jk=257671abc5b3ea61","Sr. Engineer, Data Services (Remote, AUS)")</f>
        <v>Sr. Engineer, Data Services (Remote, AUS)</v>
      </c>
      <c r="D733" s="42" t="s">
        <v>480</v>
      </c>
      <c r="E733" s="47">
        <v>44221.69033564815</v>
      </c>
    </row>
    <row r="734">
      <c r="A734" s="42"/>
      <c r="B734" s="42" t="s">
        <v>50</v>
      </c>
      <c r="C734" s="43" t="str">
        <f>hyperlink("https://au.indeed.com/viewjob?jk=69a86505a8d662cf","Customer Solutions Engineer, gTech Professional Services")</f>
        <v>Customer Solutions Engineer, gTech Professional Services</v>
      </c>
      <c r="D734" s="42" t="s">
        <v>579</v>
      </c>
      <c r="E734" s="47">
        <v>44221.69043981482</v>
      </c>
    </row>
    <row r="735">
      <c r="A735" s="42"/>
      <c r="B735" s="42" t="s">
        <v>50</v>
      </c>
      <c r="C735" s="43" t="str">
        <f>hyperlink("https://au.indeed.com/viewjob?jk=ea408eb94c6333ae","Service and Support Engineer")</f>
        <v>Service and Support Engineer</v>
      </c>
      <c r="D735" s="42" t="s">
        <v>645</v>
      </c>
      <c r="E735" s="47">
        <v>44221.69054398148</v>
      </c>
    </row>
    <row r="736">
      <c r="A736" s="42"/>
      <c r="B736" s="42" t="s">
        <v>50</v>
      </c>
      <c r="C736" s="43" t="str">
        <f>hyperlink("https://au.indeed.com/viewjob?jk=999e279cf81c1ac8","Senior Service Engineer")</f>
        <v>Senior Service Engineer</v>
      </c>
      <c r="D736" s="42" t="s">
        <v>646</v>
      </c>
      <c r="E736" s="47">
        <v>44221.69106481481</v>
      </c>
    </row>
    <row r="737">
      <c r="A737" s="42"/>
      <c r="B737" s="42" t="s">
        <v>50</v>
      </c>
      <c r="C737" s="43" t="str">
        <f>hyperlink("https://au.indeed.com/viewjob?jk=345bab6443e9af59","Global Government Service Desk Engineer")</f>
        <v>Global Government Service Desk Engineer</v>
      </c>
      <c r="D737" s="42" t="s">
        <v>644</v>
      </c>
      <c r="E737" s="47">
        <v>44221.691203703704</v>
      </c>
    </row>
    <row r="738">
      <c r="A738" s="42"/>
      <c r="B738" s="42" t="s">
        <v>50</v>
      </c>
      <c r="C738" s="43" t="str">
        <f>hyperlink("https://au.indeed.com/viewjob?jk=fc3fa5e7535ae148","Field Service Engineer")</f>
        <v>Field Service Engineer</v>
      </c>
      <c r="D738" s="42" t="s">
        <v>638</v>
      </c>
      <c r="E738" s="47">
        <v>44221.69130787037</v>
      </c>
    </row>
    <row r="739">
      <c r="A739" s="42"/>
      <c r="B739" s="42" t="s">
        <v>50</v>
      </c>
      <c r="C739" s="43" t="str">
        <f>hyperlink("https://au.indeed.com/viewjob?jk=e81e453271b311b4","Field Service Engineer - Advanced")</f>
        <v>Field Service Engineer - Advanced</v>
      </c>
      <c r="D739" s="42" t="s">
        <v>635</v>
      </c>
      <c r="E739" s="47">
        <v>44221.691412037035</v>
      </c>
    </row>
    <row r="740">
      <c r="A740" s="42"/>
      <c r="B740" s="42" t="s">
        <v>50</v>
      </c>
      <c r="C740" s="43" t="str">
        <f>hyperlink("https://au.indeed.com/viewjob?jk=ad73945578a0c2b0","Field Service Engineer")</f>
        <v>Field Service Engineer</v>
      </c>
      <c r="D740" s="42" t="s">
        <v>647</v>
      </c>
      <c r="E740" s="47">
        <v>44221.69152777778</v>
      </c>
    </row>
    <row r="741">
      <c r="A741" s="42"/>
      <c r="B741" s="42" t="s">
        <v>50</v>
      </c>
      <c r="C741" s="43" t="str">
        <f>hyperlink("https://au.indeed.com/viewjob?jk=10c51d08d1d9ce47","Continual Service Improvement (CSI) Engineer")</f>
        <v>Continual Service Improvement (CSI) Engineer</v>
      </c>
      <c r="D741" s="42" t="s">
        <v>648</v>
      </c>
      <c r="E741" s="47">
        <v>44221.69162037037</v>
      </c>
    </row>
    <row r="742">
      <c r="A742" s="42"/>
      <c r="B742" s="42" t="s">
        <v>50</v>
      </c>
      <c r="C742" s="43" t="str">
        <f>hyperlink("https://au.indeed.com/viewjob?jk=803cfb8413b941ee","Field Service Engineer, Electron Microscopy")</f>
        <v>Field Service Engineer, Electron Microscopy</v>
      </c>
      <c r="D742" s="42" t="s">
        <v>649</v>
      </c>
      <c r="E742" s="47">
        <v>44221.691724537035</v>
      </c>
    </row>
    <row r="743">
      <c r="A743" s="42"/>
      <c r="B743" s="42" t="s">
        <v>50</v>
      </c>
      <c r="C743" s="43" t="str">
        <f>hyperlink("https://au.indeed.com/viewjob?jk=ad9f7dbee13fb503","Security Engineer - Global Services")</f>
        <v>Security Engineer - Global Services</v>
      </c>
      <c r="D743" s="42" t="s">
        <v>650</v>
      </c>
      <c r="E743" s="47">
        <v>44221.691828703704</v>
      </c>
    </row>
    <row r="744">
      <c r="A744" s="42"/>
      <c r="B744" s="42" t="s">
        <v>50</v>
      </c>
      <c r="C744" s="43" t="str">
        <f>hyperlink("https://au.indeed.com/viewjob?jk=20a40c40320d1808","Senior Staff DevOps Engineer - Cloud Services")</f>
        <v>Senior Staff DevOps Engineer - Cloud Services</v>
      </c>
      <c r="D744" s="42" t="s">
        <v>633</v>
      </c>
      <c r="E744" s="47">
        <v>44221.69194444444</v>
      </c>
    </row>
    <row r="745">
      <c r="A745" s="42"/>
      <c r="B745" s="42" t="s">
        <v>50</v>
      </c>
      <c r="C745" s="43" t="str">
        <f>hyperlink("https://au.indeed.com/viewjob?jk=12fef0bd76775e88","Service Support Engineer")</f>
        <v>Service Support Engineer</v>
      </c>
      <c r="D745" s="42" t="s">
        <v>651</v>
      </c>
      <c r="E745" s="47">
        <v>44221.69207175926</v>
      </c>
    </row>
    <row r="746">
      <c r="A746" s="42"/>
      <c r="B746" s="42" t="s">
        <v>50</v>
      </c>
      <c r="C746" s="43" t="str">
        <f>hyperlink("https://au.indeed.com/viewjob?jk=7aeedb17603ca2a1","Low Latency Network Engineer - Financial Services")</f>
        <v>Low Latency Network Engineer - Financial Services</v>
      </c>
      <c r="D746" s="42" t="s">
        <v>652</v>
      </c>
      <c r="E746" s="47">
        <v>44221.69335648148</v>
      </c>
    </row>
    <row r="747">
      <c r="A747" s="42"/>
      <c r="B747" s="42" t="s">
        <v>50</v>
      </c>
      <c r="C747" s="43" t="str">
        <f>hyperlink("https://au.indeed.com/viewjob?jk=876ec4175122d5fa","Senior Service Desk/Systems Engineer")</f>
        <v>Senior Service Desk/Systems Engineer</v>
      </c>
      <c r="D747" s="42" t="s">
        <v>653</v>
      </c>
      <c r="E747" s="47">
        <v>44221.69386574074</v>
      </c>
    </row>
    <row r="748">
      <c r="A748" s="42"/>
      <c r="B748" s="42" t="s">
        <v>50</v>
      </c>
      <c r="C748" s="43" t="str">
        <f>hyperlink("https://au.indeed.com/viewjob?jk=4f5e5f564b873271","Lead Solution Engineer | Service Cloud")</f>
        <v>Lead Solution Engineer | Service Cloud</v>
      </c>
      <c r="D748" s="42" t="s">
        <v>654</v>
      </c>
      <c r="E748" s="47">
        <v>44221.69521990741</v>
      </c>
    </row>
    <row r="749">
      <c r="A749" s="42"/>
      <c r="B749" s="42" t="s">
        <v>50</v>
      </c>
      <c r="C749" s="43" t="str">
        <f>hyperlink("https://au.indeed.com/viewjob?jk=70eded20c2380d61","Level 2-3 Service Desk/Systems Engineer")</f>
        <v>Level 2-3 Service Desk/Systems Engineer</v>
      </c>
      <c r="D749" s="42" t="s">
        <v>653</v>
      </c>
      <c r="E749" s="47">
        <v>44221.695335648146</v>
      </c>
    </row>
    <row r="750">
      <c r="A750" s="42"/>
      <c r="B750" s="42" t="s">
        <v>50</v>
      </c>
      <c r="C750" s="43" t="str">
        <f>hyperlink("https://au.indeed.com/viewjob?jk=d6d8d7ef9814e4d5","Media Services Technical Support Engineer")</f>
        <v>Media Services Technical Support Engineer</v>
      </c>
      <c r="D750" s="42" t="s">
        <v>655</v>
      </c>
      <c r="E750" s="47">
        <v>44221.69627314815</v>
      </c>
    </row>
    <row r="751">
      <c r="A751" s="42"/>
      <c r="B751" s="42" t="s">
        <v>50</v>
      </c>
      <c r="C751" s="43" t="str">
        <f>hyperlink("https://au.indeed.com/viewjob?jk=00d705393aff35ef","Service Engineer 2")</f>
        <v>Service Engineer 2</v>
      </c>
      <c r="D751" s="42" t="s">
        <v>646</v>
      </c>
      <c r="E751" s="47">
        <v>44221.696377314816</v>
      </c>
    </row>
    <row r="752">
      <c r="A752" s="42"/>
      <c r="B752" s="42" t="s">
        <v>50</v>
      </c>
      <c r="C752" s="43" t="str">
        <f>hyperlink("https://au.indeed.com/viewjob?jk=9cf5d17e58903676","Lead Sales Engineer - CItrix Service Providers (CSP)")</f>
        <v>Lead Sales Engineer - CItrix Service Providers (CSP)</v>
      </c>
      <c r="D752" s="42" t="s">
        <v>656</v>
      </c>
      <c r="E752" s="47">
        <v>44221.6978125</v>
      </c>
    </row>
    <row r="753">
      <c r="A753" s="42"/>
      <c r="B753" s="42" t="s">
        <v>50</v>
      </c>
      <c r="C753" s="43" t="str">
        <f>hyperlink("https://au.indeed.com/viewjob?jk=0df0b34d037d3392","Level 2 Service Desk Support Engineer")</f>
        <v>Level 2 Service Desk Support Engineer</v>
      </c>
      <c r="D753" s="42" t="s">
        <v>492</v>
      </c>
      <c r="E753" s="47">
        <v>44221.69836805556</v>
      </c>
    </row>
    <row r="754">
      <c r="A754" s="42"/>
      <c r="B754" s="42" t="s">
        <v>50</v>
      </c>
      <c r="C754" s="43" t="str">
        <f>hyperlink("https://au.indeed.com/viewjob?jk=29fd8cd5b255715d","Technical Consulting Engineer (SIG Service Delivery) - English+Japanese")</f>
        <v>Technical Consulting Engineer (SIG Service Delivery) - English+Japanese</v>
      </c>
      <c r="D754" s="42" t="s">
        <v>657</v>
      </c>
      <c r="E754" s="47">
        <v>44221.69847222222</v>
      </c>
    </row>
    <row r="755">
      <c r="A755" s="42"/>
      <c r="B755" s="42" t="s">
        <v>50</v>
      </c>
      <c r="C755" s="43" t="str">
        <f>hyperlink("https://au.indeed.com/viewjob?jk=051bbc3c97b092b0","Technology - Securities Services Senior Java Software Engineer")</f>
        <v>Technology - Securities Services Senior Java Software Engineer</v>
      </c>
      <c r="D755" s="42" t="s">
        <v>658</v>
      </c>
      <c r="E755" s="47">
        <v>44221.69893518519</v>
      </c>
    </row>
    <row r="756">
      <c r="A756" s="42"/>
      <c r="B756" s="42" t="s">
        <v>51</v>
      </c>
      <c r="C756" s="43" t="str">
        <f>hyperlink("https://au.indeed.com/viewjob?jk=6e0f405ae2c0f21d","Site Engineer - (Traction Sub Stations)")</f>
        <v>Site Engineer - (Traction Sub Stations)</v>
      </c>
      <c r="D756" s="42" t="s">
        <v>621</v>
      </c>
      <c r="E756" s="47">
        <v>44221.701585648145</v>
      </c>
    </row>
    <row r="757">
      <c r="A757" s="42"/>
      <c r="B757" s="42" t="s">
        <v>51</v>
      </c>
      <c r="C757" s="43" t="str">
        <f>hyperlink("https://au.indeed.com/viewjob?jk=76e26b5bcee25d5b","Site Engineers - Pitt Street Station")</f>
        <v>Site Engineers - Pitt Street Station</v>
      </c>
      <c r="D757" s="42" t="s">
        <v>591</v>
      </c>
      <c r="E757" s="47">
        <v>44221.701689814814</v>
      </c>
    </row>
    <row r="758">
      <c r="A758" s="42"/>
      <c r="B758" s="42" t="s">
        <v>51</v>
      </c>
      <c r="C758" s="43" t="str">
        <f>hyperlink("https://au.indeed.com/viewjob?jk=e690eda294e0882f","Site Engineers - Pitt Street Station")</f>
        <v>Site Engineers - Pitt Street Station</v>
      </c>
      <c r="D758" s="42" t="s">
        <v>621</v>
      </c>
      <c r="E758" s="47">
        <v>44221.70181712963</v>
      </c>
    </row>
    <row r="759">
      <c r="A759" s="42"/>
      <c r="B759" s="42" t="s">
        <v>51</v>
      </c>
      <c r="C759" s="43" t="str">
        <f>hyperlink("https://au.indeed.com/viewjob?jk=c180b3f9874a6c46","Williamtown Site Systems Engineer")</f>
        <v>Williamtown Site Systems Engineer</v>
      </c>
      <c r="D759" s="42" t="s">
        <v>614</v>
      </c>
      <c r="E759" s="47">
        <v>44221.70322916667</v>
      </c>
    </row>
    <row r="760">
      <c r="A760" s="42"/>
      <c r="B760" s="42" t="s">
        <v>51</v>
      </c>
      <c r="C760" s="43" t="str">
        <f>hyperlink("https://au.indeed.com/viewjob?jk=b0add64b271bcd1e","Site Engineer - (Traction Sub Stations)")</f>
        <v>Site Engineer - (Traction Sub Stations)</v>
      </c>
      <c r="D760" s="42" t="s">
        <v>591</v>
      </c>
      <c r="E760" s="47">
        <v>44221.703784722224</v>
      </c>
    </row>
    <row r="761">
      <c r="A761" s="42"/>
      <c r="B761" s="42" t="s">
        <v>51</v>
      </c>
      <c r="C761" s="43" t="str">
        <f>hyperlink("https://au.indeed.com/viewjob?jk=fbd5622c09df1919","Site Engineer")</f>
        <v>Site Engineer</v>
      </c>
      <c r="D761" s="42" t="s">
        <v>484</v>
      </c>
      <c r="E761" s="47">
        <v>44221.70425925926</v>
      </c>
    </row>
    <row r="762">
      <c r="A762" s="42"/>
      <c r="B762" s="42" t="s">
        <v>51</v>
      </c>
      <c r="C762" s="43" t="str">
        <f>hyperlink("https://au.indeed.com/viewjob?jk=a0d5f748f9af9451","Site Engineer")</f>
        <v>Site Engineer</v>
      </c>
      <c r="D762" s="42" t="s">
        <v>595</v>
      </c>
      <c r="E762" s="47">
        <v>44221.704363425924</v>
      </c>
    </row>
    <row r="763">
      <c r="A763" s="42"/>
      <c r="B763" s="42" t="s">
        <v>51</v>
      </c>
      <c r="C763" s="43" t="str">
        <f>hyperlink("https://au.indeed.com/viewjob?jk=f65f797de29f4fdf","Network Engineer - Site Setups")</f>
        <v>Network Engineer - Site Setups</v>
      </c>
      <c r="D763" s="42" t="s">
        <v>659</v>
      </c>
      <c r="E763" s="47">
        <v>44221.70548611111</v>
      </c>
    </row>
    <row r="764">
      <c r="A764" s="42"/>
      <c r="B764" s="42" t="s">
        <v>53</v>
      </c>
      <c r="C764" s="43" t="str">
        <f>hyperlink("https://au.indeed.com/viewjob?jk=9ac386e023b46792","Engineer | Cleanroom Utilities | Pharmaceutical Industry")</f>
        <v>Engineer | Cleanroom Utilities | Pharmaceutical Industry</v>
      </c>
      <c r="D764" s="42" t="s">
        <v>505</v>
      </c>
      <c r="E764" s="47">
        <v>44221.70670138889</v>
      </c>
    </row>
    <row r="765">
      <c r="A765" s="42"/>
      <c r="B765" s="42" t="s">
        <v>53</v>
      </c>
      <c r="C765" s="43" t="str">
        <f>hyperlink("https://au.indeed.com/viewjob?jk=0f7ca011a42b0636","Civil Engineer - Utilities")</f>
        <v>Civil Engineer - Utilities</v>
      </c>
      <c r="D765" s="42" t="s">
        <v>560</v>
      </c>
      <c r="E765" s="47">
        <v>44221.706828703704</v>
      </c>
    </row>
    <row r="766">
      <c r="A766" s="42"/>
      <c r="B766" s="42" t="s">
        <v>53</v>
      </c>
      <c r="C766" s="43" t="str">
        <f>hyperlink("https://au.indeed.com/viewjob?jk=d5f8d987bb9694eb","Senior Civil Engineer - Utilities")</f>
        <v>Senior Civil Engineer - Utilities</v>
      </c>
      <c r="D766" s="42" t="s">
        <v>560</v>
      </c>
      <c r="E766" s="47">
        <v>44221.70694444444</v>
      </c>
    </row>
    <row r="767">
      <c r="A767" s="42"/>
      <c r="B767" s="42" t="s">
        <v>53</v>
      </c>
      <c r="C767" s="43" t="str">
        <f>hyperlink("https://au.indeed.com/viewjob?jk=d2d917f851b01f4a","Utilities Servicing Engineer")</f>
        <v>Utilities Servicing Engineer</v>
      </c>
      <c r="D767" s="42" t="s">
        <v>492</v>
      </c>
      <c r="E767" s="47">
        <v>44221.70706018519</v>
      </c>
    </row>
    <row r="768">
      <c r="A768" s="42"/>
      <c r="B768" s="42" t="s">
        <v>54</v>
      </c>
      <c r="C768" s="43" t="str">
        <f>hyperlink("https://au.indeed.com/viewjob?jk=54636a5ed2c3c8f0","Product Support Engineer")</f>
        <v>Product Support Engineer</v>
      </c>
      <c r="D768" s="42" t="s">
        <v>660</v>
      </c>
      <c r="E768" s="47">
        <v>44221.7071875</v>
      </c>
    </row>
    <row r="769">
      <c r="A769" s="42"/>
      <c r="B769" s="42" t="s">
        <v>54</v>
      </c>
      <c r="C769" s="43" t="str">
        <f>hyperlink("https://au.indeed.com/viewjob?jk=7e787c9aa38e7941","Principal Product Engineer")</f>
        <v>Principal Product Engineer</v>
      </c>
      <c r="D769" s="42" t="s">
        <v>523</v>
      </c>
      <c r="E769" s="47">
        <v>44221.70731481481</v>
      </c>
    </row>
    <row r="770">
      <c r="A770" s="42"/>
      <c r="B770" s="42" t="s">
        <v>54</v>
      </c>
      <c r="C770" s="43" t="str">
        <f>hyperlink("https://au.indeed.com/viewjob?jk=769685e2dcb92f2d","Software Engineer - Java, Product &amp; Features")</f>
        <v>Software Engineer - Java, Product &amp; Features</v>
      </c>
      <c r="D770" s="42" t="s">
        <v>571</v>
      </c>
      <c r="E770" s="47">
        <v>44221.70783564815</v>
      </c>
    </row>
    <row r="771">
      <c r="A771" s="42"/>
      <c r="B771" s="42" t="s">
        <v>54</v>
      </c>
      <c r="C771" s="43" t="str">
        <f>hyperlink("https://au.indeed.com/viewjob?jk=e4f3e88c41c7f13a","Product &amp; Applications Engineer")</f>
        <v>Product &amp; Applications Engineer</v>
      </c>
      <c r="D771" s="42" t="s">
        <v>661</v>
      </c>
      <c r="E771" s="47">
        <v>44221.70989583333</v>
      </c>
    </row>
    <row r="772">
      <c r="A772" s="42"/>
      <c r="B772" s="42" t="s">
        <v>54</v>
      </c>
      <c r="C772" s="43" t="str">
        <f>hyperlink("https://au.indeed.com/viewjob?jk=f5975390e8e5496a","New Product Introduction Engineer")</f>
        <v>New Product Introduction Engineer</v>
      </c>
      <c r="D772" s="42" t="s">
        <v>458</v>
      </c>
      <c r="E772" s="47">
        <v>44221.71082175926</v>
      </c>
    </row>
    <row r="773">
      <c r="A773" s="42"/>
      <c r="B773" s="42" t="s">
        <v>54</v>
      </c>
      <c r="C773" s="43" t="str">
        <f>hyperlink("https://au.indeed.com/viewjob?jk=2ecf5aeb0409e14d","Principal Product Engineer")</f>
        <v>Principal Product Engineer</v>
      </c>
      <c r="D773" s="42" t="s">
        <v>523</v>
      </c>
      <c r="E773" s="47">
        <v>44221.710960648146</v>
      </c>
    </row>
    <row r="774">
      <c r="A774" s="42"/>
      <c r="B774" s="42" t="s">
        <v>54</v>
      </c>
      <c r="C774" s="43" t="str">
        <f>hyperlink("https://au.indeed.com/viewjob?jk=948a10115e6d4307","Data Engineer - Video Experiences - Product | Product")</f>
        <v>Data Engineer - Video Experiences - Product | Product</v>
      </c>
      <c r="D774" s="42" t="s">
        <v>662</v>
      </c>
      <c r="E774" s="47">
        <v>44221.711064814815</v>
      </c>
    </row>
    <row r="775">
      <c r="A775" s="42"/>
      <c r="B775" s="42" t="s">
        <v>54</v>
      </c>
      <c r="C775" s="43" t="str">
        <f>hyperlink("https://au.indeed.com/viewjob?jk=0a0d3bd4e20c3e28","Product Support Engineer")</f>
        <v>Product Support Engineer</v>
      </c>
      <c r="D775" s="42" t="s">
        <v>663</v>
      </c>
      <c r="E775" s="47">
        <v>44221.711180555554</v>
      </c>
    </row>
  </sheetData>
  <autoFilter ref="$B$1:$E$775">
    <sortState ref="B1:E775">
      <sortCondition ref="D1:D775"/>
      <sortCondition ref="E1:E775"/>
    </sortState>
  </autoFilter>
  <hyperlinks>
    <hyperlink r:id="rId1" ref="D544"/>
    <hyperlink r:id="rId2" ref="D59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46.43"/>
    <col customWidth="1" min="3" max="3" width="50.43"/>
    <col customWidth="1" min="4" max="4" width="29.14"/>
    <col customWidth="1" min="5" max="5" width="45.71"/>
    <col customWidth="1" min="6" max="6" width="44.14"/>
    <col customWidth="1" min="7" max="7" width="36.14"/>
    <col customWidth="1" min="8" max="9" width="26.29"/>
  </cols>
  <sheetData>
    <row r="1">
      <c r="A1" s="54" t="s">
        <v>12</v>
      </c>
      <c r="B1" s="55" t="s">
        <v>56</v>
      </c>
      <c r="C1" s="55" t="s">
        <v>57</v>
      </c>
      <c r="D1" s="55" t="s">
        <v>664</v>
      </c>
      <c r="E1" s="54" t="s">
        <v>59</v>
      </c>
      <c r="F1" s="54" t="s">
        <v>665</v>
      </c>
      <c r="G1" s="54" t="s">
        <v>58</v>
      </c>
      <c r="H1" s="55"/>
      <c r="I1" s="56"/>
    </row>
    <row r="2" hidden="1">
      <c r="A2" s="27" t="s">
        <v>26</v>
      </c>
      <c r="B2" s="57"/>
      <c r="C2" s="57"/>
      <c r="D2" s="11" t="s">
        <v>61</v>
      </c>
      <c r="E2" s="27" t="s">
        <v>66</v>
      </c>
      <c r="F2" s="27"/>
      <c r="G2" s="46">
        <v>44166.1658912037</v>
      </c>
      <c r="I2" s="45" t="s">
        <v>240</v>
      </c>
    </row>
    <row r="3" hidden="1">
      <c r="A3" s="19" t="s">
        <v>35</v>
      </c>
      <c r="B3" s="58"/>
      <c r="C3" s="58"/>
      <c r="D3" s="59" t="s">
        <v>60</v>
      </c>
      <c r="E3" s="29" t="s">
        <v>76</v>
      </c>
      <c r="F3" s="60"/>
      <c r="G3" s="61">
        <v>44166.16819444444</v>
      </c>
      <c r="I3" s="60" t="s">
        <v>666</v>
      </c>
    </row>
    <row r="4" hidden="1">
      <c r="A4" s="27" t="s">
        <v>26</v>
      </c>
      <c r="B4" s="57"/>
      <c r="C4" s="57"/>
      <c r="D4" s="11" t="s">
        <v>61</v>
      </c>
      <c r="E4" s="27" t="s">
        <v>66</v>
      </c>
      <c r="F4" s="27" t="s">
        <v>667</v>
      </c>
      <c r="G4" s="46">
        <v>44171.96488425926</v>
      </c>
      <c r="I4" s="45" t="s">
        <v>240</v>
      </c>
    </row>
    <row r="5">
      <c r="A5" s="27" t="s">
        <v>26</v>
      </c>
      <c r="B5" s="57"/>
      <c r="C5" s="57"/>
      <c r="D5" s="11" t="s">
        <v>62</v>
      </c>
      <c r="E5" s="27" t="s">
        <v>82</v>
      </c>
      <c r="F5" s="13"/>
      <c r="G5" s="46">
        <v>44171.96494212963</v>
      </c>
      <c r="I5" s="45" t="s">
        <v>240</v>
      </c>
    </row>
    <row r="6">
      <c r="A6" s="27" t="s">
        <v>26</v>
      </c>
      <c r="B6" s="57"/>
      <c r="C6" s="57"/>
      <c r="D6" s="11" t="s">
        <v>62</v>
      </c>
      <c r="E6" s="27" t="s">
        <v>80</v>
      </c>
      <c r="F6" s="13"/>
      <c r="G6" s="46">
        <v>44171.96501157407</v>
      </c>
      <c r="I6" s="45" t="s">
        <v>240</v>
      </c>
    </row>
    <row r="7">
      <c r="A7" s="27" t="s">
        <v>26</v>
      </c>
      <c r="B7" s="57"/>
      <c r="C7" s="57"/>
      <c r="D7" s="11" t="s">
        <v>62</v>
      </c>
      <c r="E7" s="27" t="s">
        <v>81</v>
      </c>
      <c r="F7" s="13"/>
      <c r="G7" s="46">
        <v>44171.96508101852</v>
      </c>
      <c r="I7" s="45" t="s">
        <v>240</v>
      </c>
    </row>
    <row r="8" hidden="1">
      <c r="A8" s="27" t="s">
        <v>26</v>
      </c>
      <c r="B8" s="57"/>
      <c r="C8" s="57"/>
      <c r="D8" s="11" t="s">
        <v>60</v>
      </c>
      <c r="E8" s="27" t="s">
        <v>78</v>
      </c>
      <c r="F8" s="13"/>
      <c r="G8" s="46">
        <v>44171.96512731481</v>
      </c>
      <c r="I8" s="45" t="s">
        <v>240</v>
      </c>
    </row>
    <row r="9" hidden="1">
      <c r="A9" s="27" t="s">
        <v>26</v>
      </c>
      <c r="B9" s="57"/>
      <c r="C9" s="57"/>
      <c r="D9" s="11" t="s">
        <v>60</v>
      </c>
      <c r="E9" s="27" t="s">
        <v>74</v>
      </c>
      <c r="F9" s="13"/>
      <c r="G9" s="46">
        <v>44171.96518518519</v>
      </c>
      <c r="I9" s="45" t="s">
        <v>240</v>
      </c>
    </row>
    <row r="10" hidden="1">
      <c r="A10" s="27" t="s">
        <v>26</v>
      </c>
      <c r="B10" s="57"/>
      <c r="C10" s="57"/>
      <c r="D10" s="11" t="s">
        <v>61</v>
      </c>
      <c r="E10" s="27" t="s">
        <v>66</v>
      </c>
      <c r="F10" s="27" t="s">
        <v>667</v>
      </c>
      <c r="G10" s="46">
        <v>44171.972025462965</v>
      </c>
      <c r="I10" s="45" t="s">
        <v>240</v>
      </c>
    </row>
    <row r="11">
      <c r="A11" s="27" t="s">
        <v>26</v>
      </c>
      <c r="B11" s="57"/>
      <c r="C11" s="57"/>
      <c r="D11" s="11" t="s">
        <v>62</v>
      </c>
      <c r="E11" s="27" t="s">
        <v>82</v>
      </c>
      <c r="F11" s="13"/>
      <c r="G11" s="46">
        <v>44171.972083333334</v>
      </c>
      <c r="I11" s="45" t="s">
        <v>240</v>
      </c>
    </row>
    <row r="12">
      <c r="A12" s="27" t="s">
        <v>26</v>
      </c>
      <c r="B12" s="57"/>
      <c r="C12" s="57"/>
      <c r="D12" s="11" t="s">
        <v>62</v>
      </c>
      <c r="E12" s="27" t="s">
        <v>80</v>
      </c>
      <c r="F12" s="13"/>
      <c r="G12" s="46">
        <v>44171.97215277778</v>
      </c>
      <c r="I12" s="45" t="s">
        <v>240</v>
      </c>
    </row>
    <row r="13">
      <c r="A13" s="27" t="s">
        <v>26</v>
      </c>
      <c r="B13" s="57"/>
      <c r="C13" s="57"/>
      <c r="D13" s="11" t="s">
        <v>62</v>
      </c>
      <c r="E13" s="27" t="s">
        <v>81</v>
      </c>
      <c r="F13" s="13"/>
      <c r="G13" s="46">
        <v>44171.97221064815</v>
      </c>
      <c r="I13" s="45" t="s">
        <v>240</v>
      </c>
    </row>
    <row r="14" hidden="1">
      <c r="A14" s="27" t="s">
        <v>26</v>
      </c>
      <c r="B14" s="57"/>
      <c r="C14" s="57"/>
      <c r="D14" s="11" t="s">
        <v>60</v>
      </c>
      <c r="E14" s="27" t="s">
        <v>78</v>
      </c>
      <c r="F14" s="13"/>
      <c r="G14" s="46">
        <v>44171.97225694444</v>
      </c>
      <c r="I14" s="45" t="s">
        <v>240</v>
      </c>
    </row>
    <row r="15" hidden="1">
      <c r="A15" s="27" t="s">
        <v>26</v>
      </c>
      <c r="B15" s="57"/>
      <c r="C15" s="57"/>
      <c r="D15" s="11" t="s">
        <v>60</v>
      </c>
      <c r="E15" s="27" t="s">
        <v>74</v>
      </c>
      <c r="F15" s="13"/>
      <c r="G15" s="46">
        <v>44171.97231481481</v>
      </c>
      <c r="I15" s="45" t="s">
        <v>240</v>
      </c>
    </row>
    <row r="16" hidden="1">
      <c r="A16" s="27" t="s">
        <v>26</v>
      </c>
      <c r="B16" s="57"/>
      <c r="C16" s="57"/>
      <c r="D16" s="11" t="s">
        <v>60</v>
      </c>
      <c r="E16" s="27" t="s">
        <v>77</v>
      </c>
      <c r="F16" s="13"/>
      <c r="G16" s="46">
        <v>44171.97440972222</v>
      </c>
      <c r="I16" s="45" t="s">
        <v>241</v>
      </c>
    </row>
    <row r="17" hidden="1">
      <c r="A17" s="27" t="s">
        <v>26</v>
      </c>
      <c r="B17" s="57"/>
      <c r="C17" s="57"/>
      <c r="D17" s="11" t="s">
        <v>60</v>
      </c>
      <c r="E17" s="27" t="s">
        <v>75</v>
      </c>
      <c r="F17" s="13"/>
      <c r="G17" s="46">
        <v>44171.97446759259</v>
      </c>
      <c r="I17" s="45" t="s">
        <v>241</v>
      </c>
    </row>
    <row r="18" hidden="1">
      <c r="A18" s="27" t="s">
        <v>26</v>
      </c>
      <c r="B18" s="57"/>
      <c r="C18" s="57"/>
      <c r="D18" s="11" t="s">
        <v>61</v>
      </c>
      <c r="E18" s="27" t="s">
        <v>73</v>
      </c>
      <c r="F18" s="27" t="s">
        <v>667</v>
      </c>
      <c r="G18" s="46">
        <v>44171.97453703704</v>
      </c>
      <c r="I18" s="45" t="s">
        <v>241</v>
      </c>
    </row>
    <row r="19" hidden="1">
      <c r="A19" s="27" t="s">
        <v>26</v>
      </c>
      <c r="B19" s="57"/>
      <c r="C19" s="57"/>
      <c r="D19" s="11" t="s">
        <v>61</v>
      </c>
      <c r="E19" s="27" t="s">
        <v>66</v>
      </c>
      <c r="F19" s="27" t="s">
        <v>667</v>
      </c>
      <c r="G19" s="46">
        <v>44171.985810185186</v>
      </c>
      <c r="I19" s="45" t="s">
        <v>240</v>
      </c>
    </row>
    <row r="20">
      <c r="A20" s="27" t="s">
        <v>26</v>
      </c>
      <c r="B20" s="57"/>
      <c r="C20" s="57"/>
      <c r="D20" s="11" t="s">
        <v>62</v>
      </c>
      <c r="E20" s="27" t="s">
        <v>82</v>
      </c>
      <c r="F20" s="13"/>
      <c r="G20" s="46">
        <v>44171.985868055555</v>
      </c>
      <c r="I20" s="45" t="s">
        <v>240</v>
      </c>
    </row>
    <row r="21">
      <c r="A21" s="27" t="s">
        <v>26</v>
      </c>
      <c r="B21" s="57"/>
      <c r="C21" s="57"/>
      <c r="D21" s="11" t="s">
        <v>62</v>
      </c>
      <c r="E21" s="27" t="s">
        <v>80</v>
      </c>
      <c r="F21" s="13"/>
      <c r="G21" s="46">
        <v>44171.98614583333</v>
      </c>
      <c r="I21" s="45" t="s">
        <v>240</v>
      </c>
    </row>
    <row r="22">
      <c r="A22" s="27" t="s">
        <v>26</v>
      </c>
      <c r="B22" s="57"/>
      <c r="C22" s="57"/>
      <c r="D22" s="11" t="s">
        <v>62</v>
      </c>
      <c r="E22" s="27" t="s">
        <v>81</v>
      </c>
      <c r="F22" s="13"/>
      <c r="G22" s="46">
        <v>44171.9862037037</v>
      </c>
      <c r="I22" s="45" t="s">
        <v>240</v>
      </c>
    </row>
    <row r="23" hidden="1">
      <c r="A23" s="27" t="s">
        <v>26</v>
      </c>
      <c r="B23" s="57"/>
      <c r="C23" s="57"/>
      <c r="D23" s="11" t="s">
        <v>60</v>
      </c>
      <c r="E23" s="27" t="s">
        <v>78</v>
      </c>
      <c r="F23" s="13"/>
      <c r="G23" s="46">
        <v>44171.98626157407</v>
      </c>
      <c r="I23" s="45" t="s">
        <v>240</v>
      </c>
    </row>
    <row r="24" hidden="1">
      <c r="A24" s="27" t="s">
        <v>26</v>
      </c>
      <c r="B24" s="57"/>
      <c r="C24" s="57"/>
      <c r="D24" s="11" t="s">
        <v>60</v>
      </c>
      <c r="E24" s="27" t="s">
        <v>74</v>
      </c>
      <c r="F24" s="13"/>
      <c r="G24" s="46">
        <v>44171.98631944445</v>
      </c>
      <c r="I24" s="45" t="s">
        <v>240</v>
      </c>
    </row>
    <row r="25" hidden="1">
      <c r="A25" s="27" t="s">
        <v>26</v>
      </c>
      <c r="B25" s="57"/>
      <c r="C25" s="57"/>
      <c r="D25" s="11" t="s">
        <v>60</v>
      </c>
      <c r="E25" s="27" t="s">
        <v>77</v>
      </c>
      <c r="F25" s="13"/>
      <c r="G25" s="46">
        <v>44171.98685185185</v>
      </c>
      <c r="I25" s="45" t="s">
        <v>241</v>
      </c>
    </row>
    <row r="26" hidden="1">
      <c r="A26" s="27" t="s">
        <v>26</v>
      </c>
      <c r="B26" s="57"/>
      <c r="C26" s="57"/>
      <c r="D26" s="11" t="s">
        <v>60</v>
      </c>
      <c r="E26" s="27" t="s">
        <v>75</v>
      </c>
      <c r="F26" s="13"/>
      <c r="G26" s="46">
        <v>44171.986909722225</v>
      </c>
      <c r="I26" s="45" t="s">
        <v>241</v>
      </c>
    </row>
    <row r="27" hidden="1">
      <c r="A27" s="27" t="s">
        <v>26</v>
      </c>
      <c r="B27" s="57"/>
      <c r="C27" s="57"/>
      <c r="D27" s="11" t="s">
        <v>61</v>
      </c>
      <c r="E27" s="27" t="s">
        <v>73</v>
      </c>
      <c r="F27" s="27" t="s">
        <v>667</v>
      </c>
      <c r="G27" s="46">
        <v>44171.98695601852</v>
      </c>
      <c r="I27" s="45" t="s">
        <v>241</v>
      </c>
    </row>
    <row r="28" hidden="1">
      <c r="A28" s="27" t="s">
        <v>26</v>
      </c>
      <c r="B28" s="57"/>
      <c r="C28" s="57"/>
      <c r="D28" s="11" t="s">
        <v>61</v>
      </c>
      <c r="E28" s="27" t="s">
        <v>66</v>
      </c>
      <c r="F28" s="27" t="s">
        <v>667</v>
      </c>
      <c r="G28" s="46">
        <v>44172.00152777778</v>
      </c>
      <c r="I28" s="45" t="s">
        <v>240</v>
      </c>
    </row>
    <row r="29">
      <c r="A29" s="27" t="s">
        <v>26</v>
      </c>
      <c r="B29" s="57"/>
      <c r="C29" s="57"/>
      <c r="D29" s="11" t="s">
        <v>62</v>
      </c>
      <c r="E29" s="27" t="s">
        <v>82</v>
      </c>
      <c r="F29" s="13"/>
      <c r="G29" s="46">
        <v>44172.00158564815</v>
      </c>
      <c r="I29" s="45" t="s">
        <v>240</v>
      </c>
    </row>
    <row r="30">
      <c r="A30" s="27" t="s">
        <v>26</v>
      </c>
      <c r="B30" s="57"/>
      <c r="C30" s="57"/>
      <c r="D30" s="11" t="s">
        <v>62</v>
      </c>
      <c r="E30" s="27" t="s">
        <v>80</v>
      </c>
      <c r="F30" s="13"/>
      <c r="G30" s="46">
        <v>44172.00164351852</v>
      </c>
      <c r="I30" s="45" t="s">
        <v>240</v>
      </c>
    </row>
    <row r="31">
      <c r="A31" s="27" t="s">
        <v>26</v>
      </c>
      <c r="B31" s="57"/>
      <c r="C31" s="57"/>
      <c r="D31" s="11" t="s">
        <v>62</v>
      </c>
      <c r="E31" s="27" t="s">
        <v>81</v>
      </c>
      <c r="F31" s="13"/>
      <c r="G31" s="46">
        <v>44172.00170138889</v>
      </c>
      <c r="I31" s="45" t="s">
        <v>240</v>
      </c>
    </row>
    <row r="32" hidden="1">
      <c r="A32" s="27" t="s">
        <v>26</v>
      </c>
      <c r="B32" s="57"/>
      <c r="C32" s="57"/>
      <c r="D32" s="11" t="s">
        <v>60</v>
      </c>
      <c r="E32" s="27" t="s">
        <v>78</v>
      </c>
      <c r="F32" s="13"/>
      <c r="G32" s="46">
        <v>44172.001759259256</v>
      </c>
      <c r="I32" s="45" t="s">
        <v>240</v>
      </c>
    </row>
    <row r="33" hidden="1">
      <c r="A33" s="27" t="s">
        <v>26</v>
      </c>
      <c r="B33" s="57"/>
      <c r="C33" s="57"/>
      <c r="D33" s="11" t="s">
        <v>60</v>
      </c>
      <c r="E33" s="27" t="s">
        <v>74</v>
      </c>
      <c r="F33" s="13"/>
      <c r="G33" s="46">
        <v>44172.00181712963</v>
      </c>
      <c r="I33" s="45" t="s">
        <v>240</v>
      </c>
    </row>
    <row r="34" hidden="1">
      <c r="A34" s="27" t="s">
        <v>26</v>
      </c>
      <c r="B34" s="57"/>
      <c r="C34" s="57"/>
      <c r="D34" s="11" t="s">
        <v>60</v>
      </c>
      <c r="E34" s="27" t="s">
        <v>77</v>
      </c>
      <c r="F34" s="13"/>
      <c r="G34" s="46">
        <v>44172.003067129626</v>
      </c>
      <c r="I34" s="45" t="s">
        <v>241</v>
      </c>
    </row>
    <row r="35" hidden="1">
      <c r="A35" s="27" t="s">
        <v>26</v>
      </c>
      <c r="B35" s="57"/>
      <c r="C35" s="57"/>
      <c r="D35" s="11" t="s">
        <v>60</v>
      </c>
      <c r="E35" s="27" t="s">
        <v>75</v>
      </c>
      <c r="F35" s="13"/>
      <c r="G35" s="46">
        <v>44172.003125</v>
      </c>
      <c r="I35" s="45" t="s">
        <v>241</v>
      </c>
    </row>
    <row r="36" hidden="1">
      <c r="A36" s="27" t="s">
        <v>26</v>
      </c>
      <c r="B36" s="57"/>
      <c r="C36" s="57"/>
      <c r="D36" s="11" t="s">
        <v>61</v>
      </c>
      <c r="E36" s="27" t="s">
        <v>73</v>
      </c>
      <c r="F36" s="27" t="s">
        <v>667</v>
      </c>
      <c r="G36" s="46">
        <v>44172.00318287037</v>
      </c>
      <c r="I36" s="45" t="s">
        <v>241</v>
      </c>
    </row>
    <row r="37">
      <c r="A37" s="27" t="s">
        <v>26</v>
      </c>
      <c r="B37" s="57"/>
      <c r="C37" s="57"/>
      <c r="D37" s="11" t="s">
        <v>62</v>
      </c>
      <c r="E37" s="27" t="s">
        <v>82</v>
      </c>
      <c r="F37" s="13"/>
      <c r="G37" s="46">
        <v>44172.45559027778</v>
      </c>
      <c r="I37" s="45" t="s">
        <v>240</v>
      </c>
    </row>
    <row r="38">
      <c r="A38" s="27" t="s">
        <v>26</v>
      </c>
      <c r="B38" s="57"/>
      <c r="C38" s="57"/>
      <c r="D38" s="11" t="s">
        <v>62</v>
      </c>
      <c r="E38" s="27" t="s">
        <v>80</v>
      </c>
      <c r="F38" s="13"/>
      <c r="G38" s="46">
        <v>44172.455671296295</v>
      </c>
      <c r="I38" s="45" t="s">
        <v>240</v>
      </c>
    </row>
    <row r="39">
      <c r="A39" s="27" t="s">
        <v>26</v>
      </c>
      <c r="B39" s="57"/>
      <c r="C39" s="57"/>
      <c r="D39" s="11" t="s">
        <v>62</v>
      </c>
      <c r="E39" s="27" t="s">
        <v>81</v>
      </c>
      <c r="F39" s="13"/>
      <c r="G39" s="46">
        <v>44172.455717592595</v>
      </c>
      <c r="I39" s="45" t="s">
        <v>240</v>
      </c>
    </row>
    <row r="40" hidden="1">
      <c r="A40" s="27" t="s">
        <v>26</v>
      </c>
      <c r="B40" s="57"/>
      <c r="C40" s="57"/>
      <c r="D40" s="11" t="s">
        <v>60</v>
      </c>
      <c r="E40" s="27" t="s">
        <v>78</v>
      </c>
      <c r="F40" s="13"/>
      <c r="G40" s="46">
        <v>44172.45576388889</v>
      </c>
      <c r="I40" s="45" t="s">
        <v>240</v>
      </c>
    </row>
    <row r="41" hidden="1">
      <c r="A41" s="27" t="s">
        <v>26</v>
      </c>
      <c r="B41" s="57"/>
      <c r="C41" s="57"/>
      <c r="D41" s="11" t="s">
        <v>60</v>
      </c>
      <c r="E41" s="27" t="s">
        <v>74</v>
      </c>
      <c r="F41" s="13"/>
      <c r="G41" s="46">
        <v>44172.45579861111</v>
      </c>
      <c r="I41" s="45" t="s">
        <v>240</v>
      </c>
    </row>
    <row r="42" hidden="1">
      <c r="A42" s="27" t="s">
        <v>26</v>
      </c>
      <c r="B42" s="57"/>
      <c r="C42" s="57"/>
      <c r="D42" s="11" t="s">
        <v>60</v>
      </c>
      <c r="E42" s="27" t="s">
        <v>77</v>
      </c>
      <c r="F42" s="13"/>
      <c r="G42" s="46">
        <v>44172.45636574074</v>
      </c>
      <c r="I42" s="45" t="s">
        <v>241</v>
      </c>
    </row>
    <row r="43" hidden="1">
      <c r="A43" s="27" t="s">
        <v>26</v>
      </c>
      <c r="B43" s="57"/>
      <c r="C43" s="57"/>
      <c r="D43" s="11" t="s">
        <v>60</v>
      </c>
      <c r="E43" s="27" t="s">
        <v>75</v>
      </c>
      <c r="F43" s="13"/>
      <c r="G43" s="46">
        <v>44172.45642361111</v>
      </c>
      <c r="I43" s="45" t="s">
        <v>241</v>
      </c>
    </row>
    <row r="44">
      <c r="A44" s="27" t="s">
        <v>33</v>
      </c>
      <c r="B44" s="57"/>
      <c r="C44" s="57"/>
      <c r="D44" s="11" t="s">
        <v>62</v>
      </c>
      <c r="E44" s="27" t="s">
        <v>668</v>
      </c>
      <c r="F44" s="13"/>
      <c r="G44" s="46">
        <v>44172.48924768518</v>
      </c>
      <c r="I44" s="45" t="s">
        <v>243</v>
      </c>
    </row>
    <row r="45" hidden="1">
      <c r="A45" s="27" t="s">
        <v>33</v>
      </c>
      <c r="B45" s="57"/>
      <c r="C45" s="57"/>
      <c r="D45" s="11" t="s">
        <v>61</v>
      </c>
      <c r="E45" s="27" t="s">
        <v>669</v>
      </c>
      <c r="F45" s="13"/>
      <c r="G45" s="46">
        <v>44172.48930555556</v>
      </c>
      <c r="I45" s="45" t="s">
        <v>243</v>
      </c>
    </row>
    <row r="46" hidden="1">
      <c r="A46" s="27" t="s">
        <v>33</v>
      </c>
      <c r="B46" s="57"/>
      <c r="C46" s="57"/>
      <c r="D46" s="11" t="s">
        <v>60</v>
      </c>
      <c r="E46" s="27" t="s">
        <v>670</v>
      </c>
      <c r="F46" s="13"/>
      <c r="G46" s="46">
        <v>44172.48935185185</v>
      </c>
      <c r="I46" s="45" t="s">
        <v>243</v>
      </c>
    </row>
    <row r="47" hidden="1">
      <c r="A47" s="27" t="s">
        <v>33</v>
      </c>
      <c r="B47" s="57"/>
      <c r="C47" s="57"/>
      <c r="D47" s="11" t="s">
        <v>60</v>
      </c>
      <c r="E47" s="27" t="s">
        <v>671</v>
      </c>
      <c r="F47" s="13"/>
      <c r="G47" s="46">
        <v>44172.48939814815</v>
      </c>
      <c r="I47" s="45" t="s">
        <v>243</v>
      </c>
    </row>
    <row r="48" hidden="1">
      <c r="A48" s="27" t="s">
        <v>33</v>
      </c>
      <c r="B48" s="57"/>
      <c r="C48" s="57"/>
      <c r="D48" s="11" t="s">
        <v>672</v>
      </c>
      <c r="E48" s="27" t="s">
        <v>673</v>
      </c>
      <c r="F48" s="13"/>
      <c r="G48" s="46">
        <v>44172.48944444444</v>
      </c>
      <c r="I48" s="45" t="s">
        <v>243</v>
      </c>
    </row>
    <row r="49" hidden="1">
      <c r="A49" s="27" t="s">
        <v>33</v>
      </c>
      <c r="B49" s="57"/>
      <c r="C49" s="57"/>
      <c r="D49" s="11" t="s">
        <v>60</v>
      </c>
      <c r="E49" s="27" t="s">
        <v>674</v>
      </c>
      <c r="F49" s="13"/>
      <c r="G49" s="46">
        <v>44172.48952546297</v>
      </c>
      <c r="I49" s="45" t="s">
        <v>243</v>
      </c>
    </row>
    <row r="50" hidden="1">
      <c r="A50" s="27" t="s">
        <v>41</v>
      </c>
      <c r="B50" s="57"/>
      <c r="C50" s="57"/>
      <c r="D50" s="11" t="s">
        <v>60</v>
      </c>
      <c r="E50" s="27" t="s">
        <v>186</v>
      </c>
      <c r="F50" s="13"/>
      <c r="G50" s="46">
        <v>44172.49256944445</v>
      </c>
      <c r="I50" s="45" t="s">
        <v>675</v>
      </c>
    </row>
    <row r="51" hidden="1">
      <c r="A51" s="27" t="s">
        <v>41</v>
      </c>
      <c r="B51" s="57"/>
      <c r="C51" s="57"/>
      <c r="D51" s="11" t="s">
        <v>60</v>
      </c>
      <c r="E51" s="27" t="s">
        <v>117</v>
      </c>
      <c r="F51" s="13"/>
      <c r="G51" s="46">
        <v>44172.492627314816</v>
      </c>
      <c r="I51" s="45" t="s">
        <v>675</v>
      </c>
    </row>
    <row r="52" hidden="1">
      <c r="A52" s="27" t="s">
        <v>41</v>
      </c>
      <c r="B52" s="57"/>
      <c r="C52" s="57"/>
      <c r="D52" s="11" t="s">
        <v>60</v>
      </c>
      <c r="E52" s="27" t="s">
        <v>208</v>
      </c>
      <c r="F52" s="13"/>
      <c r="G52" s="46">
        <v>44172.49267361111</v>
      </c>
      <c r="I52" s="45" t="s">
        <v>675</v>
      </c>
    </row>
    <row r="53" hidden="1">
      <c r="A53" s="27" t="s">
        <v>41</v>
      </c>
      <c r="B53" s="57"/>
      <c r="C53" s="57"/>
      <c r="D53" s="11" t="s">
        <v>60</v>
      </c>
      <c r="E53" s="27" t="s">
        <v>185</v>
      </c>
      <c r="F53" s="13"/>
      <c r="G53" s="46">
        <v>44172.492731481485</v>
      </c>
      <c r="I53" s="45" t="s">
        <v>675</v>
      </c>
    </row>
    <row r="54" hidden="1">
      <c r="A54" s="27" t="s">
        <v>41</v>
      </c>
      <c r="B54" s="57"/>
      <c r="C54" s="57"/>
      <c r="D54" s="11" t="s">
        <v>60</v>
      </c>
      <c r="E54" s="27" t="s">
        <v>121</v>
      </c>
      <c r="F54" s="13"/>
      <c r="G54" s="46">
        <v>44172.49277777778</v>
      </c>
      <c r="I54" s="45" t="s">
        <v>675</v>
      </c>
    </row>
    <row r="55" hidden="1">
      <c r="A55" s="27" t="s">
        <v>41</v>
      </c>
      <c r="B55" s="57"/>
      <c r="C55" s="57"/>
      <c r="D55" s="11" t="s">
        <v>60</v>
      </c>
      <c r="E55" s="27" t="s">
        <v>167</v>
      </c>
      <c r="F55" s="13"/>
      <c r="G55" s="46">
        <v>44172.49283564815</v>
      </c>
      <c r="I55" s="45" t="s">
        <v>675</v>
      </c>
    </row>
    <row r="56" hidden="1">
      <c r="A56" s="27" t="s">
        <v>41</v>
      </c>
      <c r="B56" s="57"/>
      <c r="C56" s="57"/>
      <c r="D56" s="11" t="s">
        <v>61</v>
      </c>
      <c r="E56" s="27" t="s">
        <v>83</v>
      </c>
      <c r="F56" s="27" t="s">
        <v>676</v>
      </c>
      <c r="G56" s="46">
        <v>44172.49288194445</v>
      </c>
      <c r="I56" s="45" t="s">
        <v>675</v>
      </c>
    </row>
    <row r="57">
      <c r="A57" s="27" t="s">
        <v>41</v>
      </c>
      <c r="B57" s="57"/>
      <c r="C57" s="57"/>
      <c r="D57" s="11" t="s">
        <v>62</v>
      </c>
      <c r="E57" s="27" t="s">
        <v>677</v>
      </c>
      <c r="F57" s="13"/>
      <c r="G57" s="46">
        <v>44172.49292824074</v>
      </c>
      <c r="I57" s="45" t="s">
        <v>675</v>
      </c>
    </row>
    <row r="58">
      <c r="A58" s="27" t="s">
        <v>41</v>
      </c>
      <c r="B58" s="57"/>
      <c r="C58" s="57"/>
      <c r="D58" s="11" t="s">
        <v>62</v>
      </c>
      <c r="E58" s="27" t="s">
        <v>678</v>
      </c>
      <c r="F58" s="13"/>
      <c r="G58" s="46">
        <v>44172.49297453704</v>
      </c>
      <c r="I58" s="45" t="s">
        <v>675</v>
      </c>
    </row>
    <row r="59">
      <c r="A59" s="27" t="s">
        <v>41</v>
      </c>
      <c r="B59" s="57"/>
      <c r="C59" s="57"/>
      <c r="D59" s="11" t="s">
        <v>62</v>
      </c>
      <c r="E59" s="27" t="s">
        <v>171</v>
      </c>
      <c r="F59" s="13"/>
      <c r="G59" s="46">
        <v>44172.49300925926</v>
      </c>
      <c r="I59" s="45" t="s">
        <v>675</v>
      </c>
    </row>
    <row r="60">
      <c r="A60" s="27" t="s">
        <v>41</v>
      </c>
      <c r="B60" s="57"/>
      <c r="C60" s="57"/>
      <c r="D60" s="11" t="s">
        <v>62</v>
      </c>
      <c r="E60" s="27" t="s">
        <v>679</v>
      </c>
      <c r="F60" s="13"/>
      <c r="G60" s="46">
        <v>44172.49306712963</v>
      </c>
      <c r="I60" s="45" t="s">
        <v>675</v>
      </c>
    </row>
    <row r="61">
      <c r="A61" s="27" t="s">
        <v>41</v>
      </c>
      <c r="B61" s="57"/>
      <c r="C61" s="57"/>
      <c r="D61" s="11" t="s">
        <v>62</v>
      </c>
      <c r="E61" s="27" t="s">
        <v>680</v>
      </c>
      <c r="F61" s="13"/>
      <c r="G61" s="46">
        <v>44172.493113425924</v>
      </c>
      <c r="I61" s="45" t="s">
        <v>675</v>
      </c>
    </row>
    <row r="62" hidden="1">
      <c r="A62" s="27" t="s">
        <v>41</v>
      </c>
      <c r="B62" s="57"/>
      <c r="C62" s="57"/>
      <c r="D62" s="11" t="s">
        <v>681</v>
      </c>
      <c r="E62" s="27" t="s">
        <v>682</v>
      </c>
      <c r="F62" s="13"/>
      <c r="G62" s="46">
        <v>44172.493159722224</v>
      </c>
      <c r="I62" s="45" t="s">
        <v>675</v>
      </c>
    </row>
    <row r="63" hidden="1">
      <c r="A63" s="27" t="s">
        <v>45</v>
      </c>
      <c r="B63" s="57"/>
      <c r="C63" s="57"/>
      <c r="D63" s="11" t="s">
        <v>61</v>
      </c>
      <c r="E63" s="27" t="s">
        <v>87</v>
      </c>
      <c r="F63" s="27" t="s">
        <v>683</v>
      </c>
      <c r="G63" s="46">
        <v>44172.493796296294</v>
      </c>
      <c r="I63" s="45" t="s">
        <v>684</v>
      </c>
    </row>
    <row r="64" hidden="1">
      <c r="A64" s="27" t="s">
        <v>45</v>
      </c>
      <c r="B64" s="57"/>
      <c r="C64" s="57"/>
      <c r="D64" s="11" t="s">
        <v>672</v>
      </c>
      <c r="E64" s="27" t="s">
        <v>125</v>
      </c>
      <c r="F64" s="13"/>
      <c r="G64" s="46">
        <v>44172.49385416666</v>
      </c>
      <c r="I64" s="45" t="s">
        <v>684</v>
      </c>
    </row>
    <row r="65" hidden="1">
      <c r="A65" s="27" t="s">
        <v>45</v>
      </c>
      <c r="B65" s="57"/>
      <c r="C65" s="57"/>
      <c r="D65" s="11" t="s">
        <v>61</v>
      </c>
      <c r="E65" s="27" t="s">
        <v>97</v>
      </c>
      <c r="F65" s="27" t="s">
        <v>685</v>
      </c>
      <c r="G65" s="46">
        <v>44172.49391203704</v>
      </c>
      <c r="I65" s="45" t="s">
        <v>684</v>
      </c>
    </row>
    <row r="66" hidden="1">
      <c r="A66" s="27" t="s">
        <v>45</v>
      </c>
      <c r="B66" s="57"/>
      <c r="C66" s="57"/>
      <c r="D66" s="11" t="s">
        <v>60</v>
      </c>
      <c r="E66" s="27" t="s">
        <v>686</v>
      </c>
      <c r="F66" s="13"/>
      <c r="G66" s="46">
        <v>44172.49395833333</v>
      </c>
      <c r="I66" s="45" t="s">
        <v>684</v>
      </c>
    </row>
    <row r="67" hidden="1">
      <c r="A67" s="27" t="s">
        <v>45</v>
      </c>
      <c r="B67" s="57"/>
      <c r="C67" s="57"/>
      <c r="D67" s="11" t="s">
        <v>60</v>
      </c>
      <c r="E67" s="27" t="s">
        <v>186</v>
      </c>
      <c r="F67" s="13"/>
      <c r="G67" s="46">
        <v>44172.4940162037</v>
      </c>
      <c r="I67" s="45" t="s">
        <v>684</v>
      </c>
    </row>
    <row r="68" hidden="1">
      <c r="A68" s="27" t="s">
        <v>45</v>
      </c>
      <c r="B68" s="57"/>
      <c r="C68" s="57"/>
      <c r="D68" s="11" t="s">
        <v>60</v>
      </c>
      <c r="E68" s="27" t="s">
        <v>117</v>
      </c>
      <c r="F68" s="13"/>
      <c r="G68" s="46">
        <v>44172.4940625</v>
      </c>
      <c r="I68" s="45" t="s">
        <v>684</v>
      </c>
    </row>
    <row r="69" hidden="1">
      <c r="A69" s="27" t="s">
        <v>45</v>
      </c>
      <c r="B69" s="57"/>
      <c r="C69" s="57"/>
      <c r="D69" s="11" t="s">
        <v>60</v>
      </c>
      <c r="E69" s="27" t="s">
        <v>208</v>
      </c>
      <c r="F69" s="13"/>
      <c r="G69" s="46">
        <v>44172.494108796294</v>
      </c>
      <c r="I69" s="45" t="s">
        <v>684</v>
      </c>
    </row>
    <row r="70" hidden="1">
      <c r="A70" s="27" t="s">
        <v>45</v>
      </c>
      <c r="B70" s="57"/>
      <c r="C70" s="57"/>
      <c r="D70" s="11" t="s">
        <v>60</v>
      </c>
      <c r="E70" s="27" t="s">
        <v>185</v>
      </c>
      <c r="F70" s="13"/>
      <c r="G70" s="46">
        <v>44172.494166666664</v>
      </c>
      <c r="I70" s="45" t="s">
        <v>684</v>
      </c>
    </row>
    <row r="71" hidden="1">
      <c r="A71" s="27" t="s">
        <v>45</v>
      </c>
      <c r="B71" s="57"/>
      <c r="C71" s="57"/>
      <c r="D71" s="11" t="s">
        <v>60</v>
      </c>
      <c r="E71" s="27" t="s">
        <v>121</v>
      </c>
      <c r="F71" s="13"/>
      <c r="G71" s="46">
        <v>44172.49422453704</v>
      </c>
      <c r="I71" s="45" t="s">
        <v>684</v>
      </c>
    </row>
    <row r="72" hidden="1">
      <c r="A72" s="27" t="s">
        <v>45</v>
      </c>
      <c r="B72" s="57"/>
      <c r="C72" s="57"/>
      <c r="D72" s="11" t="s">
        <v>60</v>
      </c>
      <c r="E72" s="27" t="s">
        <v>188</v>
      </c>
      <c r="F72" s="13"/>
      <c r="G72" s="46">
        <v>44172.49427083333</v>
      </c>
      <c r="I72" s="45" t="s">
        <v>684</v>
      </c>
    </row>
    <row r="73" hidden="1">
      <c r="A73" s="27" t="s">
        <v>45</v>
      </c>
      <c r="B73" s="57"/>
      <c r="C73" s="57"/>
      <c r="D73" s="11" t="s">
        <v>681</v>
      </c>
      <c r="E73" s="27" t="s">
        <v>687</v>
      </c>
      <c r="F73" s="13"/>
      <c r="G73" s="46">
        <v>44172.49431712963</v>
      </c>
      <c r="I73" s="45" t="s">
        <v>684</v>
      </c>
    </row>
    <row r="74" hidden="1">
      <c r="A74" s="27" t="s">
        <v>45</v>
      </c>
      <c r="B74" s="57"/>
      <c r="C74" s="57"/>
      <c r="D74" s="11" t="s">
        <v>688</v>
      </c>
      <c r="E74" s="27" t="s">
        <v>689</v>
      </c>
      <c r="F74" s="13"/>
      <c r="G74" s="46">
        <v>44172.494375</v>
      </c>
      <c r="I74" s="45" t="s">
        <v>684</v>
      </c>
    </row>
    <row r="75" hidden="1">
      <c r="A75" s="27" t="s">
        <v>45</v>
      </c>
      <c r="B75" s="57"/>
      <c r="C75" s="57"/>
      <c r="D75" s="11" t="s">
        <v>60</v>
      </c>
      <c r="E75" s="27" t="s">
        <v>186</v>
      </c>
      <c r="F75" s="13"/>
      <c r="G75" s="46">
        <v>44172.494421296295</v>
      </c>
      <c r="I75" s="45" t="s">
        <v>684</v>
      </c>
    </row>
    <row r="76" hidden="1">
      <c r="A76" s="27" t="s">
        <v>45</v>
      </c>
      <c r="B76" s="57"/>
      <c r="C76" s="57"/>
      <c r="D76" s="11" t="s">
        <v>60</v>
      </c>
      <c r="E76" s="27" t="s">
        <v>187</v>
      </c>
      <c r="F76" s="13"/>
      <c r="G76" s="46">
        <v>44172.494479166664</v>
      </c>
      <c r="I76" s="45" t="s">
        <v>684</v>
      </c>
    </row>
    <row r="77" hidden="1">
      <c r="A77" s="27" t="s">
        <v>45</v>
      </c>
      <c r="B77" s="57"/>
      <c r="C77" s="57"/>
      <c r="D77" s="11" t="s">
        <v>60</v>
      </c>
      <c r="E77" s="27" t="s">
        <v>185</v>
      </c>
      <c r="F77" s="13"/>
      <c r="G77" s="46">
        <v>44172.49453703704</v>
      </c>
      <c r="I77" s="45" t="s">
        <v>684</v>
      </c>
    </row>
    <row r="78" hidden="1">
      <c r="A78" s="27" t="s">
        <v>45</v>
      </c>
      <c r="B78" s="57"/>
      <c r="C78" s="57"/>
      <c r="D78" s="11" t="s">
        <v>60</v>
      </c>
      <c r="E78" s="27" t="s">
        <v>177</v>
      </c>
      <c r="F78" s="13"/>
      <c r="G78" s="46">
        <v>44172.49459490741</v>
      </c>
      <c r="I78" s="45" t="s">
        <v>684</v>
      </c>
    </row>
    <row r="79" hidden="1">
      <c r="A79" s="27" t="s">
        <v>45</v>
      </c>
      <c r="B79" s="57"/>
      <c r="C79" s="57"/>
      <c r="D79" s="11" t="s">
        <v>688</v>
      </c>
      <c r="E79" s="27" t="s">
        <v>689</v>
      </c>
      <c r="F79" s="13"/>
      <c r="G79" s="46">
        <v>44172.4946412037</v>
      </c>
      <c r="I79" s="45" t="s">
        <v>684</v>
      </c>
    </row>
    <row r="80" hidden="1">
      <c r="A80" s="27" t="s">
        <v>45</v>
      </c>
      <c r="B80" s="57"/>
      <c r="C80" s="57"/>
      <c r="D80" s="11" t="s">
        <v>63</v>
      </c>
      <c r="E80" s="27" t="s">
        <v>61</v>
      </c>
      <c r="F80" s="13"/>
      <c r="G80" s="46">
        <v>44172.49469907407</v>
      </c>
      <c r="I80" s="45" t="s">
        <v>684</v>
      </c>
    </row>
    <row r="81" hidden="1">
      <c r="A81" s="27" t="s">
        <v>45</v>
      </c>
      <c r="B81" s="57"/>
      <c r="C81" s="57"/>
      <c r="D81" s="11" t="s">
        <v>688</v>
      </c>
      <c r="E81" s="27" t="s">
        <v>689</v>
      </c>
      <c r="F81" s="13"/>
      <c r="G81" s="46">
        <v>44172.49474537037</v>
      </c>
      <c r="I81" s="45" t="s">
        <v>684</v>
      </c>
    </row>
    <row r="82" hidden="1">
      <c r="A82" s="27" t="s">
        <v>45</v>
      </c>
      <c r="B82" s="57"/>
      <c r="C82" s="57"/>
      <c r="D82" s="11" t="s">
        <v>61</v>
      </c>
      <c r="E82" s="27" t="s">
        <v>89</v>
      </c>
      <c r="F82" s="27" t="s">
        <v>690</v>
      </c>
      <c r="G82" s="46">
        <v>44172.494791666664</v>
      </c>
      <c r="I82" s="45" t="s">
        <v>684</v>
      </c>
    </row>
    <row r="83" hidden="1">
      <c r="A83" s="27" t="s">
        <v>45</v>
      </c>
      <c r="B83" s="57"/>
      <c r="C83" s="57"/>
      <c r="D83" s="11" t="s">
        <v>61</v>
      </c>
      <c r="E83" s="27" t="s">
        <v>93</v>
      </c>
      <c r="F83" s="27" t="s">
        <v>691</v>
      </c>
      <c r="G83" s="46">
        <v>44172.494837962964</v>
      </c>
      <c r="I83" s="45" t="s">
        <v>684</v>
      </c>
    </row>
    <row r="84" hidden="1">
      <c r="A84" s="27" t="s">
        <v>45</v>
      </c>
      <c r="B84" s="57"/>
      <c r="C84" s="57"/>
      <c r="D84" s="11" t="s">
        <v>63</v>
      </c>
      <c r="E84" s="27" t="s">
        <v>692</v>
      </c>
      <c r="F84" s="13"/>
      <c r="G84" s="46">
        <v>44172.49488425926</v>
      </c>
      <c r="I84" s="45" t="s">
        <v>684</v>
      </c>
    </row>
    <row r="85" hidden="1">
      <c r="A85" s="27" t="s">
        <v>45</v>
      </c>
      <c r="B85" s="57"/>
      <c r="C85" s="57"/>
      <c r="D85" s="11" t="s">
        <v>688</v>
      </c>
      <c r="E85" s="27" t="s">
        <v>689</v>
      </c>
      <c r="F85" s="13"/>
      <c r="G85" s="46">
        <v>44172.494942129626</v>
      </c>
      <c r="I85" s="45" t="s">
        <v>684</v>
      </c>
    </row>
    <row r="86" hidden="1">
      <c r="A86" s="27" t="s">
        <v>45</v>
      </c>
      <c r="B86" s="57"/>
      <c r="C86" s="57"/>
      <c r="D86" s="11" t="s">
        <v>60</v>
      </c>
      <c r="E86" s="27" t="s">
        <v>693</v>
      </c>
      <c r="F86" s="13"/>
      <c r="G86" s="46">
        <v>44172.494988425926</v>
      </c>
      <c r="I86" s="45" t="s">
        <v>684</v>
      </c>
    </row>
    <row r="87" hidden="1">
      <c r="A87" s="27" t="s">
        <v>45</v>
      </c>
      <c r="B87" s="57"/>
      <c r="C87" s="57"/>
      <c r="D87" s="11" t="s">
        <v>61</v>
      </c>
      <c r="E87" s="27" t="s">
        <v>91</v>
      </c>
      <c r="F87" s="27" t="s">
        <v>691</v>
      </c>
      <c r="G87" s="46">
        <v>44172.495034722226</v>
      </c>
      <c r="I87" s="45" t="s">
        <v>684</v>
      </c>
    </row>
    <row r="88" hidden="1">
      <c r="A88" s="27" t="s">
        <v>45</v>
      </c>
      <c r="B88" s="57"/>
      <c r="C88" s="57"/>
      <c r="D88" s="11" t="s">
        <v>61</v>
      </c>
      <c r="E88" s="27" t="s">
        <v>140</v>
      </c>
      <c r="F88" s="13"/>
      <c r="G88" s="46">
        <v>44172.49508101852</v>
      </c>
      <c r="I88" s="45" t="s">
        <v>684</v>
      </c>
    </row>
    <row r="89" hidden="1">
      <c r="A89" s="27" t="s">
        <v>45</v>
      </c>
      <c r="B89" s="57"/>
      <c r="C89" s="57"/>
      <c r="D89" s="11" t="s">
        <v>688</v>
      </c>
      <c r="E89" s="27" t="s">
        <v>689</v>
      </c>
      <c r="F89" s="13"/>
      <c r="G89" s="46">
        <v>44172.49512731482</v>
      </c>
      <c r="I89" s="45" t="s">
        <v>684</v>
      </c>
    </row>
    <row r="90" hidden="1">
      <c r="A90" s="27" t="s">
        <v>45</v>
      </c>
      <c r="B90" s="57"/>
      <c r="C90" s="57"/>
      <c r="D90" s="11" t="s">
        <v>61</v>
      </c>
      <c r="E90" s="27" t="s">
        <v>694</v>
      </c>
      <c r="F90" s="13"/>
      <c r="G90" s="46">
        <v>44172.49519675926</v>
      </c>
      <c r="I90" s="45" t="s">
        <v>684</v>
      </c>
    </row>
    <row r="91" hidden="1">
      <c r="A91" s="27" t="s">
        <v>45</v>
      </c>
      <c r="B91" s="57"/>
      <c r="C91" s="57"/>
      <c r="D91" s="11" t="s">
        <v>61</v>
      </c>
      <c r="E91" s="27" t="s">
        <v>87</v>
      </c>
      <c r="F91" s="27" t="s">
        <v>683</v>
      </c>
      <c r="G91" s="46">
        <v>44172.498090277775</v>
      </c>
      <c r="I91" s="45" t="s">
        <v>695</v>
      </c>
    </row>
    <row r="92" hidden="1">
      <c r="A92" s="27" t="s">
        <v>45</v>
      </c>
      <c r="B92" s="57"/>
      <c r="C92" s="57"/>
      <c r="D92" s="11" t="s">
        <v>672</v>
      </c>
      <c r="E92" s="27" t="s">
        <v>125</v>
      </c>
      <c r="F92" s="13"/>
      <c r="G92" s="46">
        <v>44172.498148148145</v>
      </c>
      <c r="I92" s="45" t="s">
        <v>695</v>
      </c>
    </row>
    <row r="93" hidden="1">
      <c r="A93" s="27" t="s">
        <v>45</v>
      </c>
      <c r="B93" s="57"/>
      <c r="C93" s="57"/>
      <c r="D93" s="11" t="s">
        <v>61</v>
      </c>
      <c r="E93" s="27" t="s">
        <v>97</v>
      </c>
      <c r="F93" s="27" t="s">
        <v>685</v>
      </c>
      <c r="G93" s="46">
        <v>44172.49820601852</v>
      </c>
      <c r="I93" s="45" t="s">
        <v>695</v>
      </c>
    </row>
    <row r="94" hidden="1">
      <c r="A94" s="27" t="s">
        <v>45</v>
      </c>
      <c r="B94" s="57"/>
      <c r="C94" s="57"/>
      <c r="D94" s="11" t="s">
        <v>60</v>
      </c>
      <c r="E94" s="27" t="s">
        <v>686</v>
      </c>
      <c r="F94" s="13"/>
      <c r="G94" s="46">
        <v>44172.498252314814</v>
      </c>
      <c r="I94" s="45" t="s">
        <v>695</v>
      </c>
    </row>
    <row r="95" hidden="1">
      <c r="A95" s="27" t="s">
        <v>45</v>
      </c>
      <c r="B95" s="57"/>
      <c r="C95" s="57"/>
      <c r="D95" s="11" t="s">
        <v>60</v>
      </c>
      <c r="E95" s="27" t="s">
        <v>186</v>
      </c>
      <c r="F95" s="13"/>
      <c r="G95" s="46">
        <v>44172.49832175926</v>
      </c>
      <c r="I95" s="45" t="s">
        <v>695</v>
      </c>
    </row>
    <row r="96" hidden="1">
      <c r="A96" s="27" t="s">
        <v>45</v>
      </c>
      <c r="B96" s="57"/>
      <c r="C96" s="57"/>
      <c r="D96" s="11" t="s">
        <v>60</v>
      </c>
      <c r="E96" s="27" t="s">
        <v>117</v>
      </c>
      <c r="F96" s="13"/>
      <c r="G96" s="46">
        <v>44172.49836805555</v>
      </c>
      <c r="I96" s="45" t="s">
        <v>695</v>
      </c>
    </row>
    <row r="97" hidden="1">
      <c r="A97" s="27" t="s">
        <v>45</v>
      </c>
      <c r="B97" s="57"/>
      <c r="C97" s="57"/>
      <c r="D97" s="11" t="s">
        <v>60</v>
      </c>
      <c r="E97" s="27" t="s">
        <v>208</v>
      </c>
      <c r="F97" s="13"/>
      <c r="G97" s="46">
        <v>44172.49841435185</v>
      </c>
      <c r="I97" s="45" t="s">
        <v>695</v>
      </c>
    </row>
    <row r="98" hidden="1">
      <c r="A98" s="27" t="s">
        <v>45</v>
      </c>
      <c r="B98" s="57"/>
      <c r="C98" s="57"/>
      <c r="D98" s="11" t="s">
        <v>60</v>
      </c>
      <c r="E98" s="27" t="s">
        <v>185</v>
      </c>
      <c r="F98" s="13"/>
      <c r="G98" s="46">
        <v>44172.498460648145</v>
      </c>
      <c r="I98" s="45" t="s">
        <v>695</v>
      </c>
    </row>
    <row r="99" hidden="1">
      <c r="A99" s="27" t="s">
        <v>45</v>
      </c>
      <c r="B99" s="57"/>
      <c r="C99" s="57"/>
      <c r="D99" s="11" t="s">
        <v>60</v>
      </c>
      <c r="E99" s="27" t="s">
        <v>121</v>
      </c>
      <c r="F99" s="13"/>
      <c r="G99" s="46">
        <v>44172.498506944445</v>
      </c>
      <c r="I99" s="45" t="s">
        <v>695</v>
      </c>
    </row>
    <row r="100" hidden="1">
      <c r="A100" s="27" t="s">
        <v>45</v>
      </c>
      <c r="B100" s="57"/>
      <c r="C100" s="57"/>
      <c r="D100" s="11" t="s">
        <v>60</v>
      </c>
      <c r="E100" s="27" t="s">
        <v>188</v>
      </c>
      <c r="F100" s="13"/>
      <c r="G100" s="46">
        <v>44172.498564814814</v>
      </c>
      <c r="I100" s="45" t="s">
        <v>695</v>
      </c>
    </row>
    <row r="101" hidden="1">
      <c r="A101" s="27" t="s">
        <v>45</v>
      </c>
      <c r="B101" s="57"/>
      <c r="C101" s="57"/>
      <c r="D101" s="11" t="s">
        <v>681</v>
      </c>
      <c r="E101" s="27" t="s">
        <v>687</v>
      </c>
      <c r="F101" s="13"/>
      <c r="G101" s="46">
        <v>44172.49862268518</v>
      </c>
      <c r="I101" s="45" t="s">
        <v>695</v>
      </c>
    </row>
    <row r="102" hidden="1">
      <c r="A102" s="27" t="s">
        <v>45</v>
      </c>
      <c r="B102" s="57"/>
      <c r="C102" s="57"/>
      <c r="D102" s="11" t="s">
        <v>688</v>
      </c>
      <c r="E102" s="27" t="s">
        <v>689</v>
      </c>
      <c r="F102" s="13"/>
      <c r="G102" s="46">
        <v>44172.49869212963</v>
      </c>
      <c r="I102" s="45" t="s">
        <v>695</v>
      </c>
    </row>
    <row r="103" hidden="1">
      <c r="A103" s="27" t="s">
        <v>45</v>
      </c>
      <c r="B103" s="57"/>
      <c r="C103" s="57"/>
      <c r="D103" s="11" t="s">
        <v>60</v>
      </c>
      <c r="E103" s="27" t="s">
        <v>186</v>
      </c>
      <c r="F103" s="13"/>
      <c r="G103" s="46">
        <v>44172.49873842593</v>
      </c>
      <c r="I103" s="45" t="s">
        <v>695</v>
      </c>
    </row>
    <row r="104" hidden="1">
      <c r="A104" s="27" t="s">
        <v>45</v>
      </c>
      <c r="B104" s="57"/>
      <c r="C104" s="57"/>
      <c r="D104" s="11" t="s">
        <v>60</v>
      </c>
      <c r="E104" s="27" t="s">
        <v>187</v>
      </c>
      <c r="F104" s="13"/>
      <c r="G104" s="46">
        <v>44172.49878472222</v>
      </c>
      <c r="I104" s="45" t="s">
        <v>695</v>
      </c>
    </row>
    <row r="105" hidden="1">
      <c r="A105" s="27" t="s">
        <v>45</v>
      </c>
      <c r="B105" s="57"/>
      <c r="C105" s="57"/>
      <c r="D105" s="11" t="s">
        <v>60</v>
      </c>
      <c r="E105" s="27" t="s">
        <v>185</v>
      </c>
      <c r="F105" s="13"/>
      <c r="G105" s="46">
        <v>44172.49883101852</v>
      </c>
      <c r="I105" s="45" t="s">
        <v>695</v>
      </c>
    </row>
    <row r="106" hidden="1">
      <c r="A106" s="27" t="s">
        <v>45</v>
      </c>
      <c r="B106" s="57"/>
      <c r="C106" s="57"/>
      <c r="D106" s="11" t="s">
        <v>60</v>
      </c>
      <c r="E106" s="27" t="s">
        <v>177</v>
      </c>
      <c r="F106" s="13"/>
      <c r="G106" s="46">
        <v>44172.498877314814</v>
      </c>
      <c r="I106" s="45" t="s">
        <v>695</v>
      </c>
    </row>
    <row r="107" hidden="1">
      <c r="A107" s="27" t="s">
        <v>45</v>
      </c>
      <c r="B107" s="57"/>
      <c r="C107" s="57"/>
      <c r="D107" s="11" t="s">
        <v>688</v>
      </c>
      <c r="E107" s="27" t="s">
        <v>689</v>
      </c>
      <c r="F107" s="13"/>
      <c r="G107" s="46">
        <v>44172.49895833333</v>
      </c>
      <c r="I107" s="45" t="s">
        <v>695</v>
      </c>
    </row>
    <row r="108" hidden="1">
      <c r="A108" s="27" t="s">
        <v>45</v>
      </c>
      <c r="B108" s="57"/>
      <c r="C108" s="57"/>
      <c r="D108" s="11" t="s">
        <v>63</v>
      </c>
      <c r="E108" s="27" t="s">
        <v>61</v>
      </c>
      <c r="F108" s="13"/>
      <c r="G108" s="46">
        <v>44172.49901620371</v>
      </c>
      <c r="I108" s="45" t="s">
        <v>695</v>
      </c>
    </row>
    <row r="109" hidden="1">
      <c r="A109" s="27" t="s">
        <v>45</v>
      </c>
      <c r="B109" s="57"/>
      <c r="C109" s="57"/>
      <c r="D109" s="11" t="s">
        <v>688</v>
      </c>
      <c r="E109" s="27" t="s">
        <v>689</v>
      </c>
      <c r="F109" s="13"/>
      <c r="G109" s="46">
        <v>44172.4990625</v>
      </c>
      <c r="I109" s="45" t="s">
        <v>695</v>
      </c>
    </row>
    <row r="110" hidden="1">
      <c r="A110" s="27" t="s">
        <v>45</v>
      </c>
      <c r="B110" s="57"/>
      <c r="C110" s="57"/>
      <c r="D110" s="11" t="s">
        <v>61</v>
      </c>
      <c r="E110" s="27" t="s">
        <v>89</v>
      </c>
      <c r="F110" s="27" t="s">
        <v>690</v>
      </c>
      <c r="G110" s="46">
        <v>44172.4991087963</v>
      </c>
      <c r="I110" s="45" t="s">
        <v>695</v>
      </c>
    </row>
    <row r="111" hidden="1">
      <c r="A111" s="27" t="s">
        <v>45</v>
      </c>
      <c r="B111" s="57"/>
      <c r="C111" s="57"/>
      <c r="D111" s="11" t="s">
        <v>61</v>
      </c>
      <c r="E111" s="27" t="s">
        <v>93</v>
      </c>
      <c r="F111" s="27" t="s">
        <v>691</v>
      </c>
      <c r="G111" s="46">
        <v>44172.49916666667</v>
      </c>
      <c r="I111" s="45" t="s">
        <v>695</v>
      </c>
    </row>
    <row r="112" hidden="1">
      <c r="A112" s="27" t="s">
        <v>45</v>
      </c>
      <c r="B112" s="57"/>
      <c r="C112" s="57"/>
      <c r="D112" s="11" t="s">
        <v>63</v>
      </c>
      <c r="E112" s="27" t="s">
        <v>692</v>
      </c>
      <c r="F112" s="13"/>
      <c r="G112" s="46">
        <v>44172.49922453704</v>
      </c>
      <c r="I112" s="45" t="s">
        <v>695</v>
      </c>
    </row>
    <row r="113" hidden="1">
      <c r="A113" s="27" t="s">
        <v>45</v>
      </c>
      <c r="B113" s="57"/>
      <c r="C113" s="57"/>
      <c r="D113" s="11" t="s">
        <v>688</v>
      </c>
      <c r="E113" s="27" t="s">
        <v>689</v>
      </c>
      <c r="F113" s="13"/>
      <c r="G113" s="46">
        <v>44172.49927083333</v>
      </c>
      <c r="I113" s="45" t="s">
        <v>695</v>
      </c>
    </row>
    <row r="114" hidden="1">
      <c r="A114" s="27" t="s">
        <v>45</v>
      </c>
      <c r="B114" s="57"/>
      <c r="C114" s="57"/>
      <c r="D114" s="11" t="s">
        <v>60</v>
      </c>
      <c r="E114" s="27" t="s">
        <v>693</v>
      </c>
      <c r="F114" s="13"/>
      <c r="G114" s="46">
        <v>44172.49931712963</v>
      </c>
      <c r="I114" s="45" t="s">
        <v>695</v>
      </c>
    </row>
    <row r="115" hidden="1">
      <c r="A115" s="27" t="s">
        <v>45</v>
      </c>
      <c r="B115" s="57"/>
      <c r="C115" s="57"/>
      <c r="D115" s="11" t="s">
        <v>61</v>
      </c>
      <c r="E115" s="27" t="s">
        <v>91</v>
      </c>
      <c r="F115" s="27" t="s">
        <v>691</v>
      </c>
      <c r="G115" s="46">
        <v>44172.49936342592</v>
      </c>
      <c r="I115" s="45" t="s">
        <v>695</v>
      </c>
    </row>
    <row r="116" hidden="1">
      <c r="A116" s="27" t="s">
        <v>45</v>
      </c>
      <c r="B116" s="57"/>
      <c r="C116" s="57"/>
      <c r="D116" s="11" t="s">
        <v>61</v>
      </c>
      <c r="E116" s="27" t="s">
        <v>140</v>
      </c>
      <c r="F116" s="13"/>
      <c r="G116" s="46">
        <v>44172.49940972222</v>
      </c>
      <c r="I116" s="45" t="s">
        <v>695</v>
      </c>
    </row>
    <row r="117" hidden="1">
      <c r="A117" s="27" t="s">
        <v>45</v>
      </c>
      <c r="B117" s="57"/>
      <c r="C117" s="57"/>
      <c r="D117" s="11" t="s">
        <v>688</v>
      </c>
      <c r="E117" s="27" t="s">
        <v>689</v>
      </c>
      <c r="F117" s="13"/>
      <c r="G117" s="46">
        <v>44172.499456018515</v>
      </c>
      <c r="I117" s="45" t="s">
        <v>695</v>
      </c>
    </row>
    <row r="118" hidden="1">
      <c r="A118" s="27" t="s">
        <v>45</v>
      </c>
      <c r="B118" s="57"/>
      <c r="C118" s="57"/>
      <c r="D118" s="11" t="s">
        <v>61</v>
      </c>
      <c r="E118" s="27" t="s">
        <v>694</v>
      </c>
      <c r="F118" s="13"/>
      <c r="G118" s="46">
        <v>44172.49953703704</v>
      </c>
      <c r="I118" s="45" t="s">
        <v>695</v>
      </c>
    </row>
    <row r="119" hidden="1">
      <c r="A119" s="27" t="s">
        <v>45</v>
      </c>
      <c r="B119" s="57"/>
      <c r="C119" s="57"/>
      <c r="D119" s="11" t="s">
        <v>61</v>
      </c>
      <c r="E119" s="27" t="s">
        <v>95</v>
      </c>
      <c r="F119" s="13"/>
      <c r="G119" s="46">
        <v>44172.50056712963</v>
      </c>
      <c r="I119" s="45" t="s">
        <v>696</v>
      </c>
    </row>
    <row r="120" hidden="1">
      <c r="A120" s="27" t="s">
        <v>45</v>
      </c>
      <c r="B120" s="57"/>
      <c r="C120" s="57"/>
      <c r="D120" s="11" t="s">
        <v>61</v>
      </c>
      <c r="E120" s="27" t="s">
        <v>697</v>
      </c>
      <c r="F120" s="27" t="s">
        <v>698</v>
      </c>
      <c r="G120" s="46">
        <v>44172.50157407407</v>
      </c>
      <c r="I120" s="45" t="s">
        <v>256</v>
      </c>
    </row>
    <row r="121" hidden="1">
      <c r="A121" s="27" t="s">
        <v>45</v>
      </c>
      <c r="B121" s="57"/>
      <c r="C121" s="57"/>
      <c r="D121" s="11" t="s">
        <v>61</v>
      </c>
      <c r="E121" s="27" t="s">
        <v>699</v>
      </c>
      <c r="F121" s="27" t="s">
        <v>667</v>
      </c>
      <c r="G121" s="46">
        <v>44172.50163194445</v>
      </c>
      <c r="I121" s="45" t="s">
        <v>256</v>
      </c>
    </row>
    <row r="122" hidden="1">
      <c r="A122" s="27" t="s">
        <v>45</v>
      </c>
      <c r="B122" s="57"/>
      <c r="C122" s="57"/>
      <c r="D122" s="11" t="s">
        <v>61</v>
      </c>
      <c r="E122" s="27" t="s">
        <v>99</v>
      </c>
      <c r="F122" s="27" t="s">
        <v>667</v>
      </c>
      <c r="G122" s="46">
        <v>44172.50167824074</v>
      </c>
      <c r="I122" s="45" t="s">
        <v>256</v>
      </c>
    </row>
    <row r="123" hidden="1">
      <c r="A123" s="27" t="s">
        <v>49</v>
      </c>
      <c r="B123" s="57"/>
      <c r="C123" s="57"/>
      <c r="D123" s="11" t="s">
        <v>61</v>
      </c>
      <c r="E123" s="27" t="s">
        <v>101</v>
      </c>
      <c r="F123" s="27" t="s">
        <v>667</v>
      </c>
      <c r="G123" s="46">
        <v>44172.50271990741</v>
      </c>
      <c r="I123" s="45" t="s">
        <v>700</v>
      </c>
    </row>
    <row r="124">
      <c r="A124" s="27" t="s">
        <v>49</v>
      </c>
      <c r="B124" s="57"/>
      <c r="C124" s="57"/>
      <c r="D124" s="11" t="s">
        <v>62</v>
      </c>
      <c r="E124" s="27" t="s">
        <v>668</v>
      </c>
      <c r="F124" s="13"/>
      <c r="G124" s="46">
        <v>44172.504270833335</v>
      </c>
      <c r="I124" s="45" t="s">
        <v>260</v>
      </c>
    </row>
    <row r="125" hidden="1">
      <c r="A125" s="27" t="s">
        <v>49</v>
      </c>
      <c r="B125" s="57"/>
      <c r="C125" s="57"/>
      <c r="D125" s="11" t="s">
        <v>60</v>
      </c>
      <c r="E125" s="27" t="s">
        <v>701</v>
      </c>
      <c r="F125" s="13"/>
      <c r="G125" s="46">
        <v>44172.504328703704</v>
      </c>
      <c r="I125" s="45" t="s">
        <v>260</v>
      </c>
    </row>
    <row r="126" hidden="1">
      <c r="A126" s="27" t="s">
        <v>49</v>
      </c>
      <c r="B126" s="57"/>
      <c r="C126" s="57"/>
      <c r="D126" s="11" t="s">
        <v>60</v>
      </c>
      <c r="E126" s="27" t="s">
        <v>670</v>
      </c>
      <c r="F126" s="13"/>
      <c r="G126" s="46">
        <v>44172.504375</v>
      </c>
      <c r="I126" s="45" t="s">
        <v>260</v>
      </c>
    </row>
    <row r="127" hidden="1">
      <c r="A127" s="27" t="s">
        <v>49</v>
      </c>
      <c r="B127" s="57"/>
      <c r="C127" s="57"/>
      <c r="D127" s="11" t="s">
        <v>672</v>
      </c>
      <c r="E127" s="27" t="s">
        <v>673</v>
      </c>
      <c r="F127" s="13"/>
      <c r="G127" s="46">
        <v>44172.5044212963</v>
      </c>
      <c r="I127" s="45" t="s">
        <v>260</v>
      </c>
    </row>
    <row r="128" hidden="1">
      <c r="A128" s="27" t="s">
        <v>49</v>
      </c>
      <c r="B128" s="57"/>
      <c r="C128" s="57"/>
      <c r="D128" s="11" t="s">
        <v>60</v>
      </c>
      <c r="E128" s="27" t="s">
        <v>674</v>
      </c>
      <c r="F128" s="13"/>
      <c r="G128" s="46">
        <v>44172.50446759259</v>
      </c>
      <c r="I128" s="45" t="s">
        <v>260</v>
      </c>
    </row>
    <row r="129" hidden="1">
      <c r="A129" s="27" t="s">
        <v>26</v>
      </c>
      <c r="D129" s="11" t="s">
        <v>61</v>
      </c>
      <c r="E129" s="57" t="s">
        <v>95</v>
      </c>
      <c r="G129" s="49">
        <v>44173.461493055554</v>
      </c>
      <c r="I129" s="45" t="s">
        <v>702</v>
      </c>
    </row>
    <row r="130" hidden="1">
      <c r="A130" s="27" t="s">
        <v>26</v>
      </c>
      <c r="D130" s="11" t="s">
        <v>61</v>
      </c>
      <c r="E130" s="57" t="s">
        <v>94</v>
      </c>
      <c r="G130" s="49">
        <v>44173.46208333333</v>
      </c>
      <c r="I130" s="45" t="s">
        <v>703</v>
      </c>
    </row>
    <row r="131" hidden="1">
      <c r="A131" s="27" t="s">
        <v>26</v>
      </c>
      <c r="D131" s="11" t="s">
        <v>61</v>
      </c>
      <c r="E131" s="57" t="s">
        <v>95</v>
      </c>
      <c r="G131" s="49">
        <v>44173.48440972222</v>
      </c>
      <c r="I131" s="45" t="s">
        <v>702</v>
      </c>
    </row>
    <row r="132" hidden="1">
      <c r="A132" s="27" t="s">
        <v>26</v>
      </c>
      <c r="D132" s="11" t="s">
        <v>61</v>
      </c>
      <c r="E132" s="57" t="s">
        <v>94</v>
      </c>
      <c r="G132" s="49">
        <v>44173.48504629629</v>
      </c>
      <c r="I132" s="45" t="s">
        <v>703</v>
      </c>
    </row>
    <row r="133" hidden="1">
      <c r="A133" s="27" t="s">
        <v>26</v>
      </c>
      <c r="D133" s="11" t="s">
        <v>61</v>
      </c>
      <c r="E133" s="57" t="s">
        <v>94</v>
      </c>
      <c r="G133" s="49">
        <v>44173.48568287037</v>
      </c>
      <c r="I133" s="45" t="s">
        <v>704</v>
      </c>
    </row>
    <row r="134" hidden="1">
      <c r="A134" s="27" t="s">
        <v>33</v>
      </c>
      <c r="D134" s="11" t="s">
        <v>61</v>
      </c>
      <c r="E134" s="57" t="s">
        <v>705</v>
      </c>
      <c r="G134" s="49">
        <v>44173.4875</v>
      </c>
      <c r="I134" s="45" t="s">
        <v>706</v>
      </c>
    </row>
    <row r="135" hidden="1">
      <c r="A135" s="27" t="s">
        <v>33</v>
      </c>
      <c r="D135" s="11" t="s">
        <v>61</v>
      </c>
      <c r="E135" s="57" t="s">
        <v>707</v>
      </c>
      <c r="G135" s="49">
        <v>44173.487546296295</v>
      </c>
      <c r="I135" s="45" t="s">
        <v>706</v>
      </c>
    </row>
    <row r="136" hidden="1">
      <c r="A136" s="27" t="s">
        <v>33</v>
      </c>
      <c r="D136" s="11" t="s">
        <v>61</v>
      </c>
      <c r="E136" s="57" t="s">
        <v>708</v>
      </c>
      <c r="G136" s="49">
        <v>44173.487592592595</v>
      </c>
      <c r="I136" s="45" t="s">
        <v>706</v>
      </c>
    </row>
    <row r="137" hidden="1">
      <c r="A137" s="27" t="s">
        <v>33</v>
      </c>
      <c r="D137" s="11" t="s">
        <v>61</v>
      </c>
      <c r="E137" s="57" t="s">
        <v>709</v>
      </c>
      <c r="G137" s="49">
        <v>44173.48763888889</v>
      </c>
      <c r="I137" s="45" t="s">
        <v>706</v>
      </c>
    </row>
    <row r="138" hidden="1">
      <c r="A138" s="27" t="s">
        <v>33</v>
      </c>
      <c r="D138" s="11" t="s">
        <v>688</v>
      </c>
      <c r="E138" s="57" t="s">
        <v>689</v>
      </c>
      <c r="G138" s="49">
        <v>44173.48768518519</v>
      </c>
      <c r="I138" s="45" t="s">
        <v>706</v>
      </c>
    </row>
    <row r="139" hidden="1">
      <c r="A139" s="27" t="s">
        <v>33</v>
      </c>
      <c r="D139" s="11" t="s">
        <v>681</v>
      </c>
      <c r="G139" s="49">
        <v>44173.48873842593</v>
      </c>
      <c r="I139" s="45" t="s">
        <v>710</v>
      </c>
    </row>
    <row r="140" hidden="1">
      <c r="A140" s="27" t="s">
        <v>33</v>
      </c>
      <c r="D140" s="11" t="s">
        <v>60</v>
      </c>
      <c r="E140" s="57" t="s">
        <v>186</v>
      </c>
      <c r="G140" s="49">
        <v>44173.4887962963</v>
      </c>
      <c r="I140" s="45" t="s">
        <v>710</v>
      </c>
    </row>
    <row r="141" hidden="1">
      <c r="A141" s="27" t="s">
        <v>33</v>
      </c>
      <c r="D141" s="11" t="s">
        <v>60</v>
      </c>
      <c r="E141" s="57" t="s">
        <v>117</v>
      </c>
      <c r="G141" s="49">
        <v>44173.48884259259</v>
      </c>
      <c r="I141" s="45" t="s">
        <v>710</v>
      </c>
    </row>
    <row r="142" hidden="1">
      <c r="A142" s="27" t="s">
        <v>33</v>
      </c>
      <c r="D142" s="11" t="s">
        <v>60</v>
      </c>
      <c r="E142" s="57" t="s">
        <v>208</v>
      </c>
      <c r="G142" s="49">
        <v>44173.48888888889</v>
      </c>
      <c r="I142" s="45" t="s">
        <v>710</v>
      </c>
    </row>
    <row r="143" hidden="1">
      <c r="A143" s="27" t="s">
        <v>33</v>
      </c>
      <c r="D143" s="11" t="s">
        <v>60</v>
      </c>
      <c r="E143" s="57" t="s">
        <v>185</v>
      </c>
      <c r="G143" s="49">
        <v>44173.48893518518</v>
      </c>
      <c r="I143" s="45" t="s">
        <v>710</v>
      </c>
    </row>
    <row r="144" hidden="1">
      <c r="A144" s="27" t="s">
        <v>33</v>
      </c>
      <c r="D144" s="11" t="s">
        <v>60</v>
      </c>
      <c r="E144" s="57" t="s">
        <v>121</v>
      </c>
      <c r="G144" s="49">
        <v>44173.48898148148</v>
      </c>
      <c r="I144" s="45" t="s">
        <v>710</v>
      </c>
    </row>
    <row r="145">
      <c r="A145" s="27" t="s">
        <v>33</v>
      </c>
      <c r="D145" s="11" t="s">
        <v>62</v>
      </c>
      <c r="G145" s="49">
        <v>44173.48902777778</v>
      </c>
      <c r="I145" s="45" t="s">
        <v>710</v>
      </c>
    </row>
    <row r="146">
      <c r="A146" s="27" t="s">
        <v>33</v>
      </c>
      <c r="D146" s="11" t="s">
        <v>62</v>
      </c>
      <c r="G146" s="49">
        <v>44173.489074074074</v>
      </c>
      <c r="I146" s="45" t="s">
        <v>710</v>
      </c>
    </row>
    <row r="147" hidden="1">
      <c r="A147" s="27" t="s">
        <v>33</v>
      </c>
      <c r="D147" s="11" t="s">
        <v>60</v>
      </c>
      <c r="E147" s="57" t="s">
        <v>711</v>
      </c>
      <c r="G147" s="49">
        <v>44173.489120370374</v>
      </c>
      <c r="I147" s="45" t="s">
        <v>710</v>
      </c>
    </row>
    <row r="148" hidden="1">
      <c r="A148" s="27" t="s">
        <v>33</v>
      </c>
      <c r="D148" s="11" t="s">
        <v>61</v>
      </c>
      <c r="E148" s="57" t="s">
        <v>95</v>
      </c>
      <c r="G148" s="49">
        <v>44173.490219907406</v>
      </c>
      <c r="I148" s="45" t="s">
        <v>712</v>
      </c>
    </row>
    <row r="149" hidden="1">
      <c r="A149" s="27" t="s">
        <v>36</v>
      </c>
      <c r="D149" s="11" t="s">
        <v>60</v>
      </c>
      <c r="E149" s="57" t="s">
        <v>149</v>
      </c>
      <c r="G149" s="49">
        <v>44173.49487268519</v>
      </c>
      <c r="I149" s="45" t="s">
        <v>713</v>
      </c>
    </row>
    <row r="150">
      <c r="A150" s="27" t="s">
        <v>36</v>
      </c>
      <c r="D150" s="11" t="s">
        <v>62</v>
      </c>
      <c r="G150" s="49">
        <v>44173.49493055556</v>
      </c>
      <c r="I150" s="45" t="s">
        <v>713</v>
      </c>
    </row>
    <row r="151" hidden="1">
      <c r="A151" s="27" t="s">
        <v>37</v>
      </c>
      <c r="D151" s="11" t="s">
        <v>61</v>
      </c>
      <c r="E151" s="57" t="s">
        <v>95</v>
      </c>
      <c r="G151" s="49">
        <v>44173.49648148148</v>
      </c>
      <c r="I151" s="45" t="s">
        <v>714</v>
      </c>
    </row>
    <row r="152" hidden="1">
      <c r="A152" s="27" t="s">
        <v>41</v>
      </c>
      <c r="D152" s="11" t="s">
        <v>60</v>
      </c>
      <c r="E152" s="57" t="s">
        <v>186</v>
      </c>
      <c r="G152" s="49">
        <v>44173.49818287037</v>
      </c>
      <c r="I152" s="45" t="s">
        <v>675</v>
      </c>
    </row>
    <row r="153" hidden="1">
      <c r="A153" s="27" t="s">
        <v>41</v>
      </c>
      <c r="D153" s="11" t="s">
        <v>60</v>
      </c>
      <c r="E153" s="57" t="s">
        <v>117</v>
      </c>
      <c r="G153" s="49">
        <v>44173.498240740744</v>
      </c>
      <c r="I153" s="45" t="s">
        <v>675</v>
      </c>
    </row>
    <row r="154" hidden="1">
      <c r="A154" s="27" t="s">
        <v>41</v>
      </c>
      <c r="D154" s="11" t="s">
        <v>60</v>
      </c>
      <c r="E154" s="57" t="s">
        <v>208</v>
      </c>
      <c r="G154" s="49">
        <v>44173.49828703704</v>
      </c>
      <c r="I154" s="45" t="s">
        <v>675</v>
      </c>
    </row>
    <row r="155" hidden="1">
      <c r="A155" s="27" t="s">
        <v>41</v>
      </c>
      <c r="D155" s="11" t="s">
        <v>60</v>
      </c>
      <c r="E155" s="57" t="s">
        <v>185</v>
      </c>
      <c r="G155" s="49">
        <v>44173.49833333334</v>
      </c>
      <c r="I155" s="45" t="s">
        <v>675</v>
      </c>
    </row>
    <row r="156" hidden="1">
      <c r="A156" s="27" t="s">
        <v>41</v>
      </c>
      <c r="D156" s="11" t="s">
        <v>60</v>
      </c>
      <c r="E156" s="57" t="s">
        <v>121</v>
      </c>
      <c r="G156" s="49">
        <v>44173.49837962963</v>
      </c>
      <c r="I156" s="45" t="s">
        <v>675</v>
      </c>
    </row>
    <row r="157" hidden="1">
      <c r="A157" s="27" t="s">
        <v>41</v>
      </c>
      <c r="D157" s="11" t="s">
        <v>60</v>
      </c>
      <c r="E157" s="57" t="s">
        <v>167</v>
      </c>
      <c r="G157" s="49">
        <v>44173.49842592593</v>
      </c>
      <c r="I157" s="45" t="s">
        <v>675</v>
      </c>
    </row>
    <row r="158" hidden="1">
      <c r="A158" s="27" t="s">
        <v>41</v>
      </c>
      <c r="D158" s="11" t="s">
        <v>61</v>
      </c>
      <c r="E158" s="57" t="s">
        <v>83</v>
      </c>
      <c r="G158" s="49">
        <v>44173.49847222222</v>
      </c>
      <c r="I158" s="45" t="s">
        <v>675</v>
      </c>
    </row>
    <row r="159">
      <c r="A159" s="27" t="s">
        <v>41</v>
      </c>
      <c r="D159" s="11" t="s">
        <v>62</v>
      </c>
      <c r="G159" s="49">
        <v>44173.49853009259</v>
      </c>
      <c r="I159" s="45" t="s">
        <v>675</v>
      </c>
    </row>
    <row r="160">
      <c r="A160" s="27" t="s">
        <v>41</v>
      </c>
      <c r="D160" s="11" t="s">
        <v>62</v>
      </c>
      <c r="G160" s="49">
        <v>44173.49858796296</v>
      </c>
      <c r="I160" s="45" t="s">
        <v>675</v>
      </c>
    </row>
    <row r="161">
      <c r="A161" s="27" t="s">
        <v>41</v>
      </c>
      <c r="D161" s="11" t="s">
        <v>62</v>
      </c>
      <c r="G161" s="49">
        <v>44173.49863425926</v>
      </c>
      <c r="I161" s="45" t="s">
        <v>675</v>
      </c>
    </row>
    <row r="162">
      <c r="A162" s="27" t="s">
        <v>41</v>
      </c>
      <c r="D162" s="11" t="s">
        <v>62</v>
      </c>
      <c r="G162" s="49">
        <v>44173.49869212963</v>
      </c>
      <c r="I162" s="45" t="s">
        <v>675</v>
      </c>
    </row>
    <row r="163">
      <c r="A163" s="27" t="s">
        <v>41</v>
      </c>
      <c r="D163" s="11" t="s">
        <v>62</v>
      </c>
      <c r="G163" s="49">
        <v>44173.49875</v>
      </c>
      <c r="I163" s="45" t="s">
        <v>675</v>
      </c>
    </row>
    <row r="164" hidden="1">
      <c r="A164" s="27" t="s">
        <v>41</v>
      </c>
      <c r="D164" s="11" t="s">
        <v>681</v>
      </c>
      <c r="G164" s="49">
        <v>44173.4987962963</v>
      </c>
      <c r="I164" s="45" t="s">
        <v>675</v>
      </c>
    </row>
    <row r="165" hidden="1">
      <c r="A165" s="27" t="s">
        <v>42</v>
      </c>
      <c r="D165" s="11" t="s">
        <v>60</v>
      </c>
      <c r="E165" s="57" t="s">
        <v>122</v>
      </c>
      <c r="G165" s="49">
        <v>44173.49940972222</v>
      </c>
      <c r="I165" s="45" t="s">
        <v>715</v>
      </c>
    </row>
    <row r="166" hidden="1">
      <c r="A166" s="27" t="s">
        <v>42</v>
      </c>
      <c r="D166" s="11" t="s">
        <v>60</v>
      </c>
      <c r="E166" s="57" t="s">
        <v>194</v>
      </c>
      <c r="G166" s="49">
        <v>44173.499456018515</v>
      </c>
      <c r="I166" s="45" t="s">
        <v>715</v>
      </c>
    </row>
    <row r="167" hidden="1">
      <c r="A167" s="27" t="s">
        <v>42</v>
      </c>
      <c r="D167" s="11" t="s">
        <v>61</v>
      </c>
      <c r="E167" s="57" t="s">
        <v>166</v>
      </c>
      <c r="G167" s="49">
        <v>44173.499502314815</v>
      </c>
      <c r="I167" s="45" t="s">
        <v>715</v>
      </c>
    </row>
    <row r="168" hidden="1">
      <c r="A168" s="27" t="s">
        <v>42</v>
      </c>
      <c r="D168" s="11" t="s">
        <v>61</v>
      </c>
      <c r="E168" s="57" t="s">
        <v>206</v>
      </c>
      <c r="G168" s="49">
        <v>44173.499560185184</v>
      </c>
      <c r="I168" s="45" t="s">
        <v>715</v>
      </c>
    </row>
    <row r="169" hidden="1">
      <c r="A169" s="27" t="s">
        <v>26</v>
      </c>
      <c r="B169" s="62" t="str">
        <f>hyperlink("https://au.indeed.com/viewjob?from=iaBackPress&amp;jk=97b87860f90a1eaf&amp;vjs=3","Mechanical Engineer")</f>
        <v>Mechanical Engineer</v>
      </c>
      <c r="D169" s="11" t="s">
        <v>61</v>
      </c>
      <c r="E169" s="57" t="s">
        <v>262</v>
      </c>
      <c r="G169" s="46">
        <v>44173.5005787037</v>
      </c>
      <c r="I169" s="45" t="s">
        <v>702</v>
      </c>
    </row>
    <row r="170" hidden="1">
      <c r="A170" s="27" t="s">
        <v>45</v>
      </c>
      <c r="D170" s="11" t="s">
        <v>61</v>
      </c>
      <c r="E170" s="57" t="s">
        <v>95</v>
      </c>
      <c r="G170" s="49">
        <v>44173.50247685185</v>
      </c>
      <c r="I170" s="45" t="s">
        <v>696</v>
      </c>
    </row>
    <row r="171" hidden="1">
      <c r="A171" s="27" t="s">
        <v>45</v>
      </c>
      <c r="D171" s="11" t="s">
        <v>61</v>
      </c>
      <c r="E171" s="57" t="s">
        <v>87</v>
      </c>
      <c r="G171" s="49">
        <v>44173.50461805556</v>
      </c>
      <c r="I171" s="45" t="s">
        <v>684</v>
      </c>
    </row>
    <row r="172" hidden="1">
      <c r="A172" s="27" t="s">
        <v>45</v>
      </c>
      <c r="D172" s="11" t="s">
        <v>672</v>
      </c>
      <c r="G172" s="49">
        <v>44173.50466435185</v>
      </c>
      <c r="I172" s="45" t="s">
        <v>684</v>
      </c>
    </row>
    <row r="173" hidden="1">
      <c r="A173" s="27" t="s">
        <v>45</v>
      </c>
      <c r="D173" s="11" t="s">
        <v>61</v>
      </c>
      <c r="E173" s="57" t="s">
        <v>97</v>
      </c>
      <c r="G173" s="49">
        <v>44173.50472222222</v>
      </c>
      <c r="I173" s="45" t="s">
        <v>684</v>
      </c>
    </row>
    <row r="174" hidden="1">
      <c r="A174" s="27" t="s">
        <v>45</v>
      </c>
      <c r="D174" s="11" t="s">
        <v>60</v>
      </c>
      <c r="E174" s="57" t="s">
        <v>686</v>
      </c>
      <c r="G174" s="49">
        <v>44173.50478009259</v>
      </c>
      <c r="I174" s="45" t="s">
        <v>684</v>
      </c>
    </row>
    <row r="175" hidden="1">
      <c r="A175" s="27" t="s">
        <v>45</v>
      </c>
      <c r="D175" s="11" t="s">
        <v>60</v>
      </c>
      <c r="E175" s="57" t="s">
        <v>186</v>
      </c>
      <c r="G175" s="49">
        <v>44173.50482638889</v>
      </c>
      <c r="I175" s="45" t="s">
        <v>684</v>
      </c>
    </row>
    <row r="176" hidden="1">
      <c r="A176" s="27" t="s">
        <v>45</v>
      </c>
      <c r="D176" s="11" t="s">
        <v>60</v>
      </c>
      <c r="E176" s="57" t="s">
        <v>117</v>
      </c>
      <c r="G176" s="49">
        <v>44173.50487268518</v>
      </c>
      <c r="I176" s="45" t="s">
        <v>684</v>
      </c>
    </row>
    <row r="177" hidden="1">
      <c r="A177" s="27" t="s">
        <v>45</v>
      </c>
      <c r="D177" s="11" t="s">
        <v>60</v>
      </c>
      <c r="E177" s="57" t="s">
        <v>208</v>
      </c>
      <c r="G177" s="49">
        <v>44173.50491898148</v>
      </c>
      <c r="I177" s="45" t="s">
        <v>684</v>
      </c>
    </row>
    <row r="178" hidden="1">
      <c r="A178" s="27" t="s">
        <v>45</v>
      </c>
      <c r="D178" s="11" t="s">
        <v>60</v>
      </c>
      <c r="E178" s="57" t="s">
        <v>185</v>
      </c>
      <c r="G178" s="49">
        <v>44173.50497685185</v>
      </c>
      <c r="I178" s="45" t="s">
        <v>684</v>
      </c>
    </row>
    <row r="179" hidden="1">
      <c r="A179" s="27" t="s">
        <v>45</v>
      </c>
      <c r="D179" s="11" t="s">
        <v>60</v>
      </c>
      <c r="E179" s="57" t="s">
        <v>121</v>
      </c>
      <c r="G179" s="49">
        <v>44173.50502314815</v>
      </c>
      <c r="I179" s="45" t="s">
        <v>684</v>
      </c>
    </row>
    <row r="180" hidden="1">
      <c r="A180" s="27" t="s">
        <v>45</v>
      </c>
      <c r="D180" s="11" t="s">
        <v>60</v>
      </c>
      <c r="E180" s="57" t="s">
        <v>188</v>
      </c>
      <c r="G180" s="49">
        <v>44173.50506944444</v>
      </c>
      <c r="I180" s="45" t="s">
        <v>684</v>
      </c>
    </row>
    <row r="181" hidden="1">
      <c r="A181" s="27" t="s">
        <v>45</v>
      </c>
      <c r="D181" s="11" t="s">
        <v>681</v>
      </c>
      <c r="G181" s="49">
        <v>44173.50512731481</v>
      </c>
      <c r="I181" s="45" t="s">
        <v>684</v>
      </c>
    </row>
    <row r="182" hidden="1">
      <c r="A182" s="27" t="s">
        <v>45</v>
      </c>
      <c r="D182" s="11" t="s">
        <v>688</v>
      </c>
      <c r="E182" s="57" t="s">
        <v>689</v>
      </c>
      <c r="G182" s="49">
        <v>44173.50518518518</v>
      </c>
      <c r="I182" s="45" t="s">
        <v>684</v>
      </c>
    </row>
    <row r="183" hidden="1">
      <c r="A183" s="27" t="s">
        <v>45</v>
      </c>
      <c r="D183" s="11" t="s">
        <v>60</v>
      </c>
      <c r="E183" s="57" t="s">
        <v>186</v>
      </c>
      <c r="G183" s="49">
        <v>44173.50523148148</v>
      </c>
      <c r="I183" s="45" t="s">
        <v>684</v>
      </c>
    </row>
    <row r="184" hidden="1">
      <c r="A184" s="27" t="s">
        <v>45</v>
      </c>
      <c r="D184" s="11" t="s">
        <v>60</v>
      </c>
      <c r="E184" s="57" t="s">
        <v>187</v>
      </c>
      <c r="G184" s="49">
        <v>44173.505277777775</v>
      </c>
      <c r="I184" s="45" t="s">
        <v>684</v>
      </c>
    </row>
    <row r="185" hidden="1">
      <c r="A185" s="27" t="s">
        <v>45</v>
      </c>
      <c r="D185" s="11" t="s">
        <v>60</v>
      </c>
      <c r="E185" s="57" t="s">
        <v>185</v>
      </c>
      <c r="G185" s="49">
        <v>44173.50534722222</v>
      </c>
      <c r="I185" s="45" t="s">
        <v>684</v>
      </c>
    </row>
    <row r="186" hidden="1">
      <c r="A186" s="27" t="s">
        <v>45</v>
      </c>
      <c r="D186" s="11" t="s">
        <v>60</v>
      </c>
      <c r="E186" s="57" t="s">
        <v>177</v>
      </c>
      <c r="G186" s="49">
        <v>44173.50539351852</v>
      </c>
      <c r="I186" s="45" t="s">
        <v>684</v>
      </c>
    </row>
    <row r="187" hidden="1">
      <c r="A187" s="27" t="s">
        <v>45</v>
      </c>
      <c r="D187" s="11" t="s">
        <v>688</v>
      </c>
      <c r="E187" s="57" t="s">
        <v>689</v>
      </c>
      <c r="G187" s="49">
        <v>44173.50545138889</v>
      </c>
      <c r="I187" s="45" t="s">
        <v>684</v>
      </c>
    </row>
    <row r="188" hidden="1">
      <c r="A188" s="27" t="s">
        <v>45</v>
      </c>
      <c r="D188" s="11" t="s">
        <v>63</v>
      </c>
      <c r="E188" s="57" t="s">
        <v>61</v>
      </c>
      <c r="G188" s="49">
        <v>44173.50549768518</v>
      </c>
      <c r="I188" s="45" t="s">
        <v>684</v>
      </c>
    </row>
    <row r="189" hidden="1">
      <c r="A189" s="27" t="s">
        <v>45</v>
      </c>
      <c r="D189" s="11" t="s">
        <v>688</v>
      </c>
      <c r="E189" s="57" t="s">
        <v>689</v>
      </c>
      <c r="G189" s="49">
        <v>44173.50555555556</v>
      </c>
      <c r="I189" s="45" t="s">
        <v>684</v>
      </c>
    </row>
    <row r="190" hidden="1">
      <c r="A190" s="27" t="s">
        <v>45</v>
      </c>
      <c r="D190" s="11" t="s">
        <v>61</v>
      </c>
      <c r="E190" s="57" t="s">
        <v>89</v>
      </c>
      <c r="G190" s="49">
        <v>44173.50560185185</v>
      </c>
      <c r="I190" s="45" t="s">
        <v>684</v>
      </c>
    </row>
    <row r="191" hidden="1">
      <c r="A191" s="27" t="s">
        <v>45</v>
      </c>
      <c r="D191" s="11" t="s">
        <v>61</v>
      </c>
      <c r="E191" s="57" t="s">
        <v>93</v>
      </c>
      <c r="G191" s="49">
        <v>44173.50564814815</v>
      </c>
      <c r="I191" s="45" t="s">
        <v>684</v>
      </c>
    </row>
    <row r="192" hidden="1">
      <c r="A192" s="27" t="s">
        <v>45</v>
      </c>
      <c r="D192" s="11" t="s">
        <v>63</v>
      </c>
      <c r="E192" s="57" t="s">
        <v>692</v>
      </c>
      <c r="G192" s="49">
        <v>44173.505694444444</v>
      </c>
      <c r="I192" s="45" t="s">
        <v>684</v>
      </c>
    </row>
    <row r="193" hidden="1">
      <c r="A193" s="27" t="s">
        <v>45</v>
      </c>
      <c r="D193" s="11" t="s">
        <v>688</v>
      </c>
      <c r="E193" s="57" t="s">
        <v>689</v>
      </c>
      <c r="G193" s="49">
        <v>44173.505740740744</v>
      </c>
      <c r="I193" s="45" t="s">
        <v>684</v>
      </c>
    </row>
    <row r="194" hidden="1">
      <c r="A194" s="27" t="s">
        <v>45</v>
      </c>
      <c r="D194" s="11" t="s">
        <v>60</v>
      </c>
      <c r="E194" s="57" t="s">
        <v>693</v>
      </c>
      <c r="G194" s="49">
        <v>44173.50581018518</v>
      </c>
      <c r="I194" s="45" t="s">
        <v>684</v>
      </c>
    </row>
    <row r="195" hidden="1">
      <c r="A195" s="27" t="s">
        <v>45</v>
      </c>
      <c r="D195" s="11" t="s">
        <v>61</v>
      </c>
      <c r="E195" s="57" t="s">
        <v>91</v>
      </c>
      <c r="G195" s="49">
        <v>44173.50585648148</v>
      </c>
      <c r="I195" s="45" t="s">
        <v>684</v>
      </c>
    </row>
    <row r="196" hidden="1">
      <c r="A196" s="27" t="s">
        <v>45</v>
      </c>
      <c r="D196" s="11" t="s">
        <v>61</v>
      </c>
      <c r="E196" s="57" t="s">
        <v>140</v>
      </c>
      <c r="G196" s="49">
        <v>44173.505902777775</v>
      </c>
      <c r="I196" s="45" t="s">
        <v>684</v>
      </c>
    </row>
    <row r="197" hidden="1">
      <c r="A197" s="27" t="s">
        <v>45</v>
      </c>
      <c r="D197" s="11" t="s">
        <v>688</v>
      </c>
      <c r="E197" s="57" t="s">
        <v>689</v>
      </c>
      <c r="G197" s="49">
        <v>44173.505960648145</v>
      </c>
      <c r="I197" s="45" t="s">
        <v>684</v>
      </c>
    </row>
    <row r="198" hidden="1">
      <c r="A198" s="27" t="s">
        <v>45</v>
      </c>
      <c r="D198" s="11" t="s">
        <v>61</v>
      </c>
      <c r="E198" s="57" t="s">
        <v>694</v>
      </c>
      <c r="G198" s="49">
        <v>44173.506006944444</v>
      </c>
      <c r="I198" s="45" t="s">
        <v>684</v>
      </c>
    </row>
    <row r="199" hidden="1">
      <c r="A199" s="27" t="s">
        <v>45</v>
      </c>
      <c r="D199" s="11" t="s">
        <v>61</v>
      </c>
      <c r="E199" s="57" t="s">
        <v>95</v>
      </c>
      <c r="G199" s="49">
        <v>44173.506631944445</v>
      </c>
      <c r="I199" s="45" t="s">
        <v>716</v>
      </c>
    </row>
    <row r="200" hidden="1">
      <c r="A200" s="27" t="s">
        <v>45</v>
      </c>
      <c r="D200" s="11" t="s">
        <v>61</v>
      </c>
      <c r="E200" s="57" t="s">
        <v>717</v>
      </c>
      <c r="G200" s="49">
        <v>44173.506689814814</v>
      </c>
      <c r="I200" s="45" t="s">
        <v>716</v>
      </c>
    </row>
    <row r="201" hidden="1">
      <c r="A201" s="27" t="s">
        <v>26</v>
      </c>
      <c r="B201" s="62" t="str">
        <f>hyperlink("https://au.indeed.com/viewjob?from=iaBackPress&amp;jk=97b87860f90a1eaf&amp;vjs=3","Mechanical Engineer")</f>
        <v>Mechanical Engineer</v>
      </c>
      <c r="D201" s="11" t="s">
        <v>61</v>
      </c>
      <c r="E201" s="57" t="s">
        <v>718</v>
      </c>
      <c r="F201" s="27" t="s">
        <v>719</v>
      </c>
      <c r="G201" s="49">
        <v>44173.50890046296</v>
      </c>
    </row>
    <row r="202">
      <c r="A202" s="27" t="s">
        <v>49</v>
      </c>
      <c r="D202" s="11" t="s">
        <v>62</v>
      </c>
      <c r="G202" s="49">
        <v>44173.51449074074</v>
      </c>
      <c r="I202" s="45" t="s">
        <v>720</v>
      </c>
    </row>
    <row r="203" hidden="1">
      <c r="A203" s="27" t="s">
        <v>49</v>
      </c>
      <c r="D203" s="11" t="s">
        <v>61</v>
      </c>
      <c r="E203" s="57" t="s">
        <v>721</v>
      </c>
      <c r="G203" s="49">
        <v>44173.514548611114</v>
      </c>
      <c r="I203" s="45" t="s">
        <v>720</v>
      </c>
    </row>
    <row r="204" hidden="1">
      <c r="A204" s="27" t="s">
        <v>49</v>
      </c>
      <c r="D204" s="11" t="s">
        <v>60</v>
      </c>
      <c r="E204" s="57" t="s">
        <v>722</v>
      </c>
      <c r="G204" s="49">
        <v>44173.51459490741</v>
      </c>
      <c r="I204" s="45" t="s">
        <v>720</v>
      </c>
    </row>
    <row r="205" hidden="1">
      <c r="A205" s="27" t="s">
        <v>49</v>
      </c>
      <c r="D205" s="11" t="s">
        <v>61</v>
      </c>
      <c r="E205" s="57" t="s">
        <v>110</v>
      </c>
      <c r="G205" s="49">
        <v>44173.514652777776</v>
      </c>
      <c r="I205" s="45" t="s">
        <v>720</v>
      </c>
    </row>
    <row r="206" hidden="1">
      <c r="A206" s="27" t="s">
        <v>49</v>
      </c>
      <c r="D206" s="11" t="s">
        <v>61</v>
      </c>
      <c r="E206" s="57" t="s">
        <v>205</v>
      </c>
      <c r="G206" s="49">
        <v>44173.514710648145</v>
      </c>
      <c r="I206" s="45" t="s">
        <v>720</v>
      </c>
    </row>
    <row r="207" hidden="1">
      <c r="A207" s="27" t="s">
        <v>49</v>
      </c>
      <c r="D207" s="11" t="s">
        <v>61</v>
      </c>
      <c r="E207" s="57" t="s">
        <v>136</v>
      </c>
      <c r="G207" s="49">
        <v>44173.514756944445</v>
      </c>
      <c r="I207" s="45" t="s">
        <v>720</v>
      </c>
    </row>
    <row r="208" hidden="1">
      <c r="A208" s="27" t="s">
        <v>49</v>
      </c>
      <c r="D208" s="11" t="s">
        <v>60</v>
      </c>
      <c r="E208" s="57" t="s">
        <v>723</v>
      </c>
      <c r="G208" s="49">
        <v>44173.51480324074</v>
      </c>
      <c r="I208" s="45" t="s">
        <v>720</v>
      </c>
    </row>
    <row r="209" hidden="1">
      <c r="A209" s="27" t="s">
        <v>49</v>
      </c>
      <c r="D209" s="11" t="s">
        <v>61</v>
      </c>
      <c r="E209" s="57" t="s">
        <v>137</v>
      </c>
      <c r="G209" s="49">
        <v>44173.51484953704</v>
      </c>
      <c r="I209" s="45" t="s">
        <v>720</v>
      </c>
    </row>
    <row r="210" hidden="1">
      <c r="A210" s="27" t="s">
        <v>49</v>
      </c>
      <c r="D210" s="11" t="s">
        <v>60</v>
      </c>
      <c r="E210" s="57" t="s">
        <v>724</v>
      </c>
      <c r="G210" s="49">
        <v>44173.51490740741</v>
      </c>
      <c r="I210" s="45" t="s">
        <v>720</v>
      </c>
    </row>
    <row r="211" hidden="1">
      <c r="A211" s="27" t="s">
        <v>49</v>
      </c>
      <c r="D211" s="11" t="s">
        <v>688</v>
      </c>
      <c r="E211" s="57" t="s">
        <v>689</v>
      </c>
      <c r="G211" s="49">
        <v>44173.51495370371</v>
      </c>
      <c r="I211" s="45" t="s">
        <v>720</v>
      </c>
    </row>
    <row r="212" hidden="1">
      <c r="A212" s="27" t="s">
        <v>49</v>
      </c>
      <c r="D212" s="11" t="s">
        <v>688</v>
      </c>
      <c r="E212" s="57" t="s">
        <v>689</v>
      </c>
      <c r="G212" s="49">
        <v>44173.515</v>
      </c>
      <c r="I212" s="45" t="s">
        <v>720</v>
      </c>
    </row>
    <row r="213">
      <c r="A213" s="27" t="s">
        <v>49</v>
      </c>
      <c r="D213" s="11" t="s">
        <v>62</v>
      </c>
      <c r="G213" s="49">
        <v>44173.51505787037</v>
      </c>
      <c r="I213" s="45" t="s">
        <v>720</v>
      </c>
    </row>
    <row r="214" hidden="1">
      <c r="A214" s="27" t="s">
        <v>49</v>
      </c>
      <c r="D214" s="11" t="s">
        <v>688</v>
      </c>
      <c r="E214" s="57" t="s">
        <v>689</v>
      </c>
      <c r="G214" s="49">
        <v>44173.51510416667</v>
      </c>
      <c r="I214" s="45" t="s">
        <v>720</v>
      </c>
    </row>
    <row r="215" hidden="1">
      <c r="A215" s="27" t="s">
        <v>26</v>
      </c>
      <c r="B215" s="62" t="str">
        <f>hyperlink("https://au.indeed.com/viewjob?from=iaBackPress&amp;jk=97b87860f90a1eaf&amp;vjs=3","Mechanical Engineer")</f>
        <v>Mechanical Engineer</v>
      </c>
      <c r="D215" s="11" t="s">
        <v>61</v>
      </c>
      <c r="E215" s="57" t="s">
        <v>718</v>
      </c>
      <c r="F215" s="27" t="s">
        <v>719</v>
      </c>
      <c r="G215" s="49">
        <v>44173.51513888889</v>
      </c>
    </row>
    <row r="216" hidden="1">
      <c r="A216" s="27" t="s">
        <v>49</v>
      </c>
      <c r="D216" s="11" t="s">
        <v>61</v>
      </c>
      <c r="E216" s="57" t="s">
        <v>109</v>
      </c>
      <c r="G216" s="49">
        <v>44173.51572916667</v>
      </c>
      <c r="I216" s="45" t="s">
        <v>725</v>
      </c>
    </row>
    <row r="217" hidden="1">
      <c r="A217" s="27" t="s">
        <v>49</v>
      </c>
      <c r="D217" s="11" t="s">
        <v>61</v>
      </c>
      <c r="E217" s="57" t="s">
        <v>726</v>
      </c>
      <c r="G217" s="49">
        <v>44173.51678240741</v>
      </c>
      <c r="I217" s="45" t="s">
        <v>304</v>
      </c>
    </row>
    <row r="218" hidden="1">
      <c r="A218" s="27" t="s">
        <v>49</v>
      </c>
      <c r="D218" s="11" t="s">
        <v>61</v>
      </c>
      <c r="E218" s="57" t="s">
        <v>727</v>
      </c>
      <c r="G218" s="49">
        <v>44173.5168287037</v>
      </c>
      <c r="I218" s="45" t="s">
        <v>304</v>
      </c>
    </row>
    <row r="219" hidden="1">
      <c r="A219" s="27" t="s">
        <v>49</v>
      </c>
      <c r="D219" s="11" t="s">
        <v>60</v>
      </c>
      <c r="E219" s="57" t="s">
        <v>728</v>
      </c>
      <c r="G219" s="49">
        <v>44173.51688657407</v>
      </c>
      <c r="I219" s="45" t="s">
        <v>304</v>
      </c>
    </row>
    <row r="220" hidden="1">
      <c r="A220" s="27" t="s">
        <v>49</v>
      </c>
      <c r="D220" s="11" t="s">
        <v>60</v>
      </c>
      <c r="E220" s="57" t="s">
        <v>729</v>
      </c>
      <c r="G220" s="49">
        <v>44173.51694444445</v>
      </c>
      <c r="I220" s="45" t="s">
        <v>304</v>
      </c>
    </row>
    <row r="221" hidden="1">
      <c r="A221" s="27" t="s">
        <v>33</v>
      </c>
      <c r="B221" s="62" t="str">
        <f>hyperlink("https://au.indeed.com/viewjob?from=iaBackPress&amp;jk=627c606995cd76ec&amp;vjs=3","FPGA Design Engineer")</f>
        <v>FPGA Design Engineer</v>
      </c>
      <c r="D221" s="11" t="s">
        <v>61</v>
      </c>
      <c r="E221" s="57" t="s">
        <v>730</v>
      </c>
      <c r="F221" s="27"/>
      <c r="G221" s="49">
        <v>44173.51697916666</v>
      </c>
    </row>
    <row r="222" hidden="1">
      <c r="A222" s="27" t="s">
        <v>49</v>
      </c>
      <c r="D222" s="11" t="s">
        <v>61</v>
      </c>
      <c r="E222" s="57" t="s">
        <v>731</v>
      </c>
      <c r="G222" s="49">
        <v>44173.51699074074</v>
      </c>
      <c r="I222" s="45" t="s">
        <v>304</v>
      </c>
    </row>
    <row r="223" hidden="1">
      <c r="A223" s="27" t="s">
        <v>33</v>
      </c>
      <c r="B223" s="62" t="str">
        <f>hyperlink("https://au.indeed.com/viewjob?from=iaBackPress&amp;jk=627c606995cd76ec&amp;vjs=3","FPGA Design Engineer")</f>
        <v>FPGA Design Engineer</v>
      </c>
      <c r="D223" s="11" t="s">
        <v>61</v>
      </c>
      <c r="E223" s="57" t="s">
        <v>730</v>
      </c>
      <c r="F223" s="27" t="s">
        <v>667</v>
      </c>
      <c r="G223" s="49">
        <v>44173.51703703704</v>
      </c>
    </row>
    <row r="224" hidden="1">
      <c r="A224" s="27" t="s">
        <v>49</v>
      </c>
      <c r="D224" s="11" t="s">
        <v>61</v>
      </c>
      <c r="E224" s="57" t="s">
        <v>732</v>
      </c>
      <c r="G224" s="49">
        <v>44173.51704861111</v>
      </c>
      <c r="I224" s="45" t="s">
        <v>304</v>
      </c>
    </row>
    <row r="225" hidden="1">
      <c r="A225" s="27" t="s">
        <v>33</v>
      </c>
      <c r="B225" s="62" t="str">
        <f>hyperlink("https://au.indeed.com/viewjob?from=iaBackPress&amp;jk=627c606995cd76ec&amp;vjs=3","FPGA Design Engineer")</f>
        <v>FPGA Design Engineer</v>
      </c>
      <c r="D225" s="11" t="s">
        <v>61</v>
      </c>
      <c r="E225" s="57" t="s">
        <v>730</v>
      </c>
      <c r="F225" s="27"/>
      <c r="G225" s="49">
        <v>44173.51709490741</v>
      </c>
    </row>
    <row r="226" hidden="1">
      <c r="A226" s="27" t="s">
        <v>49</v>
      </c>
      <c r="D226" s="11" t="s">
        <v>61</v>
      </c>
      <c r="E226" s="57" t="s">
        <v>733</v>
      </c>
      <c r="G226" s="49">
        <v>44173.51710648148</v>
      </c>
      <c r="I226" s="45" t="s">
        <v>304</v>
      </c>
    </row>
    <row r="227" hidden="1">
      <c r="A227" s="27" t="s">
        <v>33</v>
      </c>
      <c r="B227" s="62" t="str">
        <f>hyperlink("https://au.indeed.com/viewjob?from=iaBackPress&amp;jk=627c606995cd76ec&amp;vjs=3","FPGA Design Engineer")</f>
        <v>FPGA Design Engineer</v>
      </c>
      <c r="D227" s="11" t="s">
        <v>61</v>
      </c>
      <c r="E227" s="57" t="s">
        <v>730</v>
      </c>
      <c r="F227" s="27"/>
      <c r="G227" s="49">
        <v>44173.5171412037</v>
      </c>
    </row>
    <row r="228" hidden="1">
      <c r="A228" s="27" t="s">
        <v>49</v>
      </c>
      <c r="D228" s="11" t="s">
        <v>688</v>
      </c>
      <c r="E228" s="57" t="s">
        <v>689</v>
      </c>
      <c r="G228" s="49">
        <v>44173.51715277778</v>
      </c>
      <c r="I228" s="45" t="s">
        <v>304</v>
      </c>
    </row>
    <row r="229" hidden="1">
      <c r="A229" s="27" t="s">
        <v>33</v>
      </c>
      <c r="B229" s="62" t="str">
        <f>hyperlink("https://au.indeed.com/viewjob?from=iaBackPress&amp;jk=627c606995cd76ec&amp;vjs=3","FPGA Design Engineer")</f>
        <v>FPGA Design Engineer</v>
      </c>
      <c r="D229" s="11" t="s">
        <v>688</v>
      </c>
      <c r="E229" s="57" t="s">
        <v>730</v>
      </c>
      <c r="F229" s="27"/>
      <c r="G229" s="49">
        <v>44173.51719907407</v>
      </c>
    </row>
    <row r="230" hidden="1">
      <c r="A230" s="27" t="s">
        <v>49</v>
      </c>
      <c r="D230" s="11" t="s">
        <v>688</v>
      </c>
      <c r="E230" s="57" t="s">
        <v>689</v>
      </c>
      <c r="G230" s="49">
        <v>44173.51719907407</v>
      </c>
      <c r="I230" s="45" t="s">
        <v>304</v>
      </c>
    </row>
    <row r="231" hidden="1">
      <c r="A231" s="27" t="s">
        <v>33</v>
      </c>
      <c r="B231" s="62" t="str">
        <f t="shared" ref="B231:B239" si="1"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D231" s="11" t="s">
        <v>681</v>
      </c>
      <c r="E231" s="57" t="s">
        <v>734</v>
      </c>
      <c r="F231" s="27"/>
      <c r="G231" s="49">
        <v>44173.5177662037</v>
      </c>
    </row>
    <row r="232" hidden="1">
      <c r="A232" s="27" t="s">
        <v>33</v>
      </c>
      <c r="B232" s="62" t="str">
        <f t="shared" si="1"/>
        <v>Lead Substation Design Engineer Transmission scale - (Electrical Engineer)</v>
      </c>
      <c r="D232" s="11" t="s">
        <v>60</v>
      </c>
      <c r="E232" s="57" t="s">
        <v>734</v>
      </c>
      <c r="F232" s="27"/>
      <c r="G232" s="49">
        <v>44173.51782407407</v>
      </c>
    </row>
    <row r="233" hidden="1">
      <c r="A233" s="27" t="s">
        <v>33</v>
      </c>
      <c r="B233" s="62" t="str">
        <f t="shared" si="1"/>
        <v>Lead Substation Design Engineer Transmission scale - (Electrical Engineer)</v>
      </c>
      <c r="D233" s="11" t="s">
        <v>60</v>
      </c>
      <c r="E233" s="57" t="s">
        <v>734</v>
      </c>
      <c r="F233" s="27"/>
      <c r="G233" s="49">
        <v>44173.51789351852</v>
      </c>
    </row>
    <row r="234" hidden="1">
      <c r="A234" s="27" t="s">
        <v>33</v>
      </c>
      <c r="B234" s="62" t="str">
        <f t="shared" si="1"/>
        <v>Lead Substation Design Engineer Transmission scale - (Electrical Engineer)</v>
      </c>
      <c r="D234" s="11" t="s">
        <v>60</v>
      </c>
      <c r="E234" s="57" t="s">
        <v>734</v>
      </c>
      <c r="F234" s="27"/>
      <c r="G234" s="49">
        <v>44173.51795138889</v>
      </c>
    </row>
    <row r="235" hidden="1">
      <c r="A235" s="27" t="s">
        <v>33</v>
      </c>
      <c r="B235" s="62" t="str">
        <f t="shared" si="1"/>
        <v>Lead Substation Design Engineer Transmission scale - (Electrical Engineer)</v>
      </c>
      <c r="D235" s="11" t="s">
        <v>60</v>
      </c>
      <c r="E235" s="57" t="s">
        <v>734</v>
      </c>
      <c r="F235" s="27"/>
      <c r="G235" s="49">
        <v>44173.518009259256</v>
      </c>
    </row>
    <row r="236" hidden="1">
      <c r="A236" s="27" t="s">
        <v>33</v>
      </c>
      <c r="B236" s="62" t="str">
        <f t="shared" si="1"/>
        <v>Lead Substation Design Engineer Transmission scale - (Electrical Engineer)</v>
      </c>
      <c r="D236" s="11" t="s">
        <v>60</v>
      </c>
      <c r="E236" s="57" t="s">
        <v>734</v>
      </c>
      <c r="F236" s="27"/>
      <c r="G236" s="49">
        <v>44173.5180787037</v>
      </c>
    </row>
    <row r="237">
      <c r="A237" s="27" t="s">
        <v>33</v>
      </c>
      <c r="B237" s="62" t="str">
        <f t="shared" si="1"/>
        <v>Lead Substation Design Engineer Transmission scale - (Electrical Engineer)</v>
      </c>
      <c r="D237" s="11" t="s">
        <v>62</v>
      </c>
      <c r="E237" s="57" t="s">
        <v>734</v>
      </c>
      <c r="F237" s="27"/>
      <c r="G237" s="49">
        <v>44173.518125</v>
      </c>
    </row>
    <row r="238">
      <c r="A238" s="27" t="s">
        <v>33</v>
      </c>
      <c r="B238" s="62" t="str">
        <f t="shared" si="1"/>
        <v>Lead Substation Design Engineer Transmission scale - (Electrical Engineer)</v>
      </c>
      <c r="D238" s="11" t="s">
        <v>62</v>
      </c>
      <c r="E238" s="57" t="s">
        <v>734</v>
      </c>
      <c r="F238" s="27"/>
      <c r="G238" s="49">
        <v>44173.51818287037</v>
      </c>
    </row>
    <row r="239" hidden="1">
      <c r="A239" s="27" t="s">
        <v>33</v>
      </c>
      <c r="B239" s="62" t="str">
        <f t="shared" si="1"/>
        <v>Lead Substation Design Engineer Transmission scale - (Electrical Engineer)</v>
      </c>
      <c r="D239" s="11" t="s">
        <v>60</v>
      </c>
      <c r="E239" s="57" t="s">
        <v>734</v>
      </c>
      <c r="F239" s="27"/>
      <c r="G239" s="49">
        <v>44173.51825231482</v>
      </c>
    </row>
    <row r="240" hidden="1">
      <c r="A240" s="27" t="s">
        <v>49</v>
      </c>
      <c r="D240" s="11" t="s">
        <v>61</v>
      </c>
      <c r="E240" s="57" t="s">
        <v>109</v>
      </c>
      <c r="G240" s="49">
        <v>44173.51971064815</v>
      </c>
      <c r="I240" s="45" t="s">
        <v>735</v>
      </c>
    </row>
    <row r="241" hidden="1">
      <c r="A241" s="27" t="s">
        <v>49</v>
      </c>
      <c r="D241" s="11" t="s">
        <v>61</v>
      </c>
      <c r="E241" s="57" t="s">
        <v>101</v>
      </c>
      <c r="G241" s="49">
        <v>44173.52028935185</v>
      </c>
      <c r="I241" s="45" t="s">
        <v>700</v>
      </c>
    </row>
    <row r="242" hidden="1">
      <c r="A242" s="27" t="s">
        <v>50</v>
      </c>
      <c r="D242" s="11" t="s">
        <v>61</v>
      </c>
      <c r="E242" s="57" t="s">
        <v>736</v>
      </c>
      <c r="G242" s="49">
        <v>44173.5243287037</v>
      </c>
      <c r="I242" s="45" t="s">
        <v>312</v>
      </c>
    </row>
    <row r="243" hidden="1">
      <c r="A243" s="27" t="s">
        <v>50</v>
      </c>
      <c r="D243" s="11" t="s">
        <v>60</v>
      </c>
      <c r="E243" s="57" t="s">
        <v>737</v>
      </c>
      <c r="G243" s="49">
        <v>44173.52438657408</v>
      </c>
      <c r="I243" s="45" t="s">
        <v>312</v>
      </c>
    </row>
    <row r="244" hidden="1">
      <c r="A244" s="27" t="s">
        <v>50</v>
      </c>
      <c r="D244" s="11" t="s">
        <v>61</v>
      </c>
      <c r="E244" s="57" t="s">
        <v>736</v>
      </c>
      <c r="G244" s="49">
        <v>44173.52490740741</v>
      </c>
      <c r="I244" s="45" t="s">
        <v>313</v>
      </c>
    </row>
    <row r="245" hidden="1">
      <c r="A245" s="27" t="s">
        <v>50</v>
      </c>
      <c r="D245" s="11" t="s">
        <v>60</v>
      </c>
      <c r="E245" s="57" t="s">
        <v>737</v>
      </c>
      <c r="G245" s="49">
        <v>44173.5249537037</v>
      </c>
      <c r="I245" s="45" t="s">
        <v>313</v>
      </c>
    </row>
    <row r="246" hidden="1">
      <c r="A246" s="27" t="s">
        <v>26</v>
      </c>
      <c r="B246" s="62" t="str">
        <f t="shared" ref="B246:B247" si="2">hyperlink("https://au.indeed.com/viewjob?from=iaBackPress&amp;jk=97b87860f90a1eaf&amp;vjs=3","Mechanical Engineer")</f>
        <v>Mechanical Engineer</v>
      </c>
      <c r="C246" s="57" t="s">
        <v>718</v>
      </c>
      <c r="D246" s="11" t="s">
        <v>61</v>
      </c>
      <c r="E246" s="27" t="s">
        <v>95</v>
      </c>
      <c r="F246" s="27" t="s">
        <v>719</v>
      </c>
      <c r="G246" s="49">
        <v>44173.721030092594</v>
      </c>
    </row>
    <row r="247" hidden="1">
      <c r="A247" s="27" t="s">
        <v>26</v>
      </c>
      <c r="B247" s="62" t="str">
        <f t="shared" si="2"/>
        <v>Mechanical Engineer</v>
      </c>
      <c r="C247" s="57" t="s">
        <v>718</v>
      </c>
      <c r="D247" s="11" t="s">
        <v>61</v>
      </c>
      <c r="E247" s="27" t="s">
        <v>95</v>
      </c>
      <c r="F247" s="27" t="s">
        <v>719</v>
      </c>
      <c r="G247" s="49">
        <v>44173.949224537035</v>
      </c>
    </row>
    <row r="248" hidden="1">
      <c r="A248" s="27" t="s">
        <v>26</v>
      </c>
      <c r="B248" s="62" t="str">
        <f>hyperlink("https://au.indeed.com/viewjob?from=iaBackPress&amp;jk=b3a323a3b47fca8d&amp;vjs=3","Mechanical Engineer Submariner")</f>
        <v>Mechanical Engineer Submariner</v>
      </c>
      <c r="C248" s="57" t="s">
        <v>327</v>
      </c>
      <c r="D248" s="11" t="s">
        <v>61</v>
      </c>
      <c r="E248" s="27" t="s">
        <v>94</v>
      </c>
      <c r="F248" s="27" t="s">
        <v>691</v>
      </c>
      <c r="G248" s="49">
        <v>44173.9496875</v>
      </c>
      <c r="I248" s="49"/>
    </row>
    <row r="249" hidden="1">
      <c r="A249" s="27" t="s">
        <v>26</v>
      </c>
      <c r="B249" s="62" t="str">
        <f>hyperlink("https://au.indeed.com/viewjob?from=iaBackPress&amp;jk=c4e076f51cd11864&amp;vjs=3","Mechanical Engineer - Defence University Sponsorship")</f>
        <v>Mechanical Engineer - Defence University Sponsorship</v>
      </c>
      <c r="C249" s="57" t="s">
        <v>327</v>
      </c>
      <c r="D249" s="11" t="s">
        <v>61</v>
      </c>
      <c r="E249" s="27" t="s">
        <v>94</v>
      </c>
      <c r="F249" s="27" t="s">
        <v>691</v>
      </c>
      <c r="G249" s="49">
        <v>44173.95018518518</v>
      </c>
      <c r="I249" s="49"/>
    </row>
    <row r="250" hidden="1">
      <c r="A250" s="27" t="s">
        <v>33</v>
      </c>
      <c r="B250" s="62" t="str">
        <f t="shared" ref="B250:B259" si="3">hyperlink("https://au.indeed.com/viewjob?from=iaBackPress&amp;jk=627c606995cd76ec&amp;vjs=3","FPGA Design Engineer")</f>
        <v>FPGA Design Engineer</v>
      </c>
      <c r="C250" s="57" t="s">
        <v>730</v>
      </c>
      <c r="D250" s="11" t="s">
        <v>61</v>
      </c>
      <c r="E250" s="27" t="s">
        <v>738</v>
      </c>
      <c r="F250" s="27"/>
      <c r="G250" s="49">
        <v>44173.951215277775</v>
      </c>
      <c r="I250" s="49"/>
    </row>
    <row r="251" hidden="1">
      <c r="A251" s="27" t="s">
        <v>33</v>
      </c>
      <c r="B251" s="62" t="str">
        <f t="shared" si="3"/>
        <v>FPGA Design Engineer</v>
      </c>
      <c r="C251" s="57" t="s">
        <v>730</v>
      </c>
      <c r="D251" s="11" t="s">
        <v>61</v>
      </c>
      <c r="E251" s="27" t="s">
        <v>707</v>
      </c>
      <c r="F251" s="27" t="s">
        <v>667</v>
      </c>
      <c r="G251" s="49">
        <v>44173.951261574075</v>
      </c>
      <c r="I251" s="49"/>
    </row>
    <row r="252" hidden="1">
      <c r="A252" s="27" t="s">
        <v>33</v>
      </c>
      <c r="B252" s="62" t="str">
        <f t="shared" si="3"/>
        <v>FPGA Design Engineer</v>
      </c>
      <c r="C252" s="57" t="s">
        <v>730</v>
      </c>
      <c r="D252" s="11" t="s">
        <v>61</v>
      </c>
      <c r="E252" s="27" t="s">
        <v>135</v>
      </c>
      <c r="F252" s="27"/>
      <c r="G252" s="49">
        <v>44173.95130787037</v>
      </c>
      <c r="I252" s="49"/>
    </row>
    <row r="253" hidden="1">
      <c r="A253" s="27" t="s">
        <v>33</v>
      </c>
      <c r="B253" s="62" t="str">
        <f t="shared" si="3"/>
        <v>FPGA Design Engineer</v>
      </c>
      <c r="C253" s="57" t="s">
        <v>730</v>
      </c>
      <c r="D253" s="11" t="s">
        <v>61</v>
      </c>
      <c r="E253" s="27" t="s">
        <v>184</v>
      </c>
      <c r="F253" s="27"/>
      <c r="G253" s="49">
        <v>44173.95135416667</v>
      </c>
      <c r="I253" s="49"/>
    </row>
    <row r="254" hidden="1">
      <c r="A254" s="27" t="s">
        <v>33</v>
      </c>
      <c r="B254" s="62" t="str">
        <f t="shared" si="3"/>
        <v>FPGA Design Engineer</v>
      </c>
      <c r="C254" s="57" t="s">
        <v>730</v>
      </c>
      <c r="D254" s="11" t="s">
        <v>688</v>
      </c>
      <c r="E254" s="27" t="s">
        <v>739</v>
      </c>
      <c r="F254" s="27"/>
      <c r="G254" s="49">
        <v>44173.95140046296</v>
      </c>
      <c r="I254" s="49"/>
    </row>
    <row r="255" hidden="1">
      <c r="A255" s="27" t="s">
        <v>33</v>
      </c>
      <c r="B255" s="62" t="str">
        <f t="shared" si="3"/>
        <v>FPGA Design Engineer</v>
      </c>
      <c r="C255" s="57" t="s">
        <v>730</v>
      </c>
      <c r="D255" s="11" t="s">
        <v>61</v>
      </c>
      <c r="E255" s="27" t="s">
        <v>738</v>
      </c>
      <c r="F255" s="27"/>
      <c r="G255" s="63">
        <v>44174.50181712963</v>
      </c>
      <c r="H255" s="49"/>
      <c r="I255" s="49"/>
    </row>
    <row r="256" hidden="1">
      <c r="A256" s="27" t="s">
        <v>33</v>
      </c>
      <c r="B256" s="62" t="str">
        <f t="shared" si="3"/>
        <v>FPGA Design Engineer</v>
      </c>
      <c r="C256" s="57" t="s">
        <v>730</v>
      </c>
      <c r="D256" s="11" t="s">
        <v>61</v>
      </c>
      <c r="E256" s="27" t="s">
        <v>707</v>
      </c>
      <c r="F256" s="27" t="s">
        <v>667</v>
      </c>
      <c r="G256" s="63">
        <v>44174.501875</v>
      </c>
      <c r="H256" s="49"/>
      <c r="I256" s="49"/>
    </row>
    <row r="257" hidden="1">
      <c r="A257" s="27" t="s">
        <v>33</v>
      </c>
      <c r="B257" s="62" t="str">
        <f t="shared" si="3"/>
        <v>FPGA Design Engineer</v>
      </c>
      <c r="C257" s="57" t="s">
        <v>730</v>
      </c>
      <c r="D257" s="11" t="s">
        <v>61</v>
      </c>
      <c r="E257" s="27" t="s">
        <v>135</v>
      </c>
      <c r="F257" s="27"/>
      <c r="G257" s="63">
        <v>44174.501921296294</v>
      </c>
      <c r="H257" s="49"/>
      <c r="I257" s="49"/>
    </row>
    <row r="258" hidden="1">
      <c r="A258" s="27" t="s">
        <v>33</v>
      </c>
      <c r="B258" s="62" t="str">
        <f t="shared" si="3"/>
        <v>FPGA Design Engineer</v>
      </c>
      <c r="C258" s="57" t="s">
        <v>730</v>
      </c>
      <c r="D258" s="11" t="s">
        <v>61</v>
      </c>
      <c r="E258" s="27" t="s">
        <v>184</v>
      </c>
      <c r="F258" s="27"/>
      <c r="G258" s="63">
        <v>44174.501967592594</v>
      </c>
      <c r="H258" s="49"/>
      <c r="I258" s="49"/>
    </row>
    <row r="259" hidden="1">
      <c r="A259" s="27" t="s">
        <v>33</v>
      </c>
      <c r="B259" s="62" t="str">
        <f t="shared" si="3"/>
        <v>FPGA Design Engineer</v>
      </c>
      <c r="C259" s="57" t="s">
        <v>730</v>
      </c>
      <c r="D259" s="11" t="s">
        <v>688</v>
      </c>
      <c r="E259" s="27" t="s">
        <v>739</v>
      </c>
      <c r="F259" s="27"/>
      <c r="G259" s="63">
        <v>44174.50202546296</v>
      </c>
      <c r="H259" s="49"/>
      <c r="I259" s="49"/>
    </row>
    <row r="260" hidden="1">
      <c r="A260" s="27" t="s">
        <v>33</v>
      </c>
      <c r="B260" s="62" t="str">
        <f t="shared" ref="B260:B268" si="4"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260" s="57" t="s">
        <v>734</v>
      </c>
      <c r="D260" s="11" t="s">
        <v>681</v>
      </c>
      <c r="E260" s="27" t="s">
        <v>740</v>
      </c>
      <c r="F260" s="27"/>
      <c r="G260" s="63">
        <v>44174.5025</v>
      </c>
      <c r="H260" s="49"/>
      <c r="I260" s="49"/>
    </row>
    <row r="261" hidden="1">
      <c r="A261" s="27" t="s">
        <v>33</v>
      </c>
      <c r="B261" s="62" t="str">
        <f t="shared" si="4"/>
        <v>Lead Substation Design Engineer Transmission scale - (Electrical Engineer)</v>
      </c>
      <c r="C261" s="57" t="s">
        <v>734</v>
      </c>
      <c r="D261" s="11" t="s">
        <v>60</v>
      </c>
      <c r="E261" s="27" t="s">
        <v>186</v>
      </c>
      <c r="F261" s="27"/>
      <c r="G261" s="63">
        <v>44174.502546296295</v>
      </c>
      <c r="H261" s="49"/>
      <c r="I261" s="49"/>
    </row>
    <row r="262" hidden="1">
      <c r="A262" s="27" t="s">
        <v>33</v>
      </c>
      <c r="B262" s="62" t="str">
        <f t="shared" si="4"/>
        <v>Lead Substation Design Engineer Transmission scale - (Electrical Engineer)</v>
      </c>
      <c r="C262" s="57" t="s">
        <v>734</v>
      </c>
      <c r="D262" s="11" t="s">
        <v>60</v>
      </c>
      <c r="E262" s="27" t="s">
        <v>117</v>
      </c>
      <c r="F262" s="27"/>
      <c r="G262" s="63">
        <v>44174.502592592595</v>
      </c>
      <c r="H262" s="49"/>
      <c r="I262" s="49"/>
    </row>
    <row r="263" hidden="1">
      <c r="A263" s="27" t="s">
        <v>33</v>
      </c>
      <c r="B263" s="62" t="str">
        <f t="shared" si="4"/>
        <v>Lead Substation Design Engineer Transmission scale - (Electrical Engineer)</v>
      </c>
      <c r="C263" s="57" t="s">
        <v>734</v>
      </c>
      <c r="D263" s="11" t="s">
        <v>60</v>
      </c>
      <c r="E263" s="27" t="s">
        <v>208</v>
      </c>
      <c r="F263" s="27"/>
      <c r="G263" s="63">
        <v>44174.502650462964</v>
      </c>
      <c r="H263" s="49"/>
      <c r="I263" s="49"/>
    </row>
    <row r="264" hidden="1">
      <c r="A264" s="27" t="s">
        <v>33</v>
      </c>
      <c r="B264" s="62" t="str">
        <f t="shared" si="4"/>
        <v>Lead Substation Design Engineer Transmission scale - (Electrical Engineer)</v>
      </c>
      <c r="C264" s="57" t="s">
        <v>734</v>
      </c>
      <c r="D264" s="11" t="s">
        <v>60</v>
      </c>
      <c r="E264" s="27" t="s">
        <v>185</v>
      </c>
      <c r="F264" s="27"/>
      <c r="G264" s="63">
        <v>44174.50269675926</v>
      </c>
      <c r="H264" s="49"/>
      <c r="I264" s="49"/>
    </row>
    <row r="265" hidden="1">
      <c r="A265" s="27" t="s">
        <v>33</v>
      </c>
      <c r="B265" s="62" t="str">
        <f t="shared" si="4"/>
        <v>Lead Substation Design Engineer Transmission scale - (Electrical Engineer)</v>
      </c>
      <c r="C265" s="57" t="s">
        <v>734</v>
      </c>
      <c r="D265" s="11" t="s">
        <v>60</v>
      </c>
      <c r="E265" s="27" t="s">
        <v>121</v>
      </c>
      <c r="F265" s="27"/>
      <c r="G265" s="63">
        <v>44174.50274305556</v>
      </c>
      <c r="H265" s="49"/>
      <c r="I265" s="49"/>
    </row>
    <row r="266">
      <c r="A266" s="27" t="s">
        <v>33</v>
      </c>
      <c r="B266" s="62" t="str">
        <f t="shared" si="4"/>
        <v>Lead Substation Design Engineer Transmission scale - (Electrical Engineer)</v>
      </c>
      <c r="C266" s="57" t="s">
        <v>734</v>
      </c>
      <c r="D266" s="11" t="s">
        <v>62</v>
      </c>
      <c r="E266" s="27" t="s">
        <v>741</v>
      </c>
      <c r="F266" s="27"/>
      <c r="G266" s="63">
        <v>44174.50278935185</v>
      </c>
      <c r="H266" s="49"/>
      <c r="I266" s="49"/>
    </row>
    <row r="267">
      <c r="A267" s="27" t="s">
        <v>33</v>
      </c>
      <c r="B267" s="62" t="str">
        <f t="shared" si="4"/>
        <v>Lead Substation Design Engineer Transmission scale - (Electrical Engineer)</v>
      </c>
      <c r="C267" s="57" t="s">
        <v>734</v>
      </c>
      <c r="D267" s="11" t="s">
        <v>62</v>
      </c>
      <c r="E267" s="27" t="s">
        <v>742</v>
      </c>
      <c r="F267" s="27"/>
      <c r="G267" s="63">
        <v>44174.50283564815</v>
      </c>
      <c r="H267" s="49"/>
      <c r="I267" s="49"/>
    </row>
    <row r="268" hidden="1">
      <c r="A268" s="27" t="s">
        <v>33</v>
      </c>
      <c r="B268" s="62" t="str">
        <f t="shared" si="4"/>
        <v>Lead Substation Design Engineer Transmission scale - (Electrical Engineer)</v>
      </c>
      <c r="C268" s="57" t="s">
        <v>734</v>
      </c>
      <c r="D268" s="11" t="s">
        <v>60</v>
      </c>
      <c r="E268" s="27" t="s">
        <v>711</v>
      </c>
      <c r="F268" s="27"/>
      <c r="G268" s="63">
        <v>44174.50288194444</v>
      </c>
      <c r="H268" s="49"/>
      <c r="I268" s="49"/>
    </row>
    <row r="269" hidden="1">
      <c r="A269" s="27" t="s">
        <v>36</v>
      </c>
      <c r="B269" s="62" t="str">
        <f t="shared" ref="B269:B270" si="5">hyperlink("https://au.indeed.com/viewjob?from=iaBackPress&amp;jk=78d9624fe7590315&amp;vjs=3","Infrastructure Engineer")</f>
        <v>Infrastructure Engineer</v>
      </c>
      <c r="C269" s="57" t="s">
        <v>743</v>
      </c>
      <c r="D269" s="11" t="s">
        <v>60</v>
      </c>
      <c r="E269" s="27" t="s">
        <v>149</v>
      </c>
      <c r="F269" s="27"/>
      <c r="G269" s="63">
        <v>44174.50462962963</v>
      </c>
      <c r="H269" s="49"/>
      <c r="I269" s="49"/>
    </row>
    <row r="270">
      <c r="A270" s="27" t="s">
        <v>36</v>
      </c>
      <c r="B270" s="62" t="str">
        <f t="shared" si="5"/>
        <v>Infrastructure Engineer</v>
      </c>
      <c r="C270" s="57" t="s">
        <v>743</v>
      </c>
      <c r="D270" s="11" t="s">
        <v>62</v>
      </c>
      <c r="E270" s="27" t="s">
        <v>144</v>
      </c>
      <c r="F270" s="27"/>
      <c r="G270" s="63">
        <v>44174.504699074074</v>
      </c>
      <c r="H270" s="49"/>
      <c r="I270" s="49"/>
    </row>
    <row r="271" hidden="1">
      <c r="A271" s="27" t="s">
        <v>33</v>
      </c>
      <c r="B271" s="62" t="str">
        <f t="shared" ref="B271:B275" si="6">hyperlink("https://au.indeed.com/viewjob?from=iaBackPress&amp;jk=627c606995cd76ec&amp;vjs=3","FPGA Design Engineer")</f>
        <v>FPGA Design Engineer</v>
      </c>
      <c r="C271" s="57" t="s">
        <v>730</v>
      </c>
      <c r="D271" s="11" t="s">
        <v>61</v>
      </c>
      <c r="E271" s="27" t="s">
        <v>738</v>
      </c>
      <c r="F271" s="27"/>
      <c r="G271" s="64">
        <v>44175.37447916667</v>
      </c>
      <c r="H271" s="49"/>
      <c r="I271" s="49"/>
    </row>
    <row r="272" hidden="1">
      <c r="A272" s="27" t="s">
        <v>33</v>
      </c>
      <c r="B272" s="62" t="str">
        <f t="shared" si="6"/>
        <v>FPGA Design Engineer</v>
      </c>
      <c r="C272" s="57" t="s">
        <v>730</v>
      </c>
      <c r="D272" s="11" t="s">
        <v>61</v>
      </c>
      <c r="E272" s="27" t="s">
        <v>707</v>
      </c>
      <c r="F272" s="27" t="s">
        <v>667</v>
      </c>
      <c r="G272" s="64">
        <v>44175.37452546296</v>
      </c>
      <c r="H272" s="49"/>
      <c r="I272" s="49"/>
    </row>
    <row r="273" hidden="1">
      <c r="A273" s="27" t="s">
        <v>33</v>
      </c>
      <c r="B273" s="62" t="str">
        <f t="shared" si="6"/>
        <v>FPGA Design Engineer</v>
      </c>
      <c r="C273" s="57" t="s">
        <v>730</v>
      </c>
      <c r="D273" s="11" t="s">
        <v>61</v>
      </c>
      <c r="E273" s="27" t="s">
        <v>135</v>
      </c>
      <c r="F273" s="27"/>
      <c r="G273" s="64">
        <v>44175.37458333333</v>
      </c>
      <c r="H273" s="49"/>
      <c r="I273" s="49"/>
    </row>
    <row r="274" hidden="1">
      <c r="A274" s="27" t="s">
        <v>33</v>
      </c>
      <c r="B274" s="62" t="str">
        <f t="shared" si="6"/>
        <v>FPGA Design Engineer</v>
      </c>
      <c r="C274" s="57" t="s">
        <v>730</v>
      </c>
      <c r="D274" s="11" t="s">
        <v>61</v>
      </c>
      <c r="E274" s="27" t="s">
        <v>184</v>
      </c>
      <c r="F274" s="27"/>
      <c r="G274" s="64">
        <v>44175.37462962963</v>
      </c>
      <c r="H274" s="49"/>
      <c r="I274" s="49"/>
    </row>
    <row r="275" hidden="1">
      <c r="A275" s="27" t="s">
        <v>33</v>
      </c>
      <c r="B275" s="62" t="str">
        <f t="shared" si="6"/>
        <v>FPGA Design Engineer</v>
      </c>
      <c r="C275" s="57" t="s">
        <v>730</v>
      </c>
      <c r="D275" s="11" t="s">
        <v>688</v>
      </c>
      <c r="E275" s="27" t="s">
        <v>739</v>
      </c>
      <c r="F275" s="27"/>
      <c r="G275" s="64">
        <v>44175.37467592592</v>
      </c>
      <c r="H275" s="49"/>
      <c r="I275" s="49"/>
    </row>
    <row r="276" hidden="1">
      <c r="A276" s="27" t="s">
        <v>33</v>
      </c>
      <c r="B276" s="62" t="str">
        <f t="shared" ref="B276:B286" si="7">hyperlink("https://au.indeed.com/viewjob?from=iaBackPress&amp;jk=90b85e9797cbef29&amp;vjs=3","Mechanical Design Engineer")</f>
        <v>Mechanical Design Engineer</v>
      </c>
      <c r="C276" s="57" t="s">
        <v>375</v>
      </c>
      <c r="D276" s="11" t="s">
        <v>681</v>
      </c>
      <c r="E276" s="27" t="s">
        <v>740</v>
      </c>
      <c r="F276" s="27"/>
      <c r="G276" s="64">
        <v>44175.3753125</v>
      </c>
      <c r="H276" s="49"/>
      <c r="I276" s="49"/>
    </row>
    <row r="277" hidden="1">
      <c r="A277" s="27" t="s">
        <v>33</v>
      </c>
      <c r="B277" s="62" t="str">
        <f t="shared" si="7"/>
        <v>Mechanical Design Engineer</v>
      </c>
      <c r="C277" s="57" t="s">
        <v>375</v>
      </c>
      <c r="D277" s="11" t="s">
        <v>60</v>
      </c>
      <c r="E277" s="27" t="s">
        <v>186</v>
      </c>
      <c r="F277" s="27"/>
      <c r="G277" s="64">
        <v>44175.37535879629</v>
      </c>
      <c r="H277" s="49"/>
      <c r="I277" s="49"/>
    </row>
    <row r="278" hidden="1">
      <c r="A278" s="27" t="s">
        <v>33</v>
      </c>
      <c r="B278" s="62" t="str">
        <f t="shared" si="7"/>
        <v>Mechanical Design Engineer</v>
      </c>
      <c r="C278" s="57" t="s">
        <v>375</v>
      </c>
      <c r="D278" s="11" t="s">
        <v>60</v>
      </c>
      <c r="E278" s="27" t="s">
        <v>117</v>
      </c>
      <c r="F278" s="27"/>
      <c r="G278" s="64">
        <v>44175.37540509259</v>
      </c>
      <c r="H278" s="49"/>
      <c r="I278" s="49"/>
    </row>
    <row r="279" hidden="1">
      <c r="A279" s="27" t="s">
        <v>33</v>
      </c>
      <c r="B279" s="62" t="str">
        <f t="shared" si="7"/>
        <v>Mechanical Design Engineer</v>
      </c>
      <c r="C279" s="57" t="s">
        <v>375</v>
      </c>
      <c r="D279" s="11" t="s">
        <v>60</v>
      </c>
      <c r="E279" s="27" t="s">
        <v>208</v>
      </c>
      <c r="F279" s="27"/>
      <c r="G279" s="64">
        <v>44175.375451388885</v>
      </c>
      <c r="H279" s="49"/>
      <c r="I279" s="49"/>
    </row>
    <row r="280" hidden="1">
      <c r="A280" s="27" t="s">
        <v>33</v>
      </c>
      <c r="B280" s="62" t="str">
        <f t="shared" si="7"/>
        <v>Mechanical Design Engineer</v>
      </c>
      <c r="C280" s="57" t="s">
        <v>375</v>
      </c>
      <c r="D280" s="11" t="s">
        <v>60</v>
      </c>
      <c r="E280" s="27" t="s">
        <v>185</v>
      </c>
      <c r="F280" s="27"/>
      <c r="G280" s="64">
        <v>44175.375497685185</v>
      </c>
      <c r="H280" s="49"/>
      <c r="I280" s="49"/>
    </row>
    <row r="281" hidden="1">
      <c r="A281" s="27" t="s">
        <v>33</v>
      </c>
      <c r="B281" s="62" t="str">
        <f t="shared" si="7"/>
        <v>Mechanical Design Engineer</v>
      </c>
      <c r="C281" s="57" t="s">
        <v>375</v>
      </c>
      <c r="D281" s="11" t="s">
        <v>61</v>
      </c>
      <c r="E281" s="27" t="s">
        <v>131</v>
      </c>
      <c r="F281" s="27" t="s">
        <v>744</v>
      </c>
      <c r="G281" s="64">
        <v>44175.375613425924</v>
      </c>
      <c r="H281" s="49"/>
      <c r="I281" s="49"/>
    </row>
    <row r="282" hidden="1">
      <c r="A282" s="27" t="s">
        <v>33</v>
      </c>
      <c r="B282" s="62" t="str">
        <f t="shared" si="7"/>
        <v>Mechanical Design Engineer</v>
      </c>
      <c r="C282" s="57" t="s">
        <v>375</v>
      </c>
      <c r="D282" s="11" t="s">
        <v>61</v>
      </c>
      <c r="E282" s="27" t="s">
        <v>155</v>
      </c>
      <c r="F282" s="27" t="s">
        <v>745</v>
      </c>
      <c r="G282" s="64">
        <v>44175.37567129629</v>
      </c>
      <c r="H282" s="49"/>
      <c r="I282" s="49"/>
    </row>
    <row r="283" hidden="1">
      <c r="A283" s="27" t="s">
        <v>33</v>
      </c>
      <c r="B283" s="62" t="str">
        <f t="shared" si="7"/>
        <v>Mechanical Design Engineer</v>
      </c>
      <c r="C283" s="57" t="s">
        <v>375</v>
      </c>
      <c r="D283" s="11" t="s">
        <v>61</v>
      </c>
      <c r="E283" s="27" t="s">
        <v>107</v>
      </c>
      <c r="F283" s="27" t="s">
        <v>746</v>
      </c>
      <c r="G283" s="64">
        <v>44175.375706018516</v>
      </c>
      <c r="H283" s="49"/>
      <c r="I283" s="49"/>
    </row>
    <row r="284" hidden="1">
      <c r="A284" s="27" t="s">
        <v>33</v>
      </c>
      <c r="B284" s="62" t="str">
        <f t="shared" si="7"/>
        <v>Mechanical Design Engineer</v>
      </c>
      <c r="C284" s="57" t="s">
        <v>375</v>
      </c>
      <c r="D284" s="11" t="s">
        <v>61</v>
      </c>
      <c r="E284" s="27" t="s">
        <v>203</v>
      </c>
      <c r="F284" s="27" t="s">
        <v>747</v>
      </c>
      <c r="G284" s="64">
        <v>44175.375763888886</v>
      </c>
      <c r="H284" s="49"/>
      <c r="I284" s="49"/>
    </row>
    <row r="285" hidden="1">
      <c r="A285" s="27" t="s">
        <v>33</v>
      </c>
      <c r="B285" s="62" t="str">
        <f t="shared" si="7"/>
        <v>Mechanical Design Engineer</v>
      </c>
      <c r="C285" s="57" t="s">
        <v>375</v>
      </c>
      <c r="D285" s="11" t="s">
        <v>61</v>
      </c>
      <c r="E285" s="27" t="s">
        <v>158</v>
      </c>
      <c r="F285" s="27" t="s">
        <v>667</v>
      </c>
      <c r="G285" s="64">
        <v>44175.375810185185</v>
      </c>
      <c r="H285" s="49"/>
      <c r="I285" s="49"/>
    </row>
    <row r="286" hidden="1">
      <c r="A286" s="27" t="s">
        <v>33</v>
      </c>
      <c r="B286" s="62" t="str">
        <f t="shared" si="7"/>
        <v>Mechanical Design Engineer</v>
      </c>
      <c r="C286" s="57" t="s">
        <v>375</v>
      </c>
      <c r="D286" s="11" t="s">
        <v>688</v>
      </c>
      <c r="E286" s="27" t="s">
        <v>168</v>
      </c>
      <c r="F286" s="27"/>
      <c r="G286" s="64">
        <v>44175.37585648148</v>
      </c>
      <c r="H286" s="49"/>
      <c r="I286" s="49"/>
    </row>
    <row r="287" hidden="1">
      <c r="A287" s="27" t="s">
        <v>33</v>
      </c>
      <c r="B287" s="62" t="str">
        <f t="shared" ref="B287:B294" si="8"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287" s="57" t="s">
        <v>734</v>
      </c>
      <c r="D287" s="11" t="s">
        <v>681</v>
      </c>
      <c r="E287" s="27" t="s">
        <v>740</v>
      </c>
      <c r="F287" s="27"/>
      <c r="G287" s="64">
        <v>44175.37634259259</v>
      </c>
      <c r="H287" s="49"/>
      <c r="I287" s="49"/>
    </row>
    <row r="288" hidden="1">
      <c r="A288" s="27" t="s">
        <v>33</v>
      </c>
      <c r="B288" s="62" t="str">
        <f t="shared" si="8"/>
        <v>Lead Substation Design Engineer Transmission scale - (Electrical Engineer)</v>
      </c>
      <c r="C288" s="57" t="s">
        <v>734</v>
      </c>
      <c r="D288" s="11" t="s">
        <v>60</v>
      </c>
      <c r="E288" s="27" t="s">
        <v>186</v>
      </c>
      <c r="F288" s="27"/>
      <c r="G288" s="64">
        <v>44175.37640046296</v>
      </c>
      <c r="H288" s="49"/>
      <c r="I288" s="49"/>
    </row>
    <row r="289" hidden="1">
      <c r="A289" s="27" t="s">
        <v>33</v>
      </c>
      <c r="B289" s="62" t="str">
        <f t="shared" si="8"/>
        <v>Lead Substation Design Engineer Transmission scale - (Electrical Engineer)</v>
      </c>
      <c r="C289" s="57" t="s">
        <v>734</v>
      </c>
      <c r="D289" s="11" t="s">
        <v>60</v>
      </c>
      <c r="E289" s="27" t="s">
        <v>117</v>
      </c>
      <c r="F289" s="27"/>
      <c r="G289" s="64">
        <v>44175.376435185186</v>
      </c>
      <c r="H289" s="49"/>
      <c r="I289" s="49"/>
    </row>
    <row r="290" hidden="1">
      <c r="A290" s="27" t="s">
        <v>33</v>
      </c>
      <c r="B290" s="62" t="str">
        <f t="shared" si="8"/>
        <v>Lead Substation Design Engineer Transmission scale - (Electrical Engineer)</v>
      </c>
      <c r="C290" s="57" t="s">
        <v>734</v>
      </c>
      <c r="D290" s="11" t="s">
        <v>60</v>
      </c>
      <c r="E290" s="27" t="s">
        <v>208</v>
      </c>
      <c r="F290" s="27"/>
      <c r="G290" s="64">
        <v>44175.376493055555</v>
      </c>
      <c r="H290" s="49"/>
      <c r="I290" s="49"/>
    </row>
    <row r="291" hidden="1">
      <c r="A291" s="27" t="s">
        <v>33</v>
      </c>
      <c r="B291" s="62" t="str">
        <f t="shared" si="8"/>
        <v>Lead Substation Design Engineer Transmission scale - (Electrical Engineer)</v>
      </c>
      <c r="C291" s="57" t="s">
        <v>734</v>
      </c>
      <c r="D291" s="11" t="s">
        <v>60</v>
      </c>
      <c r="E291" s="27" t="s">
        <v>185</v>
      </c>
      <c r="F291" s="27"/>
      <c r="G291" s="64">
        <v>44175.376539351855</v>
      </c>
      <c r="H291" s="49"/>
      <c r="I291" s="49"/>
    </row>
    <row r="292">
      <c r="A292" s="27" t="s">
        <v>33</v>
      </c>
      <c r="B292" s="62" t="str">
        <f t="shared" si="8"/>
        <v>Lead Substation Design Engineer Transmission scale - (Electrical Engineer)</v>
      </c>
      <c r="C292" s="57" t="s">
        <v>734</v>
      </c>
      <c r="D292" s="11" t="s">
        <v>62</v>
      </c>
      <c r="E292" s="27" t="s">
        <v>741</v>
      </c>
      <c r="F292" s="27"/>
      <c r="G292" s="64">
        <v>44175.376655092594</v>
      </c>
      <c r="H292" s="49"/>
      <c r="I292" s="49"/>
    </row>
    <row r="293">
      <c r="A293" s="27" t="s">
        <v>33</v>
      </c>
      <c r="B293" s="62" t="str">
        <f t="shared" si="8"/>
        <v>Lead Substation Design Engineer Transmission scale - (Electrical Engineer)</v>
      </c>
      <c r="C293" s="57" t="s">
        <v>734</v>
      </c>
      <c r="D293" s="11" t="s">
        <v>62</v>
      </c>
      <c r="E293" s="27" t="s">
        <v>742</v>
      </c>
      <c r="F293" s="27"/>
      <c r="G293" s="64">
        <v>44175.37670138889</v>
      </c>
      <c r="H293" s="49"/>
      <c r="I293" s="49"/>
    </row>
    <row r="294" hidden="1">
      <c r="A294" s="27" t="s">
        <v>33</v>
      </c>
      <c r="B294" s="62" t="str">
        <f t="shared" si="8"/>
        <v>Lead Substation Design Engineer Transmission scale - (Electrical Engineer)</v>
      </c>
      <c r="C294" s="57" t="s">
        <v>734</v>
      </c>
      <c r="D294" s="11" t="s">
        <v>60</v>
      </c>
      <c r="E294" s="27" t="s">
        <v>711</v>
      </c>
      <c r="F294" s="27"/>
      <c r="G294" s="64">
        <v>44175.376747685186</v>
      </c>
      <c r="H294" s="49"/>
      <c r="I294" s="49"/>
    </row>
    <row r="295" hidden="1">
      <c r="A295" s="27" t="s">
        <v>36</v>
      </c>
      <c r="B295" s="62" t="str">
        <f t="shared" ref="B295:B296" si="9">hyperlink("https://au.indeed.com/viewjob?from=iaBackPress&amp;jk=78d9624fe7590315&amp;vjs=3","Infrastructure Engineer")</f>
        <v>Infrastructure Engineer</v>
      </c>
      <c r="C295" s="57" t="s">
        <v>743</v>
      </c>
      <c r="D295" s="11" t="s">
        <v>60</v>
      </c>
      <c r="E295" s="27" t="s">
        <v>149</v>
      </c>
      <c r="F295" s="27"/>
      <c r="G295" s="64">
        <v>44175.378587962965</v>
      </c>
      <c r="H295" s="49"/>
      <c r="I295" s="49"/>
    </row>
    <row r="296">
      <c r="A296" s="27" t="s">
        <v>36</v>
      </c>
      <c r="B296" s="62" t="str">
        <f t="shared" si="9"/>
        <v>Infrastructure Engineer</v>
      </c>
      <c r="C296" s="57" t="s">
        <v>743</v>
      </c>
      <c r="D296" s="11" t="s">
        <v>62</v>
      </c>
      <c r="E296" s="27" t="s">
        <v>144</v>
      </c>
      <c r="F296" s="27"/>
      <c r="G296" s="64">
        <v>44175.37863425926</v>
      </c>
      <c r="H296" s="49"/>
      <c r="I296" s="49"/>
    </row>
    <row r="297" hidden="1">
      <c r="A297" s="27" t="s">
        <v>41</v>
      </c>
      <c r="B297" s="62" t="str">
        <f t="shared" ref="B297:B306" si="10">hyperlink("https://au.indeed.com/viewjob?from=iaBackPress&amp;jk=f409160b8d1ee990&amp;vjs=3","Chemical Engineer | Process Engineer - Graduate")</f>
        <v>Chemical Engineer | Process Engineer - Graduate</v>
      </c>
      <c r="C297" s="57" t="s">
        <v>748</v>
      </c>
      <c r="D297" s="11" t="s">
        <v>60</v>
      </c>
      <c r="E297" s="27" t="s">
        <v>186</v>
      </c>
      <c r="F297" s="27"/>
      <c r="G297" s="64">
        <v>44175.37971064815</v>
      </c>
      <c r="H297" s="49"/>
      <c r="I297" s="49"/>
    </row>
    <row r="298" hidden="1">
      <c r="A298" s="27" t="s">
        <v>41</v>
      </c>
      <c r="B298" s="62" t="str">
        <f t="shared" si="10"/>
        <v>Chemical Engineer | Process Engineer - Graduate</v>
      </c>
      <c r="C298" s="57" t="s">
        <v>748</v>
      </c>
      <c r="D298" s="11" t="s">
        <v>60</v>
      </c>
      <c r="E298" s="27" t="s">
        <v>117</v>
      </c>
      <c r="F298" s="27"/>
      <c r="G298" s="64">
        <v>44175.37976851852</v>
      </c>
      <c r="H298" s="49"/>
      <c r="I298" s="49"/>
    </row>
    <row r="299" hidden="1">
      <c r="A299" s="27" t="s">
        <v>41</v>
      </c>
      <c r="B299" s="62" t="str">
        <f t="shared" si="10"/>
        <v>Chemical Engineer | Process Engineer - Graduate</v>
      </c>
      <c r="C299" s="57" t="s">
        <v>748</v>
      </c>
      <c r="D299" s="11" t="s">
        <v>60</v>
      </c>
      <c r="E299" s="27" t="s">
        <v>208</v>
      </c>
      <c r="F299" s="27"/>
      <c r="G299" s="64">
        <v>44175.37981481481</v>
      </c>
      <c r="H299" s="49"/>
      <c r="I299" s="49"/>
    </row>
    <row r="300" hidden="1">
      <c r="A300" s="27" t="s">
        <v>41</v>
      </c>
      <c r="B300" s="62" t="str">
        <f t="shared" si="10"/>
        <v>Chemical Engineer | Process Engineer - Graduate</v>
      </c>
      <c r="C300" s="57" t="s">
        <v>748</v>
      </c>
      <c r="D300" s="11" t="s">
        <v>60</v>
      </c>
      <c r="E300" s="27" t="s">
        <v>185</v>
      </c>
      <c r="F300" s="27"/>
      <c r="G300" s="64">
        <v>44175.37986111111</v>
      </c>
      <c r="H300" s="49"/>
      <c r="I300" s="49"/>
    </row>
    <row r="301" hidden="1">
      <c r="A301" s="27" t="s">
        <v>41</v>
      </c>
      <c r="B301" s="62" t="str">
        <f t="shared" si="10"/>
        <v>Chemical Engineer | Process Engineer - Graduate</v>
      </c>
      <c r="C301" s="57" t="s">
        <v>748</v>
      </c>
      <c r="D301" s="11" t="s">
        <v>60</v>
      </c>
      <c r="E301" s="27" t="s">
        <v>167</v>
      </c>
      <c r="F301" s="27"/>
      <c r="G301" s="64">
        <v>44175.37998842593</v>
      </c>
      <c r="H301" s="49"/>
      <c r="I301" s="49"/>
    </row>
    <row r="302">
      <c r="A302" s="27" t="s">
        <v>41</v>
      </c>
      <c r="B302" s="62" t="str">
        <f t="shared" si="10"/>
        <v>Chemical Engineer | Process Engineer - Graduate</v>
      </c>
      <c r="C302" s="57" t="s">
        <v>748</v>
      </c>
      <c r="D302" s="11" t="s">
        <v>62</v>
      </c>
      <c r="E302" s="27" t="s">
        <v>677</v>
      </c>
      <c r="F302" s="27"/>
      <c r="G302" s="64">
        <v>44175.38003472222</v>
      </c>
      <c r="H302" s="49"/>
      <c r="I302" s="49"/>
    </row>
    <row r="303">
      <c r="A303" s="27" t="s">
        <v>41</v>
      </c>
      <c r="B303" s="62" t="str">
        <f t="shared" si="10"/>
        <v>Chemical Engineer | Process Engineer - Graduate</v>
      </c>
      <c r="C303" s="57" t="s">
        <v>748</v>
      </c>
      <c r="D303" s="11" t="s">
        <v>62</v>
      </c>
      <c r="E303" s="27" t="s">
        <v>678</v>
      </c>
      <c r="F303" s="27"/>
      <c r="G303" s="64">
        <v>44175.38010416667</v>
      </c>
      <c r="H303" s="49"/>
      <c r="I303" s="49"/>
    </row>
    <row r="304">
      <c r="A304" s="27" t="s">
        <v>41</v>
      </c>
      <c r="B304" s="62" t="str">
        <f t="shared" si="10"/>
        <v>Chemical Engineer | Process Engineer - Graduate</v>
      </c>
      <c r="C304" s="57" t="s">
        <v>748</v>
      </c>
      <c r="D304" s="11" t="s">
        <v>62</v>
      </c>
      <c r="E304" s="27" t="s">
        <v>171</v>
      </c>
      <c r="F304" s="27"/>
      <c r="G304" s="64">
        <v>44175.38019675926</v>
      </c>
      <c r="H304" s="49"/>
      <c r="I304" s="49"/>
    </row>
    <row r="305">
      <c r="A305" s="27" t="s">
        <v>41</v>
      </c>
      <c r="B305" s="62" t="str">
        <f t="shared" si="10"/>
        <v>Chemical Engineer | Process Engineer - Graduate</v>
      </c>
      <c r="C305" s="57" t="s">
        <v>748</v>
      </c>
      <c r="D305" s="11" t="s">
        <v>62</v>
      </c>
      <c r="E305" s="27" t="s">
        <v>679</v>
      </c>
      <c r="F305" s="27"/>
      <c r="G305" s="64">
        <v>44175.38025462963</v>
      </c>
      <c r="H305" s="49"/>
      <c r="I305" s="49"/>
    </row>
    <row r="306">
      <c r="A306" s="27" t="s">
        <v>41</v>
      </c>
      <c r="B306" s="62" t="str">
        <f t="shared" si="10"/>
        <v>Chemical Engineer | Process Engineer - Graduate</v>
      </c>
      <c r="C306" s="57" t="s">
        <v>748</v>
      </c>
      <c r="D306" s="11" t="s">
        <v>62</v>
      </c>
      <c r="E306" s="27" t="s">
        <v>680</v>
      </c>
      <c r="F306" s="27"/>
      <c r="G306" s="64">
        <v>44175.38030092593</v>
      </c>
      <c r="H306" s="49"/>
      <c r="I306" s="49"/>
    </row>
    <row r="307" hidden="1">
      <c r="A307" s="27" t="s">
        <v>42</v>
      </c>
      <c r="B307" s="62" t="str">
        <f t="shared" ref="B307:B309" si="11">hyperlink("https://au.indeed.com/viewjob?from=iaBackPress&amp;jk=68c5d8270bd11ecf&amp;vjs=3","Senior Biomedical Production Engineer")</f>
        <v>Senior Biomedical Production Engineer</v>
      </c>
      <c r="C307" s="57" t="s">
        <v>749</v>
      </c>
      <c r="D307" s="11" t="s">
        <v>60</v>
      </c>
      <c r="E307" s="27" t="s">
        <v>194</v>
      </c>
      <c r="F307" s="27"/>
      <c r="G307" s="64">
        <v>44175.38077546296</v>
      </c>
      <c r="H307" s="49"/>
      <c r="I307" s="49"/>
    </row>
    <row r="308" hidden="1">
      <c r="A308" s="27" t="s">
        <v>42</v>
      </c>
      <c r="B308" s="62" t="str">
        <f t="shared" si="11"/>
        <v>Senior Biomedical Production Engineer</v>
      </c>
      <c r="C308" s="57" t="s">
        <v>749</v>
      </c>
      <c r="D308" s="11" t="s">
        <v>61</v>
      </c>
      <c r="E308" s="27" t="s">
        <v>166</v>
      </c>
      <c r="F308" s="27" t="s">
        <v>667</v>
      </c>
      <c r="G308" s="64">
        <v>44175.38082175926</v>
      </c>
      <c r="H308" s="49"/>
      <c r="I308" s="49"/>
    </row>
    <row r="309" hidden="1">
      <c r="A309" s="27" t="s">
        <v>42</v>
      </c>
      <c r="B309" s="62" t="str">
        <f t="shared" si="11"/>
        <v>Senior Biomedical Production Engineer</v>
      </c>
      <c r="C309" s="57" t="s">
        <v>749</v>
      </c>
      <c r="D309" s="11" t="s">
        <v>61</v>
      </c>
      <c r="E309" s="27" t="s">
        <v>206</v>
      </c>
      <c r="F309" s="27" t="s">
        <v>667</v>
      </c>
      <c r="G309" s="64">
        <v>44175.380891203706</v>
      </c>
      <c r="H309" s="49"/>
      <c r="I309" s="49"/>
    </row>
    <row r="310" hidden="1">
      <c r="A310" s="27" t="s">
        <v>45</v>
      </c>
      <c r="B310" s="62" t="str">
        <f t="shared" ref="B310:B329" si="12">hyperlink("https://au.indeed.com/viewjob?from=iaBackPress&amp;jk=6646a11a906e5847&amp;vjs=3","Senior Project Engineer - Sydney CBD")</f>
        <v>Senior Project Engineer - Sydney CBD</v>
      </c>
      <c r="C310" s="57" t="s">
        <v>750</v>
      </c>
      <c r="D310" s="11" t="s">
        <v>672</v>
      </c>
      <c r="E310" s="27" t="s">
        <v>125</v>
      </c>
      <c r="F310" s="27"/>
      <c r="G310" s="64">
        <v>44175.38265046296</v>
      </c>
      <c r="H310" s="49"/>
      <c r="I310" s="49"/>
    </row>
    <row r="311" hidden="1">
      <c r="A311" s="27" t="s">
        <v>45</v>
      </c>
      <c r="B311" s="62" t="str">
        <f t="shared" si="12"/>
        <v>Senior Project Engineer - Sydney CBD</v>
      </c>
      <c r="C311" s="57" t="s">
        <v>750</v>
      </c>
      <c r="D311" s="11" t="s">
        <v>60</v>
      </c>
      <c r="E311" s="27" t="s">
        <v>161</v>
      </c>
      <c r="F311" s="27"/>
      <c r="G311" s="64">
        <v>44175.38270833333</v>
      </c>
      <c r="H311" s="49"/>
      <c r="I311" s="49"/>
    </row>
    <row r="312" hidden="1">
      <c r="A312" s="27" t="s">
        <v>45</v>
      </c>
      <c r="B312" s="62" t="str">
        <f t="shared" si="12"/>
        <v>Senior Project Engineer - Sydney CBD</v>
      </c>
      <c r="C312" s="57" t="s">
        <v>750</v>
      </c>
      <c r="D312" s="11" t="s">
        <v>60</v>
      </c>
      <c r="E312" s="27" t="s">
        <v>186</v>
      </c>
      <c r="F312" s="27"/>
      <c r="G312" s="64">
        <v>44175.38275462963</v>
      </c>
      <c r="H312" s="49"/>
      <c r="I312" s="49"/>
    </row>
    <row r="313" hidden="1">
      <c r="A313" s="27" t="s">
        <v>45</v>
      </c>
      <c r="B313" s="62" t="str">
        <f t="shared" si="12"/>
        <v>Senior Project Engineer - Sydney CBD</v>
      </c>
      <c r="C313" s="57" t="s">
        <v>750</v>
      </c>
      <c r="D313" s="11" t="s">
        <v>60</v>
      </c>
      <c r="E313" s="27" t="s">
        <v>117</v>
      </c>
      <c r="F313" s="27"/>
      <c r="G313" s="64">
        <v>44175.38282407408</v>
      </c>
      <c r="H313" s="49"/>
      <c r="I313" s="49"/>
    </row>
    <row r="314" hidden="1">
      <c r="A314" s="27" t="s">
        <v>45</v>
      </c>
      <c r="B314" s="62" t="str">
        <f t="shared" si="12"/>
        <v>Senior Project Engineer - Sydney CBD</v>
      </c>
      <c r="C314" s="57" t="s">
        <v>750</v>
      </c>
      <c r="D314" s="11" t="s">
        <v>60</v>
      </c>
      <c r="E314" s="27" t="s">
        <v>208</v>
      </c>
      <c r="F314" s="27"/>
      <c r="G314" s="64">
        <v>44175.38290509259</v>
      </c>
      <c r="H314" s="49"/>
      <c r="I314" s="49"/>
    </row>
    <row r="315" hidden="1">
      <c r="A315" s="27" t="s">
        <v>45</v>
      </c>
      <c r="B315" s="62" t="str">
        <f t="shared" si="12"/>
        <v>Senior Project Engineer - Sydney CBD</v>
      </c>
      <c r="C315" s="57" t="s">
        <v>750</v>
      </c>
      <c r="D315" s="11" t="s">
        <v>60</v>
      </c>
      <c r="E315" s="27" t="s">
        <v>185</v>
      </c>
      <c r="F315" s="27"/>
      <c r="G315" s="64">
        <v>44175.38295138889</v>
      </c>
      <c r="H315" s="49"/>
      <c r="I315" s="49"/>
    </row>
    <row r="316" hidden="1">
      <c r="A316" s="27" t="s">
        <v>45</v>
      </c>
      <c r="B316" s="62" t="str">
        <f t="shared" si="12"/>
        <v>Senior Project Engineer - Sydney CBD</v>
      </c>
      <c r="C316" s="57" t="s">
        <v>750</v>
      </c>
      <c r="D316" s="11" t="s">
        <v>60</v>
      </c>
      <c r="E316" s="27" t="s">
        <v>188</v>
      </c>
      <c r="F316" s="27"/>
      <c r="G316" s="64">
        <v>44175.3830787037</v>
      </c>
      <c r="H316" s="49"/>
      <c r="I316" s="49"/>
    </row>
    <row r="317" hidden="1">
      <c r="A317" s="27" t="s">
        <v>45</v>
      </c>
      <c r="B317" s="62" t="str">
        <f t="shared" si="12"/>
        <v>Senior Project Engineer - Sydney CBD</v>
      </c>
      <c r="C317" s="57" t="s">
        <v>750</v>
      </c>
      <c r="D317" s="11" t="s">
        <v>681</v>
      </c>
      <c r="E317" s="27" t="s">
        <v>740</v>
      </c>
      <c r="F317" s="27"/>
      <c r="G317" s="64">
        <v>44175.383125</v>
      </c>
      <c r="H317" s="49"/>
      <c r="I317" s="49"/>
    </row>
    <row r="318" hidden="1">
      <c r="A318" s="27" t="s">
        <v>45</v>
      </c>
      <c r="B318" s="62" t="str">
        <f t="shared" si="12"/>
        <v>Senior Project Engineer - Sydney CBD</v>
      </c>
      <c r="C318" s="57" t="s">
        <v>750</v>
      </c>
      <c r="D318" s="11" t="s">
        <v>688</v>
      </c>
      <c r="E318" s="27" t="s">
        <v>141</v>
      </c>
      <c r="F318" s="27"/>
      <c r="G318" s="64">
        <v>44175.38317129629</v>
      </c>
      <c r="H318" s="49"/>
      <c r="I318" s="49"/>
    </row>
    <row r="319" hidden="1">
      <c r="A319" s="27" t="s">
        <v>45</v>
      </c>
      <c r="B319" s="62" t="str">
        <f t="shared" si="12"/>
        <v>Senior Project Engineer - Sydney CBD</v>
      </c>
      <c r="C319" s="57" t="s">
        <v>750</v>
      </c>
      <c r="D319" s="11" t="s">
        <v>60</v>
      </c>
      <c r="E319" s="27" t="s">
        <v>186</v>
      </c>
      <c r="F319" s="27"/>
      <c r="G319" s="64">
        <v>44175.38322916667</v>
      </c>
      <c r="H319" s="49"/>
      <c r="I319" s="49"/>
    </row>
    <row r="320" hidden="1">
      <c r="A320" s="27" t="s">
        <v>45</v>
      </c>
      <c r="B320" s="62" t="str">
        <f t="shared" si="12"/>
        <v>Senior Project Engineer - Sydney CBD</v>
      </c>
      <c r="C320" s="57" t="s">
        <v>750</v>
      </c>
      <c r="D320" s="11" t="s">
        <v>60</v>
      </c>
      <c r="E320" s="27" t="s">
        <v>187</v>
      </c>
      <c r="F320" s="27"/>
      <c r="G320" s="64">
        <v>44175.38327546296</v>
      </c>
      <c r="H320" s="49"/>
      <c r="I320" s="49"/>
    </row>
    <row r="321" hidden="1">
      <c r="A321" s="27" t="s">
        <v>45</v>
      </c>
      <c r="B321" s="62" t="str">
        <f t="shared" si="12"/>
        <v>Senior Project Engineer - Sydney CBD</v>
      </c>
      <c r="C321" s="57" t="s">
        <v>750</v>
      </c>
      <c r="D321" s="11" t="s">
        <v>60</v>
      </c>
      <c r="E321" s="27" t="s">
        <v>185</v>
      </c>
      <c r="F321" s="27"/>
      <c r="G321" s="64">
        <v>44175.38332175926</v>
      </c>
      <c r="H321" s="49"/>
      <c r="I321" s="49"/>
    </row>
    <row r="322" hidden="1">
      <c r="A322" s="27" t="s">
        <v>45</v>
      </c>
      <c r="B322" s="62" t="str">
        <f t="shared" si="12"/>
        <v>Senior Project Engineer - Sydney CBD</v>
      </c>
      <c r="C322" s="57" t="s">
        <v>750</v>
      </c>
      <c r="D322" s="11" t="s">
        <v>60</v>
      </c>
      <c r="E322" s="27" t="s">
        <v>177</v>
      </c>
      <c r="F322" s="27"/>
      <c r="G322" s="64">
        <v>44175.38337962963</v>
      </c>
      <c r="H322" s="49"/>
      <c r="I322" s="49"/>
    </row>
    <row r="323" hidden="1">
      <c r="A323" s="27" t="s">
        <v>45</v>
      </c>
      <c r="B323" s="62" t="str">
        <f t="shared" si="12"/>
        <v>Senior Project Engineer - Sydney CBD</v>
      </c>
      <c r="C323" s="57" t="s">
        <v>750</v>
      </c>
      <c r="D323" s="11" t="s">
        <v>688</v>
      </c>
      <c r="E323" s="27" t="s">
        <v>178</v>
      </c>
      <c r="F323" s="27"/>
      <c r="G323" s="64">
        <v>44175.3834375</v>
      </c>
      <c r="H323" s="49"/>
      <c r="I323" s="49"/>
    </row>
    <row r="324" hidden="1">
      <c r="A324" s="27" t="s">
        <v>45</v>
      </c>
      <c r="B324" s="62" t="str">
        <f t="shared" si="12"/>
        <v>Senior Project Engineer - Sydney CBD</v>
      </c>
      <c r="C324" s="57" t="s">
        <v>750</v>
      </c>
      <c r="D324" s="11" t="s">
        <v>63</v>
      </c>
      <c r="E324" s="27" t="s">
        <v>61</v>
      </c>
      <c r="F324" s="27" t="s">
        <v>751</v>
      </c>
      <c r="G324" s="64">
        <v>44175.38350694445</v>
      </c>
      <c r="H324" s="49"/>
      <c r="I324" s="49"/>
    </row>
    <row r="325" hidden="1">
      <c r="A325" s="27" t="s">
        <v>45</v>
      </c>
      <c r="B325" s="62" t="str">
        <f t="shared" si="12"/>
        <v>Senior Project Engineer - Sydney CBD</v>
      </c>
      <c r="C325" s="57" t="s">
        <v>750</v>
      </c>
      <c r="D325" s="11" t="s">
        <v>688</v>
      </c>
      <c r="E325" s="27" t="s">
        <v>170</v>
      </c>
      <c r="F325" s="27"/>
      <c r="G325" s="64">
        <v>44175.38358796296</v>
      </c>
      <c r="H325" s="49"/>
      <c r="I325" s="49"/>
    </row>
    <row r="326" hidden="1">
      <c r="A326" s="27" t="s">
        <v>45</v>
      </c>
      <c r="B326" s="62" t="str">
        <f t="shared" si="12"/>
        <v>Senior Project Engineer - Sydney CBD</v>
      </c>
      <c r="C326" s="57" t="s">
        <v>750</v>
      </c>
      <c r="D326" s="11" t="s">
        <v>63</v>
      </c>
      <c r="E326" s="27" t="s">
        <v>160</v>
      </c>
      <c r="F326" s="27" t="s">
        <v>752</v>
      </c>
      <c r="G326" s="64">
        <v>44175.38365740741</v>
      </c>
      <c r="H326" s="49"/>
      <c r="I326" s="49"/>
    </row>
    <row r="327" hidden="1">
      <c r="A327" s="27" t="s">
        <v>45</v>
      </c>
      <c r="B327" s="62" t="str">
        <f t="shared" si="12"/>
        <v>Senior Project Engineer - Sydney CBD</v>
      </c>
      <c r="C327" s="57" t="s">
        <v>750</v>
      </c>
      <c r="D327" s="11" t="s">
        <v>688</v>
      </c>
      <c r="E327" s="27" t="s">
        <v>182</v>
      </c>
      <c r="F327" s="27"/>
      <c r="G327" s="64">
        <v>44175.38371527778</v>
      </c>
      <c r="H327" s="49"/>
      <c r="I327" s="49"/>
    </row>
    <row r="328" hidden="1">
      <c r="A328" s="27" t="s">
        <v>45</v>
      </c>
      <c r="B328" s="62" t="str">
        <f t="shared" si="12"/>
        <v>Senior Project Engineer - Sydney CBD</v>
      </c>
      <c r="C328" s="57" t="s">
        <v>750</v>
      </c>
      <c r="D328" s="11" t="s">
        <v>688</v>
      </c>
      <c r="E328" s="27" t="s">
        <v>133</v>
      </c>
      <c r="F328" s="27"/>
      <c r="G328" s="64">
        <v>44175.38385416667</v>
      </c>
      <c r="H328" s="49"/>
      <c r="I328" s="49"/>
    </row>
    <row r="329" hidden="1">
      <c r="A329" s="27" t="s">
        <v>45</v>
      </c>
      <c r="B329" s="62" t="str">
        <f t="shared" si="12"/>
        <v>Senior Project Engineer - Sydney CBD</v>
      </c>
      <c r="C329" s="57" t="s">
        <v>750</v>
      </c>
      <c r="D329" s="11" t="s">
        <v>61</v>
      </c>
      <c r="E329" s="27" t="s">
        <v>694</v>
      </c>
      <c r="F329" s="27" t="s">
        <v>753</v>
      </c>
      <c r="G329" s="64">
        <v>44175.38391203704</v>
      </c>
      <c r="H329" s="49"/>
      <c r="I329" s="49"/>
    </row>
    <row r="330" hidden="1">
      <c r="A330" s="27" t="s">
        <v>45</v>
      </c>
      <c r="B330" s="62" t="str">
        <f>hyperlink("https://au.indeed.com/viewjob?from=iaBackPress&amp;jk=29f65e39b9473cab&amp;vjs=3","Project Engineer")</f>
        <v>Project Engineer</v>
      </c>
      <c r="C330" s="57" t="s">
        <v>754</v>
      </c>
      <c r="D330" s="11" t="s">
        <v>61</v>
      </c>
      <c r="E330" s="27" t="s">
        <v>717</v>
      </c>
      <c r="F330" s="27" t="s">
        <v>667</v>
      </c>
      <c r="G330" s="64">
        <v>44175.38447916666</v>
      </c>
      <c r="H330" s="49"/>
      <c r="I330" s="49"/>
    </row>
    <row r="331">
      <c r="A331" s="27" t="s">
        <v>49</v>
      </c>
      <c r="B331" s="62" t="str">
        <f t="shared" ref="B331:B333" si="13">hyperlink("https://au.indeed.com/viewjob?from=iaBackPress&amp;jk=02edf59ddb1a3d78&amp;vjs=3","Senior Site Reliability Engineer - Storage")</f>
        <v>Senior Site Reliability Engineer - Storage</v>
      </c>
      <c r="C331" s="57" t="s">
        <v>338</v>
      </c>
      <c r="D331" s="11" t="s">
        <v>62</v>
      </c>
      <c r="E331" s="27" t="s">
        <v>103</v>
      </c>
      <c r="F331" s="27"/>
      <c r="G331" s="64">
        <v>44175.38594907407</v>
      </c>
      <c r="H331" s="49"/>
      <c r="I331" s="49"/>
    </row>
    <row r="332" hidden="1">
      <c r="A332" s="27" t="s">
        <v>49</v>
      </c>
      <c r="B332" s="62" t="str">
        <f t="shared" si="13"/>
        <v>Senior Site Reliability Engineer - Storage</v>
      </c>
      <c r="C332" s="57" t="s">
        <v>338</v>
      </c>
      <c r="D332" s="11" t="s">
        <v>61</v>
      </c>
      <c r="E332" s="27" t="s">
        <v>105</v>
      </c>
      <c r="F332" s="27"/>
      <c r="G332" s="64">
        <v>44175.38599537037</v>
      </c>
      <c r="H332" s="49"/>
      <c r="I332" s="49"/>
    </row>
    <row r="333" hidden="1">
      <c r="A333" s="27" t="s">
        <v>49</v>
      </c>
      <c r="B333" s="62" t="str">
        <f t="shared" si="13"/>
        <v>Senior Site Reliability Engineer - Storage</v>
      </c>
      <c r="C333" s="57" t="s">
        <v>338</v>
      </c>
      <c r="D333" s="11" t="s">
        <v>60</v>
      </c>
      <c r="E333" s="27" t="s">
        <v>169</v>
      </c>
      <c r="F333" s="27"/>
      <c r="G333" s="64">
        <v>44175.386041666665</v>
      </c>
      <c r="H333" s="49"/>
      <c r="I333" s="49"/>
    </row>
    <row r="334" hidden="1">
      <c r="A334" s="27" t="s">
        <v>33</v>
      </c>
      <c r="B334" s="62" t="str">
        <f t="shared" ref="B334:B338" si="14">hyperlink("https://au.indeed.com/viewjob?from=iaBackPress&amp;jk=627c606995cd76ec&amp;vjs=3","FPGA Design Engineer")</f>
        <v>FPGA Design Engineer</v>
      </c>
      <c r="C334" s="57" t="s">
        <v>730</v>
      </c>
      <c r="D334" s="11" t="s">
        <v>61</v>
      </c>
      <c r="E334" s="27" t="s">
        <v>738</v>
      </c>
      <c r="F334" s="27"/>
      <c r="G334" s="64">
        <v>44175.404074074075</v>
      </c>
      <c r="H334" s="49"/>
      <c r="I334" s="49"/>
    </row>
    <row r="335" hidden="1">
      <c r="A335" s="27" t="s">
        <v>33</v>
      </c>
      <c r="B335" s="62" t="str">
        <f t="shared" si="14"/>
        <v>FPGA Design Engineer</v>
      </c>
      <c r="C335" s="57" t="s">
        <v>730</v>
      </c>
      <c r="D335" s="11" t="s">
        <v>61</v>
      </c>
      <c r="E335" s="27" t="s">
        <v>707</v>
      </c>
      <c r="F335" s="27" t="s">
        <v>667</v>
      </c>
      <c r="G335" s="64">
        <v>44175.40412037037</v>
      </c>
      <c r="H335" s="49"/>
      <c r="I335" s="49"/>
    </row>
    <row r="336" hidden="1">
      <c r="A336" s="27" t="s">
        <v>33</v>
      </c>
      <c r="B336" s="62" t="str">
        <f t="shared" si="14"/>
        <v>FPGA Design Engineer</v>
      </c>
      <c r="C336" s="57" t="s">
        <v>730</v>
      </c>
      <c r="D336" s="11" t="s">
        <v>61</v>
      </c>
      <c r="E336" s="27" t="s">
        <v>135</v>
      </c>
      <c r="F336" s="27"/>
      <c r="G336" s="64">
        <v>44175.404178240744</v>
      </c>
      <c r="H336" s="49"/>
      <c r="I336" s="49"/>
    </row>
    <row r="337" hidden="1">
      <c r="A337" s="27" t="s">
        <v>33</v>
      </c>
      <c r="B337" s="62" t="str">
        <f t="shared" si="14"/>
        <v>FPGA Design Engineer</v>
      </c>
      <c r="C337" s="57" t="s">
        <v>730</v>
      </c>
      <c r="D337" s="11" t="s">
        <v>61</v>
      </c>
      <c r="E337" s="27" t="s">
        <v>184</v>
      </c>
      <c r="F337" s="27"/>
      <c r="G337" s="64">
        <v>44175.40422453704</v>
      </c>
      <c r="H337" s="49"/>
      <c r="I337" s="49"/>
    </row>
    <row r="338" hidden="1">
      <c r="A338" s="27" t="s">
        <v>33</v>
      </c>
      <c r="B338" s="62" t="str">
        <f t="shared" si="14"/>
        <v>FPGA Design Engineer</v>
      </c>
      <c r="C338" s="57" t="s">
        <v>730</v>
      </c>
      <c r="D338" s="11" t="s">
        <v>688</v>
      </c>
      <c r="E338" s="27" t="s">
        <v>739</v>
      </c>
      <c r="F338" s="27"/>
      <c r="G338" s="64">
        <v>44175.40429398148</v>
      </c>
      <c r="H338" s="49"/>
      <c r="I338" s="49"/>
    </row>
    <row r="339" hidden="1">
      <c r="A339" s="27" t="s">
        <v>33</v>
      </c>
      <c r="B339" s="62" t="str">
        <f t="shared" ref="B339:B349" si="15">hyperlink("https://au.indeed.com/viewjob?from=iaBackPress&amp;jk=90b85e9797cbef29&amp;vjs=3","Mechanical Design Engineer")</f>
        <v>Mechanical Design Engineer</v>
      </c>
      <c r="C339" s="57" t="s">
        <v>375</v>
      </c>
      <c r="D339" s="11" t="s">
        <v>681</v>
      </c>
      <c r="E339" s="27" t="s">
        <v>740</v>
      </c>
      <c r="F339" s="27"/>
      <c r="G339" s="64">
        <v>44175.40483796296</v>
      </c>
      <c r="H339" s="49"/>
      <c r="I339" s="49"/>
    </row>
    <row r="340" hidden="1">
      <c r="A340" s="27" t="s">
        <v>33</v>
      </c>
      <c r="B340" s="62" t="str">
        <f t="shared" si="15"/>
        <v>Mechanical Design Engineer</v>
      </c>
      <c r="C340" s="57" t="s">
        <v>375</v>
      </c>
      <c r="D340" s="11" t="s">
        <v>60</v>
      </c>
      <c r="E340" s="27" t="s">
        <v>186</v>
      </c>
      <c r="F340" s="27"/>
      <c r="G340" s="64">
        <v>44175.40488425926</v>
      </c>
      <c r="H340" s="49"/>
      <c r="I340" s="49"/>
    </row>
    <row r="341" hidden="1">
      <c r="A341" s="27" t="s">
        <v>33</v>
      </c>
      <c r="B341" s="62" t="str">
        <f t="shared" si="15"/>
        <v>Mechanical Design Engineer</v>
      </c>
      <c r="C341" s="57" t="s">
        <v>375</v>
      </c>
      <c r="D341" s="11" t="s">
        <v>60</v>
      </c>
      <c r="E341" s="27" t="s">
        <v>117</v>
      </c>
      <c r="F341" s="27"/>
      <c r="G341" s="64">
        <v>44175.40493055555</v>
      </c>
      <c r="H341" s="49"/>
      <c r="I341" s="49"/>
    </row>
    <row r="342" hidden="1">
      <c r="A342" s="27" t="s">
        <v>33</v>
      </c>
      <c r="B342" s="62" t="str">
        <f t="shared" si="15"/>
        <v>Mechanical Design Engineer</v>
      </c>
      <c r="C342" s="57" t="s">
        <v>375</v>
      </c>
      <c r="D342" s="11" t="s">
        <v>60</v>
      </c>
      <c r="E342" s="27" t="s">
        <v>208</v>
      </c>
      <c r="F342" s="27"/>
      <c r="G342" s="64">
        <v>44175.40497685185</v>
      </c>
      <c r="H342" s="49"/>
      <c r="I342" s="49"/>
    </row>
    <row r="343" hidden="1">
      <c r="A343" s="27" t="s">
        <v>33</v>
      </c>
      <c r="B343" s="62" t="str">
        <f t="shared" si="15"/>
        <v>Mechanical Design Engineer</v>
      </c>
      <c r="C343" s="57" t="s">
        <v>375</v>
      </c>
      <c r="D343" s="11" t="s">
        <v>60</v>
      </c>
      <c r="E343" s="27" t="s">
        <v>185</v>
      </c>
      <c r="F343" s="27"/>
      <c r="G343" s="64">
        <v>44175.405023148145</v>
      </c>
      <c r="H343" s="49"/>
      <c r="I343" s="49"/>
    </row>
    <row r="344" hidden="1">
      <c r="A344" s="27" t="s">
        <v>33</v>
      </c>
      <c r="B344" s="62" t="str">
        <f t="shared" si="15"/>
        <v>Mechanical Design Engineer</v>
      </c>
      <c r="C344" s="57" t="s">
        <v>375</v>
      </c>
      <c r="D344" s="11" t="s">
        <v>61</v>
      </c>
      <c r="E344" s="27" t="s">
        <v>131</v>
      </c>
      <c r="F344" s="27" t="s">
        <v>744</v>
      </c>
      <c r="G344" s="64">
        <v>44175.40515046296</v>
      </c>
      <c r="H344" s="49"/>
      <c r="I344" s="49"/>
    </row>
    <row r="345" hidden="1">
      <c r="A345" s="27" t="s">
        <v>33</v>
      </c>
      <c r="B345" s="62" t="str">
        <f t="shared" si="15"/>
        <v>Mechanical Design Engineer</v>
      </c>
      <c r="C345" s="57" t="s">
        <v>375</v>
      </c>
      <c r="D345" s="11" t="s">
        <v>61</v>
      </c>
      <c r="E345" s="27" t="s">
        <v>155</v>
      </c>
      <c r="F345" s="27" t="s">
        <v>745</v>
      </c>
      <c r="G345" s="64">
        <v>44175.40519675926</v>
      </c>
      <c r="H345" s="49"/>
      <c r="I345" s="49"/>
    </row>
    <row r="346" hidden="1">
      <c r="A346" s="27" t="s">
        <v>33</v>
      </c>
      <c r="B346" s="62" t="str">
        <f t="shared" si="15"/>
        <v>Mechanical Design Engineer</v>
      </c>
      <c r="C346" s="57" t="s">
        <v>375</v>
      </c>
      <c r="D346" s="11" t="s">
        <v>61</v>
      </c>
      <c r="E346" s="27" t="s">
        <v>107</v>
      </c>
      <c r="F346" s="27" t="s">
        <v>746</v>
      </c>
      <c r="G346" s="64">
        <v>44175.40524305555</v>
      </c>
      <c r="H346" s="49"/>
      <c r="I346" s="49"/>
    </row>
    <row r="347" hidden="1">
      <c r="A347" s="27" t="s">
        <v>33</v>
      </c>
      <c r="B347" s="62" t="str">
        <f t="shared" si="15"/>
        <v>Mechanical Design Engineer</v>
      </c>
      <c r="C347" s="57" t="s">
        <v>375</v>
      </c>
      <c r="D347" s="11" t="s">
        <v>61</v>
      </c>
      <c r="E347" s="27" t="s">
        <v>203</v>
      </c>
      <c r="F347" s="27" t="s">
        <v>747</v>
      </c>
      <c r="G347" s="64">
        <v>44175.40528935185</v>
      </c>
      <c r="H347" s="49"/>
      <c r="I347" s="49"/>
    </row>
    <row r="348" hidden="1">
      <c r="A348" s="27" t="s">
        <v>33</v>
      </c>
      <c r="B348" s="62" t="str">
        <f t="shared" si="15"/>
        <v>Mechanical Design Engineer</v>
      </c>
      <c r="C348" s="57" t="s">
        <v>375</v>
      </c>
      <c r="D348" s="11" t="s">
        <v>61</v>
      </c>
      <c r="E348" s="27" t="s">
        <v>158</v>
      </c>
      <c r="F348" s="27" t="s">
        <v>667</v>
      </c>
      <c r="G348" s="64">
        <v>44175.405335648145</v>
      </c>
      <c r="H348" s="49"/>
      <c r="I348" s="49"/>
    </row>
    <row r="349" hidden="1">
      <c r="A349" s="27" t="s">
        <v>33</v>
      </c>
      <c r="B349" s="62" t="str">
        <f t="shared" si="15"/>
        <v>Mechanical Design Engineer</v>
      </c>
      <c r="C349" s="57" t="s">
        <v>375</v>
      </c>
      <c r="D349" s="11" t="s">
        <v>688</v>
      </c>
      <c r="E349" s="27" t="s">
        <v>168</v>
      </c>
      <c r="F349" s="27"/>
      <c r="G349" s="64">
        <v>44175.405381944445</v>
      </c>
      <c r="H349" s="49"/>
      <c r="I349" s="49"/>
    </row>
    <row r="350" hidden="1">
      <c r="A350" s="27" t="s">
        <v>33</v>
      </c>
      <c r="B350" s="62" t="str">
        <f t="shared" ref="B350:B357" si="16"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350" s="57" t="s">
        <v>734</v>
      </c>
      <c r="D350" s="11" t="s">
        <v>681</v>
      </c>
      <c r="E350" s="27" t="s">
        <v>740</v>
      </c>
      <c r="F350" s="27"/>
      <c r="G350" s="64">
        <v>44175.405810185184</v>
      </c>
      <c r="H350" s="49"/>
      <c r="I350" s="49"/>
    </row>
    <row r="351" hidden="1">
      <c r="A351" s="27" t="s">
        <v>33</v>
      </c>
      <c r="B351" s="62" t="str">
        <f t="shared" si="16"/>
        <v>Lead Substation Design Engineer Transmission scale - (Electrical Engineer)</v>
      </c>
      <c r="C351" s="57" t="s">
        <v>734</v>
      </c>
      <c r="D351" s="11" t="s">
        <v>60</v>
      </c>
      <c r="E351" s="27" t="s">
        <v>186</v>
      </c>
      <c r="F351" s="27"/>
      <c r="G351" s="64">
        <v>44175.405856481484</v>
      </c>
      <c r="H351" s="49"/>
      <c r="I351" s="49"/>
    </row>
    <row r="352" hidden="1">
      <c r="A352" s="27" t="s">
        <v>33</v>
      </c>
      <c r="B352" s="62" t="str">
        <f t="shared" si="16"/>
        <v>Lead Substation Design Engineer Transmission scale - (Electrical Engineer)</v>
      </c>
      <c r="C352" s="57" t="s">
        <v>734</v>
      </c>
      <c r="D352" s="11" t="s">
        <v>60</v>
      </c>
      <c r="E352" s="27" t="s">
        <v>117</v>
      </c>
      <c r="F352" s="27"/>
      <c r="G352" s="64">
        <v>44175.40591435185</v>
      </c>
      <c r="H352" s="49"/>
      <c r="I352" s="49"/>
    </row>
    <row r="353" hidden="1">
      <c r="A353" s="27" t="s">
        <v>33</v>
      </c>
      <c r="B353" s="62" t="str">
        <f t="shared" si="16"/>
        <v>Lead Substation Design Engineer Transmission scale - (Electrical Engineer)</v>
      </c>
      <c r="C353" s="57" t="s">
        <v>734</v>
      </c>
      <c r="D353" s="11" t="s">
        <v>60</v>
      </c>
      <c r="E353" s="27" t="s">
        <v>208</v>
      </c>
      <c r="F353" s="27"/>
      <c r="G353" s="64">
        <v>44175.40597222222</v>
      </c>
      <c r="H353" s="49"/>
      <c r="I353" s="49"/>
    </row>
    <row r="354" hidden="1">
      <c r="A354" s="27" t="s">
        <v>33</v>
      </c>
      <c r="B354" s="62" t="str">
        <f t="shared" si="16"/>
        <v>Lead Substation Design Engineer Transmission scale - (Electrical Engineer)</v>
      </c>
      <c r="C354" s="57" t="s">
        <v>734</v>
      </c>
      <c r="D354" s="11" t="s">
        <v>60</v>
      </c>
      <c r="E354" s="27" t="s">
        <v>185</v>
      </c>
      <c r="F354" s="27"/>
      <c r="G354" s="64">
        <v>44175.40603009259</v>
      </c>
      <c r="H354" s="49"/>
      <c r="I354" s="49"/>
    </row>
    <row r="355">
      <c r="A355" s="27" t="s">
        <v>33</v>
      </c>
      <c r="B355" s="62" t="str">
        <f t="shared" si="16"/>
        <v>Lead Substation Design Engineer Transmission scale - (Electrical Engineer)</v>
      </c>
      <c r="C355" s="57" t="s">
        <v>734</v>
      </c>
      <c r="D355" s="11" t="s">
        <v>62</v>
      </c>
      <c r="E355" s="27" t="s">
        <v>741</v>
      </c>
      <c r="F355" s="27"/>
      <c r="G355" s="64">
        <v>44175.406168981484</v>
      </c>
      <c r="H355" s="49"/>
      <c r="I355" s="49"/>
    </row>
    <row r="356">
      <c r="A356" s="27" t="s">
        <v>33</v>
      </c>
      <c r="B356" s="62" t="str">
        <f t="shared" si="16"/>
        <v>Lead Substation Design Engineer Transmission scale - (Electrical Engineer)</v>
      </c>
      <c r="C356" s="57" t="s">
        <v>734</v>
      </c>
      <c r="D356" s="11" t="s">
        <v>62</v>
      </c>
      <c r="E356" s="27" t="s">
        <v>742</v>
      </c>
      <c r="F356" s="27"/>
      <c r="G356" s="64">
        <v>44175.40621527778</v>
      </c>
      <c r="H356" s="49"/>
      <c r="I356" s="49"/>
    </row>
    <row r="357" hidden="1">
      <c r="A357" s="27" t="s">
        <v>33</v>
      </c>
      <c r="B357" s="62" t="str">
        <f t="shared" si="16"/>
        <v>Lead Substation Design Engineer Transmission scale - (Electrical Engineer)</v>
      </c>
      <c r="C357" s="57" t="s">
        <v>734</v>
      </c>
      <c r="D357" s="11" t="s">
        <v>60</v>
      </c>
      <c r="E357" s="27" t="s">
        <v>711</v>
      </c>
      <c r="F357" s="27"/>
      <c r="G357" s="64">
        <v>44175.40626157408</v>
      </c>
      <c r="H357" s="49"/>
      <c r="I357" s="49"/>
    </row>
    <row r="358" hidden="1">
      <c r="A358" s="27" t="s">
        <v>36</v>
      </c>
      <c r="B358" s="62" t="str">
        <f t="shared" ref="B358:B359" si="17">hyperlink("https://au.indeed.com/viewjob?from=iaBackPress&amp;jk=78d9624fe7590315&amp;vjs=3","Infrastructure Engineer")</f>
        <v>Infrastructure Engineer</v>
      </c>
      <c r="C358" s="57" t="s">
        <v>743</v>
      </c>
      <c r="D358" s="11" t="s">
        <v>60</v>
      </c>
      <c r="E358" s="27" t="s">
        <v>149</v>
      </c>
      <c r="F358" s="27"/>
      <c r="G358" s="64">
        <v>44175.40765046296</v>
      </c>
      <c r="H358" s="49"/>
      <c r="I358" s="49"/>
    </row>
    <row r="359">
      <c r="A359" s="27" t="s">
        <v>36</v>
      </c>
      <c r="B359" s="62" t="str">
        <f t="shared" si="17"/>
        <v>Infrastructure Engineer</v>
      </c>
      <c r="C359" s="57" t="s">
        <v>743</v>
      </c>
      <c r="D359" s="11" t="s">
        <v>62</v>
      </c>
      <c r="E359" s="27" t="s">
        <v>144</v>
      </c>
      <c r="F359" s="27"/>
      <c r="G359" s="64">
        <v>44175.40770833333</v>
      </c>
      <c r="H359" s="49"/>
      <c r="I359" s="49"/>
    </row>
    <row r="360" hidden="1">
      <c r="A360" s="27" t="s">
        <v>41</v>
      </c>
      <c r="B360" s="62" t="str">
        <f t="shared" ref="B360:B369" si="18">hyperlink("https://au.indeed.com/viewjob?from=iaBackPress&amp;jk=f409160b8d1ee990&amp;vjs=3","Chemical Engineer | Process Engineer - Graduate")</f>
        <v>Chemical Engineer | Process Engineer - Graduate</v>
      </c>
      <c r="C360" s="57" t="s">
        <v>748</v>
      </c>
      <c r="D360" s="11" t="s">
        <v>60</v>
      </c>
      <c r="E360" s="27" t="s">
        <v>186</v>
      </c>
      <c r="F360" s="27"/>
      <c r="G360" s="64">
        <v>44175.40876157407</v>
      </c>
      <c r="H360" s="49"/>
      <c r="I360" s="49"/>
    </row>
    <row r="361" hidden="1">
      <c r="A361" s="27" t="s">
        <v>41</v>
      </c>
      <c r="B361" s="62" t="str">
        <f t="shared" si="18"/>
        <v>Chemical Engineer | Process Engineer - Graduate</v>
      </c>
      <c r="C361" s="57" t="s">
        <v>748</v>
      </c>
      <c r="D361" s="11" t="s">
        <v>60</v>
      </c>
      <c r="E361" s="27" t="s">
        <v>117</v>
      </c>
      <c r="F361" s="27"/>
      <c r="G361" s="64">
        <v>44175.40880787037</v>
      </c>
      <c r="H361" s="49"/>
      <c r="I361" s="49"/>
    </row>
    <row r="362" hidden="1">
      <c r="A362" s="27" t="s">
        <v>41</v>
      </c>
      <c r="B362" s="62" t="str">
        <f t="shared" si="18"/>
        <v>Chemical Engineer | Process Engineer - Graduate</v>
      </c>
      <c r="C362" s="57" t="s">
        <v>748</v>
      </c>
      <c r="D362" s="11" t="s">
        <v>60</v>
      </c>
      <c r="E362" s="27" t="s">
        <v>208</v>
      </c>
      <c r="F362" s="27"/>
      <c r="G362" s="64">
        <v>44175.408854166664</v>
      </c>
      <c r="H362" s="49"/>
      <c r="I362" s="49"/>
    </row>
    <row r="363" hidden="1">
      <c r="A363" s="27" t="s">
        <v>41</v>
      </c>
      <c r="B363" s="62" t="str">
        <f t="shared" si="18"/>
        <v>Chemical Engineer | Process Engineer - Graduate</v>
      </c>
      <c r="C363" s="57" t="s">
        <v>748</v>
      </c>
      <c r="D363" s="11" t="s">
        <v>60</v>
      </c>
      <c r="E363" s="27" t="s">
        <v>185</v>
      </c>
      <c r="F363" s="27"/>
      <c r="G363" s="64">
        <v>44175.408900462964</v>
      </c>
      <c r="H363" s="49"/>
      <c r="I363" s="49"/>
    </row>
    <row r="364" hidden="1">
      <c r="A364" s="27" t="s">
        <v>41</v>
      </c>
      <c r="B364" s="62" t="str">
        <f t="shared" si="18"/>
        <v>Chemical Engineer | Process Engineer - Graduate</v>
      </c>
      <c r="C364" s="57" t="s">
        <v>748</v>
      </c>
      <c r="D364" s="11" t="s">
        <v>60</v>
      </c>
      <c r="E364" s="27" t="s">
        <v>167</v>
      </c>
      <c r="F364" s="27"/>
      <c r="G364" s="64">
        <v>44175.4090162037</v>
      </c>
      <c r="H364" s="49"/>
      <c r="I364" s="49"/>
    </row>
    <row r="365">
      <c r="A365" s="27" t="s">
        <v>41</v>
      </c>
      <c r="B365" s="62" t="str">
        <f t="shared" si="18"/>
        <v>Chemical Engineer | Process Engineer - Graduate</v>
      </c>
      <c r="C365" s="57" t="s">
        <v>748</v>
      </c>
      <c r="D365" s="11" t="s">
        <v>62</v>
      </c>
      <c r="E365" s="27" t="s">
        <v>677</v>
      </c>
      <c r="F365" s="27"/>
      <c r="G365" s="64">
        <v>44175.40907407407</v>
      </c>
      <c r="H365" s="49"/>
      <c r="I365" s="49"/>
    </row>
    <row r="366">
      <c r="A366" s="27" t="s">
        <v>41</v>
      </c>
      <c r="B366" s="62" t="str">
        <f t="shared" si="18"/>
        <v>Chemical Engineer | Process Engineer - Graduate</v>
      </c>
      <c r="C366" s="57" t="s">
        <v>748</v>
      </c>
      <c r="D366" s="11" t="s">
        <v>62</v>
      </c>
      <c r="E366" s="27" t="s">
        <v>678</v>
      </c>
      <c r="F366" s="27"/>
      <c r="G366" s="64">
        <v>44175.409108796295</v>
      </c>
      <c r="H366" s="49"/>
      <c r="I366" s="49"/>
    </row>
    <row r="367">
      <c r="A367" s="27" t="s">
        <v>41</v>
      </c>
      <c r="B367" s="62" t="str">
        <f t="shared" si="18"/>
        <v>Chemical Engineer | Process Engineer - Graduate</v>
      </c>
      <c r="C367" s="57" t="s">
        <v>748</v>
      </c>
      <c r="D367" s="11" t="s">
        <v>62</v>
      </c>
      <c r="E367" s="27" t="s">
        <v>171</v>
      </c>
      <c r="F367" s="27"/>
      <c r="G367" s="64">
        <v>44175.409155092595</v>
      </c>
      <c r="H367" s="49"/>
      <c r="I367" s="49"/>
    </row>
    <row r="368">
      <c r="A368" s="27" t="s">
        <v>41</v>
      </c>
      <c r="B368" s="62" t="str">
        <f t="shared" si="18"/>
        <v>Chemical Engineer | Process Engineer - Graduate</v>
      </c>
      <c r="C368" s="57" t="s">
        <v>748</v>
      </c>
      <c r="D368" s="11" t="s">
        <v>62</v>
      </c>
      <c r="E368" s="27" t="s">
        <v>679</v>
      </c>
      <c r="F368" s="27"/>
      <c r="G368" s="64">
        <v>44175.40920138889</v>
      </c>
      <c r="H368" s="49"/>
      <c r="I368" s="49"/>
    </row>
    <row r="369">
      <c r="A369" s="27" t="s">
        <v>41</v>
      </c>
      <c r="B369" s="62" t="str">
        <f t="shared" si="18"/>
        <v>Chemical Engineer | Process Engineer - Graduate</v>
      </c>
      <c r="C369" s="57" t="s">
        <v>748</v>
      </c>
      <c r="D369" s="11" t="s">
        <v>62</v>
      </c>
      <c r="E369" s="27" t="s">
        <v>680</v>
      </c>
      <c r="F369" s="27"/>
      <c r="G369" s="64">
        <v>44175.40923611111</v>
      </c>
      <c r="H369" s="49"/>
      <c r="I369" s="49"/>
    </row>
    <row r="370" hidden="1">
      <c r="A370" s="27" t="s">
        <v>42</v>
      </c>
      <c r="B370" s="62" t="str">
        <f t="shared" ref="B370:B372" si="19">hyperlink("https://au.indeed.com/viewjob?from=iaBackPress&amp;jk=68c5d8270bd11ecf&amp;vjs=3","Senior Biomedical Production Engineer")</f>
        <v>Senior Biomedical Production Engineer</v>
      </c>
      <c r="C370" s="57" t="s">
        <v>749</v>
      </c>
      <c r="D370" s="11" t="s">
        <v>60</v>
      </c>
      <c r="E370" s="27" t="s">
        <v>194</v>
      </c>
      <c r="F370" s="27"/>
      <c r="G370" s="64">
        <v>44175.40981481481</v>
      </c>
      <c r="H370" s="49"/>
      <c r="I370" s="49"/>
    </row>
    <row r="371" hidden="1">
      <c r="A371" s="27" t="s">
        <v>42</v>
      </c>
      <c r="B371" s="62" t="str">
        <f t="shared" si="19"/>
        <v>Senior Biomedical Production Engineer</v>
      </c>
      <c r="C371" s="57" t="s">
        <v>749</v>
      </c>
      <c r="D371" s="11" t="s">
        <v>61</v>
      </c>
      <c r="E371" s="27" t="s">
        <v>166</v>
      </c>
      <c r="F371" s="27" t="s">
        <v>667</v>
      </c>
      <c r="G371" s="64">
        <v>44175.40986111111</v>
      </c>
      <c r="H371" s="49"/>
      <c r="I371" s="49"/>
    </row>
    <row r="372" hidden="1">
      <c r="A372" s="27" t="s">
        <v>42</v>
      </c>
      <c r="B372" s="62" t="str">
        <f t="shared" si="19"/>
        <v>Senior Biomedical Production Engineer</v>
      </c>
      <c r="C372" s="57" t="s">
        <v>749</v>
      </c>
      <c r="D372" s="11" t="s">
        <v>61</v>
      </c>
      <c r="E372" s="27" t="s">
        <v>206</v>
      </c>
      <c r="F372" s="27" t="s">
        <v>667</v>
      </c>
      <c r="G372" s="64">
        <v>44175.409907407404</v>
      </c>
      <c r="H372" s="49"/>
      <c r="I372" s="49"/>
    </row>
    <row r="373" hidden="1">
      <c r="A373" s="27" t="s">
        <v>45</v>
      </c>
      <c r="B373" s="62" t="str">
        <f t="shared" ref="B373:B392" si="20">hyperlink("https://au.indeed.com/viewjob?from=iaBackPress&amp;jk=6646a11a906e5847&amp;vjs=3","Senior Project Engineer - Sydney CBD")</f>
        <v>Senior Project Engineer - Sydney CBD</v>
      </c>
      <c r="C373" s="57" t="s">
        <v>750</v>
      </c>
      <c r="D373" s="11" t="s">
        <v>672</v>
      </c>
      <c r="E373" s="27" t="s">
        <v>125</v>
      </c>
      <c r="F373" s="27"/>
      <c r="G373" s="64">
        <v>44175.411215277774</v>
      </c>
      <c r="H373" s="49"/>
      <c r="I373" s="49"/>
    </row>
    <row r="374" hidden="1">
      <c r="A374" s="27" t="s">
        <v>45</v>
      </c>
      <c r="B374" s="62" t="str">
        <f t="shared" si="20"/>
        <v>Senior Project Engineer - Sydney CBD</v>
      </c>
      <c r="C374" s="57" t="s">
        <v>750</v>
      </c>
      <c r="D374" s="11" t="s">
        <v>60</v>
      </c>
      <c r="E374" s="27" t="s">
        <v>161</v>
      </c>
      <c r="F374" s="27"/>
      <c r="G374" s="64">
        <v>44175.41127314815</v>
      </c>
      <c r="H374" s="49"/>
      <c r="I374" s="49"/>
    </row>
    <row r="375" hidden="1">
      <c r="A375" s="27" t="s">
        <v>45</v>
      </c>
      <c r="B375" s="62" t="str">
        <f t="shared" si="20"/>
        <v>Senior Project Engineer - Sydney CBD</v>
      </c>
      <c r="C375" s="57" t="s">
        <v>750</v>
      </c>
      <c r="D375" s="11" t="s">
        <v>60</v>
      </c>
      <c r="E375" s="27" t="s">
        <v>186</v>
      </c>
      <c r="F375" s="27"/>
      <c r="G375" s="64">
        <v>44175.41134259259</v>
      </c>
      <c r="H375" s="49"/>
      <c r="I375" s="49"/>
    </row>
    <row r="376" hidden="1">
      <c r="A376" s="27" t="s">
        <v>45</v>
      </c>
      <c r="B376" s="62" t="str">
        <f t="shared" si="20"/>
        <v>Senior Project Engineer - Sydney CBD</v>
      </c>
      <c r="C376" s="57" t="s">
        <v>750</v>
      </c>
      <c r="D376" s="11" t="s">
        <v>60</v>
      </c>
      <c r="E376" s="27" t="s">
        <v>117</v>
      </c>
      <c r="F376" s="27"/>
      <c r="G376" s="64">
        <v>44175.41140046297</v>
      </c>
      <c r="H376" s="49"/>
      <c r="I376" s="49"/>
    </row>
    <row r="377" hidden="1">
      <c r="A377" s="27" t="s">
        <v>45</v>
      </c>
      <c r="B377" s="62" t="str">
        <f t="shared" si="20"/>
        <v>Senior Project Engineer - Sydney CBD</v>
      </c>
      <c r="C377" s="57" t="s">
        <v>750</v>
      </c>
      <c r="D377" s="11" t="s">
        <v>60</v>
      </c>
      <c r="E377" s="27" t="s">
        <v>208</v>
      </c>
      <c r="F377" s="27"/>
      <c r="G377" s="64">
        <v>44175.41144675926</v>
      </c>
      <c r="H377" s="49"/>
      <c r="I377" s="49"/>
    </row>
    <row r="378" hidden="1">
      <c r="A378" s="27" t="s">
        <v>45</v>
      </c>
      <c r="B378" s="62" t="str">
        <f t="shared" si="20"/>
        <v>Senior Project Engineer - Sydney CBD</v>
      </c>
      <c r="C378" s="57" t="s">
        <v>750</v>
      </c>
      <c r="D378" s="11" t="s">
        <v>60</v>
      </c>
      <c r="E378" s="27" t="s">
        <v>185</v>
      </c>
      <c r="F378" s="27"/>
      <c r="G378" s="64">
        <v>44175.41149305556</v>
      </c>
      <c r="H378" s="49"/>
      <c r="I378" s="49"/>
    </row>
    <row r="379" hidden="1">
      <c r="A379" s="27" t="s">
        <v>45</v>
      </c>
      <c r="B379" s="62" t="str">
        <f t="shared" si="20"/>
        <v>Senior Project Engineer - Sydney CBD</v>
      </c>
      <c r="C379" s="57" t="s">
        <v>750</v>
      </c>
      <c r="D379" s="11" t="s">
        <v>60</v>
      </c>
      <c r="E379" s="27" t="s">
        <v>188</v>
      </c>
      <c r="F379" s="27"/>
      <c r="G379" s="64">
        <v>44175.411631944444</v>
      </c>
      <c r="H379" s="49"/>
      <c r="I379" s="49"/>
    </row>
    <row r="380" hidden="1">
      <c r="A380" s="27" t="s">
        <v>45</v>
      </c>
      <c r="B380" s="62" t="str">
        <f t="shared" si="20"/>
        <v>Senior Project Engineer - Sydney CBD</v>
      </c>
      <c r="C380" s="57" t="s">
        <v>750</v>
      </c>
      <c r="D380" s="11" t="s">
        <v>681</v>
      </c>
      <c r="E380" s="27" t="s">
        <v>740</v>
      </c>
      <c r="F380" s="27"/>
      <c r="G380" s="64">
        <v>44175.41168981481</v>
      </c>
      <c r="H380" s="49"/>
      <c r="I380" s="49"/>
    </row>
    <row r="381" hidden="1">
      <c r="A381" s="27" t="s">
        <v>45</v>
      </c>
      <c r="B381" s="62" t="str">
        <f t="shared" si="20"/>
        <v>Senior Project Engineer - Sydney CBD</v>
      </c>
      <c r="C381" s="57" t="s">
        <v>750</v>
      </c>
      <c r="D381" s="11" t="s">
        <v>688</v>
      </c>
      <c r="E381" s="27" t="s">
        <v>141</v>
      </c>
      <c r="F381" s="27"/>
      <c r="G381" s="64">
        <v>44175.41181712963</v>
      </c>
      <c r="H381" s="49"/>
      <c r="I381" s="49"/>
    </row>
    <row r="382" hidden="1">
      <c r="A382" s="27" t="s">
        <v>45</v>
      </c>
      <c r="B382" s="62" t="str">
        <f t="shared" si="20"/>
        <v>Senior Project Engineer - Sydney CBD</v>
      </c>
      <c r="C382" s="57" t="s">
        <v>750</v>
      </c>
      <c r="D382" s="11" t="s">
        <v>60</v>
      </c>
      <c r="E382" s="27" t="s">
        <v>186</v>
      </c>
      <c r="F382" s="27"/>
      <c r="G382" s="64">
        <v>44175.41186342593</v>
      </c>
      <c r="H382" s="49"/>
      <c r="I382" s="49"/>
    </row>
    <row r="383" hidden="1">
      <c r="A383" s="27" t="s">
        <v>45</v>
      </c>
      <c r="B383" s="62" t="str">
        <f t="shared" si="20"/>
        <v>Senior Project Engineer - Sydney CBD</v>
      </c>
      <c r="C383" s="57" t="s">
        <v>750</v>
      </c>
      <c r="D383" s="11" t="s">
        <v>60</v>
      </c>
      <c r="E383" s="27" t="s">
        <v>187</v>
      </c>
      <c r="F383" s="27"/>
      <c r="G383" s="64">
        <v>44175.41190972222</v>
      </c>
      <c r="H383" s="49"/>
      <c r="I383" s="49"/>
    </row>
    <row r="384" hidden="1">
      <c r="A384" s="27" t="s">
        <v>45</v>
      </c>
      <c r="B384" s="62" t="str">
        <f t="shared" si="20"/>
        <v>Senior Project Engineer - Sydney CBD</v>
      </c>
      <c r="C384" s="57" t="s">
        <v>750</v>
      </c>
      <c r="D384" s="11" t="s">
        <v>60</v>
      </c>
      <c r="E384" s="27" t="s">
        <v>185</v>
      </c>
      <c r="F384" s="27"/>
      <c r="G384" s="64">
        <v>44175.41195601852</v>
      </c>
      <c r="H384" s="49"/>
      <c r="I384" s="49"/>
    </row>
    <row r="385" hidden="1">
      <c r="A385" s="27" t="s">
        <v>45</v>
      </c>
      <c r="B385" s="62" t="str">
        <f t="shared" si="20"/>
        <v>Senior Project Engineer - Sydney CBD</v>
      </c>
      <c r="C385" s="57" t="s">
        <v>750</v>
      </c>
      <c r="D385" s="11" t="s">
        <v>60</v>
      </c>
      <c r="E385" s="27" t="s">
        <v>177</v>
      </c>
      <c r="F385" s="27"/>
      <c r="G385" s="64">
        <v>44175.41200231481</v>
      </c>
      <c r="H385" s="49"/>
      <c r="I385" s="49"/>
    </row>
    <row r="386" hidden="1">
      <c r="A386" s="27" t="s">
        <v>45</v>
      </c>
      <c r="B386" s="62" t="str">
        <f t="shared" si="20"/>
        <v>Senior Project Engineer - Sydney CBD</v>
      </c>
      <c r="C386" s="57" t="s">
        <v>750</v>
      </c>
      <c r="D386" s="11" t="s">
        <v>688</v>
      </c>
      <c r="E386" s="27" t="s">
        <v>178</v>
      </c>
      <c r="F386" s="27"/>
      <c r="G386" s="64">
        <v>44175.41206018518</v>
      </c>
      <c r="H386" s="49"/>
      <c r="I386" s="49"/>
    </row>
    <row r="387" hidden="1">
      <c r="A387" s="27" t="s">
        <v>45</v>
      </c>
      <c r="B387" s="62" t="str">
        <f t="shared" si="20"/>
        <v>Senior Project Engineer - Sydney CBD</v>
      </c>
      <c r="C387" s="57" t="s">
        <v>750</v>
      </c>
      <c r="D387" s="11" t="s">
        <v>63</v>
      </c>
      <c r="E387" s="27" t="s">
        <v>61</v>
      </c>
      <c r="F387" s="27" t="s">
        <v>751</v>
      </c>
      <c r="G387" s="64">
        <v>44175.41210648148</v>
      </c>
      <c r="H387" s="49"/>
      <c r="I387" s="49"/>
    </row>
    <row r="388" hidden="1">
      <c r="A388" s="27" t="s">
        <v>45</v>
      </c>
      <c r="B388" s="62" t="str">
        <f t="shared" si="20"/>
        <v>Senior Project Engineer - Sydney CBD</v>
      </c>
      <c r="C388" s="57" t="s">
        <v>750</v>
      </c>
      <c r="D388" s="11" t="s">
        <v>688</v>
      </c>
      <c r="E388" s="27" t="s">
        <v>170</v>
      </c>
      <c r="F388" s="27"/>
      <c r="G388" s="64">
        <v>44175.4140162037</v>
      </c>
      <c r="H388" s="49"/>
      <c r="I388" s="49"/>
    </row>
    <row r="389" hidden="1">
      <c r="A389" s="27" t="s">
        <v>45</v>
      </c>
      <c r="B389" s="62" t="str">
        <f t="shared" si="20"/>
        <v>Senior Project Engineer - Sydney CBD</v>
      </c>
      <c r="C389" s="57" t="s">
        <v>750</v>
      </c>
      <c r="D389" s="11" t="s">
        <v>63</v>
      </c>
      <c r="E389" s="27" t="s">
        <v>160</v>
      </c>
      <c r="F389" s="27" t="s">
        <v>752</v>
      </c>
      <c r="G389" s="64">
        <v>44175.41407407408</v>
      </c>
      <c r="H389" s="49"/>
      <c r="I389" s="49"/>
    </row>
    <row r="390" hidden="1">
      <c r="A390" s="27" t="s">
        <v>45</v>
      </c>
      <c r="B390" s="62" t="str">
        <f t="shared" si="20"/>
        <v>Senior Project Engineer - Sydney CBD</v>
      </c>
      <c r="C390" s="57" t="s">
        <v>750</v>
      </c>
      <c r="D390" s="11" t="s">
        <v>688</v>
      </c>
      <c r="E390" s="27" t="s">
        <v>182</v>
      </c>
      <c r="F390" s="27"/>
      <c r="G390" s="64">
        <v>44175.41412037037</v>
      </c>
      <c r="H390" s="49"/>
      <c r="I390" s="49"/>
    </row>
    <row r="391" hidden="1">
      <c r="A391" s="27" t="s">
        <v>45</v>
      </c>
      <c r="B391" s="62" t="str">
        <f t="shared" si="20"/>
        <v>Senior Project Engineer - Sydney CBD</v>
      </c>
      <c r="C391" s="57" t="s">
        <v>750</v>
      </c>
      <c r="D391" s="11" t="s">
        <v>688</v>
      </c>
      <c r="E391" s="27" t="s">
        <v>133</v>
      </c>
      <c r="F391" s="27"/>
      <c r="G391" s="64">
        <v>44175.41428240741</v>
      </c>
      <c r="H391" s="49"/>
      <c r="I391" s="49"/>
    </row>
    <row r="392" hidden="1">
      <c r="A392" s="27" t="s">
        <v>45</v>
      </c>
      <c r="B392" s="62" t="str">
        <f t="shared" si="20"/>
        <v>Senior Project Engineer - Sydney CBD</v>
      </c>
      <c r="C392" s="57" t="s">
        <v>750</v>
      </c>
      <c r="D392" s="11" t="s">
        <v>61</v>
      </c>
      <c r="E392" s="27" t="s">
        <v>694</v>
      </c>
      <c r="F392" s="27" t="s">
        <v>753</v>
      </c>
      <c r="G392" s="64">
        <v>44175.41442129629</v>
      </c>
      <c r="H392" s="49"/>
      <c r="I392" s="49"/>
    </row>
    <row r="393" hidden="1">
      <c r="A393" s="27" t="s">
        <v>45</v>
      </c>
      <c r="B393" s="62" t="str">
        <f>hyperlink("https://au.indeed.com/viewjob?from=iaBackPress&amp;jk=29f65e39b9473cab&amp;vjs=3","Project Engineer")</f>
        <v>Project Engineer</v>
      </c>
      <c r="C393" s="57" t="s">
        <v>754</v>
      </c>
      <c r="D393" s="11" t="s">
        <v>61</v>
      </c>
      <c r="E393" s="27" t="s">
        <v>717</v>
      </c>
      <c r="F393" s="27" t="s">
        <v>667</v>
      </c>
      <c r="G393" s="64">
        <v>44175.414988425924</v>
      </c>
      <c r="H393" s="49"/>
      <c r="I393" s="49"/>
    </row>
    <row r="394">
      <c r="A394" s="27" t="s">
        <v>49</v>
      </c>
      <c r="B394" s="62" t="str">
        <f t="shared" ref="B394:B396" si="21">hyperlink("https://au.indeed.com/viewjob?from=iaBackPress&amp;jk=02edf59ddb1a3d78&amp;vjs=3","Senior Site Reliability Engineer - Storage")</f>
        <v>Senior Site Reliability Engineer - Storage</v>
      </c>
      <c r="C394" s="57" t="s">
        <v>338</v>
      </c>
      <c r="D394" s="11" t="s">
        <v>62</v>
      </c>
      <c r="E394" s="27" t="s">
        <v>103</v>
      </c>
      <c r="F394" s="27"/>
      <c r="G394" s="64">
        <v>44175.41607638889</v>
      </c>
      <c r="H394" s="49"/>
      <c r="I394" s="49"/>
    </row>
    <row r="395" hidden="1">
      <c r="A395" s="27" t="s">
        <v>49</v>
      </c>
      <c r="B395" s="62" t="str">
        <f t="shared" si="21"/>
        <v>Senior Site Reliability Engineer - Storage</v>
      </c>
      <c r="C395" s="57" t="s">
        <v>338</v>
      </c>
      <c r="D395" s="11" t="s">
        <v>61</v>
      </c>
      <c r="E395" s="27" t="s">
        <v>105</v>
      </c>
      <c r="F395" s="27"/>
      <c r="G395" s="64">
        <v>44175.416134259256</v>
      </c>
      <c r="H395" s="49"/>
      <c r="I395" s="49"/>
    </row>
    <row r="396" hidden="1">
      <c r="A396" s="27" t="s">
        <v>49</v>
      </c>
      <c r="B396" s="62" t="str">
        <f t="shared" si="21"/>
        <v>Senior Site Reliability Engineer - Storage</v>
      </c>
      <c r="C396" s="57" t="s">
        <v>338</v>
      </c>
      <c r="D396" s="11" t="s">
        <v>60</v>
      </c>
      <c r="E396" s="27" t="s">
        <v>169</v>
      </c>
      <c r="F396" s="27"/>
      <c r="G396" s="64">
        <v>44175.416180555556</v>
      </c>
      <c r="H396" s="49"/>
      <c r="I396" s="49"/>
    </row>
    <row r="397">
      <c r="A397" s="27" t="s">
        <v>26</v>
      </c>
      <c r="B397" s="62" t="str">
        <f>hyperlink("https://au.indeed.com/viewjob?from=iaBackPress&amp;jk=eac354bcc806ddbc&amp;vjs=3","Mechanical Engineer")</f>
        <v>Mechanical Engineer</v>
      </c>
      <c r="C397" s="57" t="s">
        <v>755</v>
      </c>
      <c r="D397" s="11" t="s">
        <v>62</v>
      </c>
      <c r="E397" s="27" t="s">
        <v>196</v>
      </c>
      <c r="F397" s="27"/>
      <c r="G397" s="64">
        <v>44186.558541666665</v>
      </c>
      <c r="H397" s="49"/>
      <c r="I397" s="49"/>
    </row>
    <row r="398">
      <c r="A398" s="27" t="s">
        <v>33</v>
      </c>
      <c r="B398" s="62" t="str">
        <f>hyperlink("https://au.indeed.com/viewjob?from=iaBackPress&amp;jk=90b85e9797cbef29&amp;vjs=3","Mechanical Design Engineer")</f>
        <v>Mechanical Design Engineer</v>
      </c>
      <c r="C398" s="57" t="s">
        <v>375</v>
      </c>
      <c r="D398" s="11" t="s">
        <v>61</v>
      </c>
      <c r="E398" s="27" t="s">
        <v>203</v>
      </c>
      <c r="F398" s="27"/>
      <c r="G398" s="64">
        <v>44186.562893518516</v>
      </c>
      <c r="H398" s="49"/>
      <c r="I398" s="49"/>
    </row>
    <row r="399">
      <c r="A399" s="27" t="s">
        <v>33</v>
      </c>
      <c r="B399" s="62" t="str">
        <f>hyperlink("https://au.indeed.com/viewjob?from=iaBackPress&amp;jk=627c606995cd76ec&amp;vjs=3","FPGA Design Engineer")</f>
        <v>FPGA Design Engineer</v>
      </c>
      <c r="C399" s="57" t="s">
        <v>730</v>
      </c>
      <c r="D399" s="11" t="s">
        <v>61</v>
      </c>
      <c r="E399" s="27" t="s">
        <v>756</v>
      </c>
      <c r="F399" s="27"/>
      <c r="G399" s="64">
        <v>44186.56332175926</v>
      </c>
      <c r="H399" s="49"/>
      <c r="I399" s="49"/>
    </row>
    <row r="400">
      <c r="A400" s="27" t="s">
        <v>33</v>
      </c>
      <c r="B400" s="62" t="str">
        <f>hyperlink("https://au.indeed.com/viewjob?from=iaBackPress&amp;jk=0b67319f39946614&amp;vjs=3","Civil Design Engineer")</f>
        <v>Civil Design Engineer</v>
      </c>
      <c r="C400" s="57" t="s">
        <v>757</v>
      </c>
      <c r="D400" s="11" t="s">
        <v>60</v>
      </c>
      <c r="E400" s="27" t="s">
        <v>146</v>
      </c>
      <c r="F400" s="27"/>
      <c r="G400" s="64">
        <v>44186.56371527778</v>
      </c>
      <c r="H400" s="49"/>
      <c r="I400" s="49"/>
    </row>
    <row r="401">
      <c r="A401" s="27" t="s">
        <v>36</v>
      </c>
      <c r="B401" s="62" t="str">
        <f>hyperlink("https://au.indeed.com/viewjob?from=iaBackPress&amp;jk=454b1eae25ddd2bf&amp;vjs=3","Senior Network &amp; Infrastructure Engineer")</f>
        <v>Senior Network &amp; Infrastructure Engineer</v>
      </c>
      <c r="C401" s="57" t="s">
        <v>758</v>
      </c>
      <c r="D401" s="11" t="s">
        <v>60</v>
      </c>
      <c r="E401" s="27" t="s">
        <v>153</v>
      </c>
      <c r="F401" s="27"/>
      <c r="G401" s="64">
        <v>44186.568136574075</v>
      </c>
      <c r="H401" s="49"/>
      <c r="I401" s="49"/>
    </row>
    <row r="402">
      <c r="A402" s="27" t="s">
        <v>42</v>
      </c>
      <c r="B402" s="62" t="str">
        <f>hyperlink("https://au.indeed.com/viewjob?from=iaBackPress&amp;jk=68c5d8270bd11ecf&amp;vjs=3","Senior Biomedical Production Engineer")</f>
        <v>Senior Biomedical Production Engineer</v>
      </c>
      <c r="C402" s="57" t="s">
        <v>749</v>
      </c>
      <c r="D402" s="11" t="s">
        <v>61</v>
      </c>
      <c r="E402" s="27" t="s">
        <v>166</v>
      </c>
      <c r="F402" s="27"/>
      <c r="G402" s="64">
        <v>44186.56980324074</v>
      </c>
      <c r="H402" s="49"/>
      <c r="I402" s="49"/>
    </row>
    <row r="403">
      <c r="A403" s="27" t="s">
        <v>45</v>
      </c>
      <c r="B403" s="62" t="str">
        <f>hyperlink("https://au.indeed.com/viewjob?from=iaBackPress&amp;jk=f85e10e79c4cb325&amp;vjs=3","SITE FOREMAN/PROJECT ENGINEER")</f>
        <v>SITE FOREMAN/PROJECT ENGINEER</v>
      </c>
      <c r="C403" s="57" t="s">
        <v>759</v>
      </c>
      <c r="D403" s="11" t="s">
        <v>61</v>
      </c>
      <c r="E403" s="27" t="s">
        <v>760</v>
      </c>
      <c r="F403" s="27"/>
      <c r="G403" s="64">
        <v>44186.57271990741</v>
      </c>
      <c r="H403" s="49"/>
      <c r="I403" s="49"/>
    </row>
    <row r="404">
      <c r="A404" s="27" t="s">
        <v>45</v>
      </c>
      <c r="B404" s="62" t="str">
        <f>hyperlink("https://au.indeed.com/viewjob?from=iaBackPress&amp;jk=56d66f468497c514&amp;vjs=3","Project Engineer")</f>
        <v>Project Engineer</v>
      </c>
      <c r="C404" s="57" t="s">
        <v>761</v>
      </c>
      <c r="D404" s="11" t="s">
        <v>60</v>
      </c>
      <c r="E404" s="27" t="s">
        <v>148</v>
      </c>
      <c r="F404" s="27"/>
      <c r="G404" s="64">
        <v>44186.57414351852</v>
      </c>
      <c r="H404" s="49"/>
      <c r="I404" s="49"/>
    </row>
    <row r="405">
      <c r="A405" s="27" t="s">
        <v>45</v>
      </c>
      <c r="B405" s="62" t="str">
        <f>hyperlink("https://au.indeed.com/viewjob?from=iaBackPress&amp;jk=29f65e39b9473cab&amp;vjs=3","Project Engineer")</f>
        <v>Project Engineer</v>
      </c>
      <c r="C405" s="57" t="s">
        <v>754</v>
      </c>
      <c r="D405" s="11" t="s">
        <v>61</v>
      </c>
      <c r="E405" s="27" t="s">
        <v>717</v>
      </c>
      <c r="F405" s="27"/>
      <c r="G405" s="64">
        <v>44186.575277777774</v>
      </c>
      <c r="H405" s="49"/>
      <c r="I405" s="49"/>
    </row>
    <row r="406">
      <c r="A406" s="27" t="s">
        <v>45</v>
      </c>
      <c r="B406" s="62" t="str">
        <f>hyperlink("https://au.indeed.com/viewjob?from=iaBackPress&amp;jk=feb17c9f2ca9f7d2&amp;vjs=3","Senior Project Engineer - Cowal")</f>
        <v>Senior Project Engineer - Cowal</v>
      </c>
      <c r="C406" s="57" t="s">
        <v>750</v>
      </c>
      <c r="D406" s="11" t="s">
        <v>672</v>
      </c>
      <c r="E406" s="27"/>
      <c r="F406" s="27"/>
      <c r="G406" s="64">
        <v>44186.57743055555</v>
      </c>
      <c r="H406" s="49"/>
      <c r="I406" s="49"/>
    </row>
    <row r="407">
      <c r="A407" s="27" t="s">
        <v>45</v>
      </c>
      <c r="B407" s="62" t="str">
        <f>hyperlink("https://au.indeed.com/viewjob?from=iaBackPress&amp;jk=56d66f468497c514&amp;vjs=3","Project Engineer")</f>
        <v>Project Engineer</v>
      </c>
      <c r="C407" s="57" t="s">
        <v>761</v>
      </c>
      <c r="D407" s="11" t="s">
        <v>60</v>
      </c>
      <c r="E407" s="27" t="s">
        <v>148</v>
      </c>
      <c r="F407" s="27"/>
      <c r="G407" s="64">
        <v>44186.58070601852</v>
      </c>
      <c r="H407" s="49"/>
      <c r="I407" s="49"/>
    </row>
    <row r="408">
      <c r="A408" s="27" t="s">
        <v>49</v>
      </c>
      <c r="B408" s="62" t="str">
        <f>hyperlink("https://au.indeed.com/viewjob?from=iaBackPress&amp;jk=2fa28558872f1306&amp;vjs=3","Lead Site Reliability Engineer")</f>
        <v>Lead Site Reliability Engineer</v>
      </c>
      <c r="C408" s="57" t="s">
        <v>762</v>
      </c>
      <c r="D408" s="11" t="s">
        <v>61</v>
      </c>
      <c r="E408" s="27" t="s">
        <v>180</v>
      </c>
      <c r="F408" s="27"/>
      <c r="G408" s="64">
        <v>44186.58440972222</v>
      </c>
      <c r="H408" s="49"/>
      <c r="I408" s="49"/>
    </row>
    <row r="409">
      <c r="A409" s="27" t="s">
        <v>49</v>
      </c>
      <c r="B409" s="62" t="str">
        <f>hyperlink("https://au.indeed.com/viewjob?from=iaBackPress&amp;jk=e01e3538682ff0c7&amp;vjs=3","Senior Site Reliability Engineer")</f>
        <v>Senior Site Reliability Engineer</v>
      </c>
      <c r="C409" s="57" t="s">
        <v>763</v>
      </c>
      <c r="D409" s="11" t="s">
        <v>60</v>
      </c>
      <c r="E409" s="27" t="s">
        <v>191</v>
      </c>
      <c r="F409" s="27"/>
      <c r="G409" s="64">
        <v>44186.58592592592</v>
      </c>
      <c r="H409" s="49"/>
      <c r="I409" s="49"/>
    </row>
    <row r="410">
      <c r="A410" s="27" t="s">
        <v>50</v>
      </c>
      <c r="B410" s="62" t="str">
        <f>hyperlink("https://au.indeed.com/viewjob?from=iaBackPress&amp;jk=196fbcc309bbe829&amp;vjs=3","Field Service Engineer - Managed Services (Sydney)")</f>
        <v>Field Service Engineer - Managed Services (Sydney)</v>
      </c>
      <c r="C410" s="57" t="s">
        <v>764</v>
      </c>
      <c r="D410" s="11" t="s">
        <v>62</v>
      </c>
      <c r="E410" s="27" t="s">
        <v>130</v>
      </c>
      <c r="F410" s="27"/>
      <c r="G410" s="64">
        <v>44186.58912037037</v>
      </c>
      <c r="H410" s="49"/>
      <c r="I410" s="49"/>
    </row>
    <row r="411">
      <c r="A411" s="27" t="s">
        <v>26</v>
      </c>
      <c r="B411" s="62" t="str">
        <f>hyperlink("https://au.indeed.com/viewjob?from=iaBackPress&amp;jk=eac354bcc806ddbc&amp;vjs=3","Mechanical Engineer")</f>
        <v>Mechanical Engineer</v>
      </c>
      <c r="C411" s="57" t="s">
        <v>755</v>
      </c>
      <c r="D411" s="11" t="s">
        <v>62</v>
      </c>
      <c r="E411" s="27" t="s">
        <v>196</v>
      </c>
      <c r="F411" s="27"/>
      <c r="G411" s="64">
        <v>44186.617256944446</v>
      </c>
      <c r="H411" s="49"/>
      <c r="I411" s="49"/>
    </row>
    <row r="412">
      <c r="A412" s="27" t="s">
        <v>33</v>
      </c>
      <c r="B412" s="62" t="str">
        <f>hyperlink("https://au.indeed.com/viewjob?from=iaBackPress&amp;jk=90b85e9797cbef29&amp;vjs=3","Mechanical Design Engineer")</f>
        <v>Mechanical Design Engineer</v>
      </c>
      <c r="C412" s="57" t="s">
        <v>375</v>
      </c>
      <c r="D412" s="11" t="s">
        <v>61</v>
      </c>
      <c r="E412" s="27" t="s">
        <v>203</v>
      </c>
      <c r="F412" s="27"/>
      <c r="G412" s="64">
        <v>44186.619409722225</v>
      </c>
      <c r="H412" s="49"/>
      <c r="I412" s="49"/>
    </row>
    <row r="413">
      <c r="A413" s="27" t="s">
        <v>33</v>
      </c>
      <c r="B413" s="62" t="str">
        <f>hyperlink("https://au.indeed.com/viewjob?from=iaBackPress&amp;jk=627c606995cd76ec&amp;vjs=3","FPGA Design Engineer")</f>
        <v>FPGA Design Engineer</v>
      </c>
      <c r="C413" s="57" t="s">
        <v>730</v>
      </c>
      <c r="D413" s="11" t="s">
        <v>61</v>
      </c>
      <c r="E413" s="27" t="s">
        <v>756</v>
      </c>
      <c r="F413" s="27"/>
      <c r="G413" s="64">
        <v>44186.619791666664</v>
      </c>
      <c r="H413" s="49"/>
      <c r="I413" s="49"/>
    </row>
    <row r="414">
      <c r="A414" s="27" t="s">
        <v>33</v>
      </c>
      <c r="B414" s="62" t="str">
        <f>hyperlink("https://au.indeed.com/viewjob?from=iaBackPress&amp;jk=0b67319f39946614&amp;vjs=3","Civil Design Engineer")</f>
        <v>Civil Design Engineer</v>
      </c>
      <c r="C414" s="57" t="s">
        <v>757</v>
      </c>
      <c r="D414" s="11" t="s">
        <v>60</v>
      </c>
      <c r="E414" s="27" t="s">
        <v>146</v>
      </c>
      <c r="F414" s="27"/>
      <c r="G414" s="64">
        <v>44186.62013888889</v>
      </c>
      <c r="H414" s="49"/>
      <c r="I414" s="49"/>
    </row>
    <row r="415">
      <c r="A415" s="27" t="s">
        <v>36</v>
      </c>
      <c r="B415" s="62" t="str">
        <f>hyperlink("https://au.indeed.com/viewjob?from=iaBackPress&amp;jk=454b1eae25ddd2bf&amp;vjs=3","Senior Network &amp; Infrastructure Engineer")</f>
        <v>Senior Network &amp; Infrastructure Engineer</v>
      </c>
      <c r="C415" s="57" t="s">
        <v>758</v>
      </c>
      <c r="D415" s="11" t="s">
        <v>60</v>
      </c>
      <c r="E415" s="27" t="s">
        <v>153</v>
      </c>
      <c r="F415" s="27"/>
      <c r="G415" s="64">
        <v>44186.62275462963</v>
      </c>
      <c r="H415" s="49"/>
      <c r="I415" s="49"/>
    </row>
    <row r="416">
      <c r="A416" s="27" t="s">
        <v>42</v>
      </c>
      <c r="B416" s="62" t="str">
        <f>hyperlink("https://au.indeed.com/viewjob?from=iaBackPress&amp;jk=68c5d8270bd11ecf&amp;vjs=3","Senior Biomedical Production Engineer")</f>
        <v>Senior Biomedical Production Engineer</v>
      </c>
      <c r="C416" s="57" t="s">
        <v>749</v>
      </c>
      <c r="D416" s="11" t="s">
        <v>61</v>
      </c>
      <c r="E416" s="27" t="s">
        <v>166</v>
      </c>
      <c r="F416" s="27"/>
      <c r="G416" s="64">
        <v>44186.623506944445</v>
      </c>
      <c r="H416" s="49"/>
      <c r="I416" s="49"/>
    </row>
    <row r="417">
      <c r="A417" s="27" t="s">
        <v>45</v>
      </c>
      <c r="B417" s="62" t="str">
        <f>hyperlink("https://au.indeed.com/viewjob?from=iaBackPress&amp;jk=f85e10e79c4cb325&amp;vjs=3","SITE FOREMAN/PROJECT ENGINEER")</f>
        <v>SITE FOREMAN/PROJECT ENGINEER</v>
      </c>
      <c r="C417" s="57" t="s">
        <v>759</v>
      </c>
      <c r="D417" s="11" t="s">
        <v>61</v>
      </c>
      <c r="E417" s="27" t="s">
        <v>760</v>
      </c>
      <c r="F417" s="27"/>
      <c r="G417" s="64">
        <v>44186.624247685184</v>
      </c>
      <c r="H417" s="49"/>
      <c r="I417" s="49"/>
    </row>
    <row r="418">
      <c r="A418" s="27" t="s">
        <v>45</v>
      </c>
      <c r="B418" s="62" t="str">
        <f>hyperlink("https://au.indeed.com/viewjob?from=iaBackPress&amp;jk=56d66f468497c514&amp;vjs=3","Project Engineer")</f>
        <v>Project Engineer</v>
      </c>
      <c r="C418" s="57" t="s">
        <v>761</v>
      </c>
      <c r="D418" s="11" t="s">
        <v>60</v>
      </c>
      <c r="E418" s="27" t="s">
        <v>148</v>
      </c>
      <c r="F418" s="27"/>
      <c r="G418" s="64">
        <v>44186.62465277778</v>
      </c>
      <c r="H418" s="49"/>
      <c r="I418" s="49"/>
    </row>
    <row r="419">
      <c r="A419" s="27" t="s">
        <v>45</v>
      </c>
      <c r="B419" s="62" t="str">
        <f>hyperlink("https://au.indeed.com/viewjob?from=iaBackPress&amp;jk=29f65e39b9473cab&amp;vjs=3","Project Engineer")</f>
        <v>Project Engineer</v>
      </c>
      <c r="C419" s="57" t="s">
        <v>754</v>
      </c>
      <c r="D419" s="11" t="s">
        <v>61</v>
      </c>
      <c r="E419" s="27" t="s">
        <v>717</v>
      </c>
      <c r="F419" s="27"/>
      <c r="G419" s="64">
        <v>44186.62585648148</v>
      </c>
      <c r="H419" s="49"/>
      <c r="I419" s="49"/>
    </row>
    <row r="420">
      <c r="A420" s="27" t="s">
        <v>45</v>
      </c>
      <c r="B420" s="62" t="str">
        <f>hyperlink("https://au.indeed.com/viewjob?from=iaBackPress&amp;jk=feb17c9f2ca9f7d2&amp;vjs=3","Senior Project Engineer - Cowal")</f>
        <v>Senior Project Engineer - Cowal</v>
      </c>
      <c r="C420" s="57" t="s">
        <v>750</v>
      </c>
      <c r="D420" s="11" t="s">
        <v>672</v>
      </c>
      <c r="E420" s="27"/>
      <c r="F420" s="27"/>
      <c r="G420" s="64">
        <v>44186.62644675926</v>
      </c>
      <c r="H420" s="49"/>
      <c r="I420" s="49"/>
    </row>
    <row r="421">
      <c r="A421" s="27" t="s">
        <v>45</v>
      </c>
      <c r="B421" s="62" t="str">
        <f>hyperlink("https://au.indeed.com/viewjob?from=iaBackPress&amp;jk=56d66f468497c514&amp;vjs=3","Project Engineer")</f>
        <v>Project Engineer</v>
      </c>
      <c r="C421" s="57" t="s">
        <v>761</v>
      </c>
      <c r="D421" s="11" t="s">
        <v>60</v>
      </c>
      <c r="E421" s="27" t="s">
        <v>148</v>
      </c>
      <c r="F421" s="27"/>
      <c r="G421" s="64">
        <v>44186.62771990741</v>
      </c>
      <c r="H421" s="49"/>
      <c r="I421" s="49"/>
    </row>
    <row r="422">
      <c r="A422" s="27" t="s">
        <v>49</v>
      </c>
      <c r="B422" s="62" t="str">
        <f>hyperlink("https://au.indeed.com/viewjob?from=iaBackPress&amp;jk=2fa28558872f1306&amp;vjs=3","Lead Site Reliability Engineer")</f>
        <v>Lead Site Reliability Engineer</v>
      </c>
      <c r="C422" s="57" t="s">
        <v>762</v>
      </c>
      <c r="D422" s="11" t="s">
        <v>61</v>
      </c>
      <c r="E422" s="27" t="s">
        <v>180</v>
      </c>
      <c r="F422" s="27"/>
      <c r="G422" s="64">
        <v>44186.628900462965</v>
      </c>
      <c r="H422" s="49"/>
      <c r="I422" s="49"/>
    </row>
    <row r="423">
      <c r="A423" s="27" t="s">
        <v>49</v>
      </c>
      <c r="B423" s="62" t="str">
        <f>hyperlink("https://au.indeed.com/viewjob?from=iaBackPress&amp;jk=e01e3538682ff0c7&amp;vjs=3","Senior Site Reliability Engineer")</f>
        <v>Senior Site Reliability Engineer</v>
      </c>
      <c r="C423" s="57" t="s">
        <v>763</v>
      </c>
      <c r="D423" s="11" t="s">
        <v>60</v>
      </c>
      <c r="E423" s="27" t="s">
        <v>191</v>
      </c>
      <c r="F423" s="27"/>
      <c r="G423" s="64">
        <v>44186.62946759259</v>
      </c>
      <c r="H423" s="49"/>
      <c r="I423" s="49"/>
    </row>
    <row r="424">
      <c r="A424" s="27" t="s">
        <v>50</v>
      </c>
      <c r="B424" s="62" t="str">
        <f>hyperlink("https://au.indeed.com/viewjob?from=iaBackPress&amp;jk=196fbcc309bbe829&amp;vjs=3","Field Service Engineer - Managed Services (Sydney)")</f>
        <v>Field Service Engineer - Managed Services (Sydney)</v>
      </c>
      <c r="C424" s="57" t="s">
        <v>764</v>
      </c>
      <c r="D424" s="11" t="s">
        <v>62</v>
      </c>
      <c r="E424" s="27" t="s">
        <v>130</v>
      </c>
      <c r="F424" s="27"/>
      <c r="G424" s="64">
        <v>44186.63043981481</v>
      </c>
      <c r="H424" s="49"/>
      <c r="I424" s="49"/>
    </row>
    <row r="425">
      <c r="A425" s="27" t="s">
        <v>33</v>
      </c>
      <c r="B425" s="62" t="str">
        <f>hyperlink("https://au.indeed.com/viewjob?from=iaBackPress&amp;jk=90b85e9797cbef29&amp;vjs=3","Mechanical Design Engineer")</f>
        <v>Mechanical Design Engineer</v>
      </c>
      <c r="C425" s="57" t="s">
        <v>375</v>
      </c>
      <c r="D425" s="11" t="s">
        <v>61</v>
      </c>
      <c r="E425" s="27" t="s">
        <v>203</v>
      </c>
      <c r="F425" s="27" t="s">
        <v>765</v>
      </c>
      <c r="G425" s="64">
        <v>44189.704733796294</v>
      </c>
      <c r="H425" s="49"/>
      <c r="I425" s="49"/>
    </row>
    <row r="426">
      <c r="A426" s="27" t="s">
        <v>33</v>
      </c>
      <c r="B426" s="62" t="str">
        <f>hyperlink("https://au.indeed.com/viewjob?from=iaBackPress&amp;jk=627c606995cd76ec&amp;vjs=3","FPGA Design Engineer")</f>
        <v>FPGA Design Engineer</v>
      </c>
      <c r="C426" s="57" t="s">
        <v>730</v>
      </c>
      <c r="D426" s="11" t="s">
        <v>61</v>
      </c>
      <c r="E426" s="27" t="s">
        <v>756</v>
      </c>
      <c r="F426" s="27" t="s">
        <v>766</v>
      </c>
      <c r="G426" s="64">
        <v>44189.70538194444</v>
      </c>
      <c r="H426" s="49"/>
      <c r="I426" s="49"/>
    </row>
    <row r="427">
      <c r="A427" s="27" t="s">
        <v>33</v>
      </c>
      <c r="B427" s="62" t="str">
        <f>hyperlink("https://au.indeed.com/viewjob?from=iaBackPress&amp;jk=0b67319f39946614&amp;vjs=3","Civil Design Engineer")</f>
        <v>Civil Design Engineer</v>
      </c>
      <c r="C427" s="57" t="s">
        <v>757</v>
      </c>
      <c r="D427" s="11" t="s">
        <v>60</v>
      </c>
      <c r="E427" s="27" t="s">
        <v>146</v>
      </c>
      <c r="F427" s="27"/>
      <c r="G427" s="64">
        <v>44189.70670138889</v>
      </c>
      <c r="H427" s="49"/>
      <c r="I427" s="49"/>
    </row>
    <row r="428">
      <c r="A428" s="27" t="s">
        <v>34</v>
      </c>
      <c r="B428" s="62" t="str">
        <f>hyperlink("https://au.indeed.com/viewjob?from=iaBackPress&amp;jk=10fc1007cd0a24d5&amp;vjs=3","Software Development Engineer in Test II (Checkout Team)")</f>
        <v>Software Development Engineer in Test II (Checkout Team)</v>
      </c>
      <c r="C428" s="57" t="s">
        <v>767</v>
      </c>
      <c r="D428" s="11" t="s">
        <v>61</v>
      </c>
      <c r="E428" s="27" t="s">
        <v>120</v>
      </c>
      <c r="F428" s="27" t="s">
        <v>768</v>
      </c>
      <c r="G428" s="64">
        <v>44189.70972222222</v>
      </c>
      <c r="H428" s="49"/>
      <c r="I428" s="49"/>
    </row>
    <row r="429">
      <c r="A429" s="27" t="s">
        <v>36</v>
      </c>
      <c r="B429" s="62" t="str">
        <f>hyperlink("https://au.indeed.com/viewjob?from=iaBackPress&amp;jk=454b1eae25ddd2bf&amp;vjs=3","Senior Network &amp; Infrastructure Engineer")</f>
        <v>Senior Network &amp; Infrastructure Engineer</v>
      </c>
      <c r="C429" s="57" t="s">
        <v>758</v>
      </c>
      <c r="D429" s="11" t="s">
        <v>60</v>
      </c>
      <c r="E429" s="27" t="s">
        <v>153</v>
      </c>
      <c r="F429" s="27"/>
      <c r="G429" s="64">
        <v>44189.71392361111</v>
      </c>
      <c r="H429" s="49"/>
      <c r="I429" s="49"/>
    </row>
    <row r="430">
      <c r="A430" s="27" t="s">
        <v>42</v>
      </c>
      <c r="B430" s="62" t="str">
        <f>hyperlink("https://au.indeed.com/viewjob?from=iaBackPress&amp;jk=68c5d8270bd11ecf&amp;vjs=3","Senior Biomedical Production Engineer")</f>
        <v>Senior Biomedical Production Engineer</v>
      </c>
      <c r="C430" s="57" t="s">
        <v>749</v>
      </c>
      <c r="D430" s="11" t="s">
        <v>61</v>
      </c>
      <c r="E430" s="27" t="s">
        <v>166</v>
      </c>
      <c r="F430" s="27" t="s">
        <v>769</v>
      </c>
      <c r="G430" s="64">
        <v>44189.71600694444</v>
      </c>
      <c r="H430" s="49"/>
      <c r="I430" s="49"/>
    </row>
    <row r="431">
      <c r="A431" s="27" t="s">
        <v>45</v>
      </c>
      <c r="B431" s="62" t="str">
        <f>hyperlink("https://au.indeed.com/viewjob?from=iaBackPress&amp;jk=f85e10e79c4cb325&amp;vjs=3","SITE FOREMAN/PROJECT ENGINEER")</f>
        <v>SITE FOREMAN/PROJECT ENGINEER</v>
      </c>
      <c r="C431" s="57" t="s">
        <v>759</v>
      </c>
      <c r="D431" s="11" t="s">
        <v>61</v>
      </c>
      <c r="E431" s="27" t="s">
        <v>760</v>
      </c>
      <c r="F431" s="27" t="s">
        <v>770</v>
      </c>
      <c r="G431" s="64">
        <v>44189.71796296296</v>
      </c>
      <c r="H431" s="49"/>
      <c r="I431" s="49"/>
    </row>
    <row r="432">
      <c r="A432" s="27" t="s">
        <v>45</v>
      </c>
      <c r="B432" s="62" t="str">
        <f>hyperlink("https://au.indeed.com/viewjob?from=iaBackPress&amp;jk=56d66f468497c514&amp;vjs=3","Project Engineer")</f>
        <v>Project Engineer</v>
      </c>
      <c r="C432" s="57" t="s">
        <v>761</v>
      </c>
      <c r="D432" s="11" t="s">
        <v>60</v>
      </c>
      <c r="E432" s="27" t="s">
        <v>148</v>
      </c>
      <c r="F432" s="27"/>
      <c r="G432" s="64">
        <v>44189.71884259259</v>
      </c>
      <c r="H432" s="49"/>
      <c r="I432" s="49"/>
    </row>
    <row r="433">
      <c r="A433" s="27" t="s">
        <v>45</v>
      </c>
      <c r="B433" s="62" t="str">
        <f>hyperlink("https://au.indeed.com/viewjob?from=iaBackPress&amp;jk=29f65e39b9473cab&amp;vjs=3","Project Engineer")</f>
        <v>Project Engineer</v>
      </c>
      <c r="C433" s="57" t="s">
        <v>754</v>
      </c>
      <c r="D433" s="11" t="s">
        <v>61</v>
      </c>
      <c r="E433" s="27" t="s">
        <v>717</v>
      </c>
      <c r="F433" s="27" t="s">
        <v>771</v>
      </c>
      <c r="G433" s="64">
        <v>44189.72085648148</v>
      </c>
      <c r="H433" s="49"/>
      <c r="I433" s="49"/>
    </row>
    <row r="434">
      <c r="A434" s="27" t="s">
        <v>45</v>
      </c>
      <c r="B434" s="62" t="str">
        <f>hyperlink("https://au.indeed.com/viewjob?from=iaBackPress&amp;jk=feb17c9f2ca9f7d2&amp;vjs=3","Senior Project Engineer - Cowal")</f>
        <v>Senior Project Engineer - Cowal</v>
      </c>
      <c r="C434" s="57" t="s">
        <v>750</v>
      </c>
      <c r="D434" s="11" t="s">
        <v>672</v>
      </c>
      <c r="E434" s="27"/>
      <c r="F434" s="27"/>
      <c r="G434" s="64">
        <v>44189.72175925926</v>
      </c>
      <c r="H434" s="49"/>
      <c r="I434" s="49"/>
    </row>
    <row r="435">
      <c r="A435" s="27" t="s">
        <v>45</v>
      </c>
      <c r="B435" s="62" t="str">
        <f>hyperlink("https://au.indeed.com/viewjob?from=iaBackPress&amp;jk=56d66f468497c514&amp;vjs=3","Project Engineer")</f>
        <v>Project Engineer</v>
      </c>
      <c r="C435" s="57" t="s">
        <v>761</v>
      </c>
      <c r="D435" s="11" t="s">
        <v>60</v>
      </c>
      <c r="E435" s="27" t="s">
        <v>148</v>
      </c>
      <c r="F435" s="27"/>
      <c r="G435" s="64">
        <v>44189.72340277778</v>
      </c>
      <c r="H435" s="49"/>
      <c r="I435" s="49"/>
    </row>
    <row r="436">
      <c r="A436" s="27" t="s">
        <v>49</v>
      </c>
      <c r="B436" s="62" t="str">
        <f>hyperlink("https://au.indeed.com/viewjob?from=iaBackPress&amp;jk=2fa28558872f1306&amp;vjs=3","Lead Site Reliability Engineer")</f>
        <v>Lead Site Reliability Engineer</v>
      </c>
      <c r="C436" s="57" t="s">
        <v>762</v>
      </c>
      <c r="D436" s="11" t="s">
        <v>61</v>
      </c>
      <c r="E436" s="27" t="s">
        <v>180</v>
      </c>
      <c r="F436" s="27" t="s">
        <v>772</v>
      </c>
      <c r="G436" s="64">
        <v>44189.72586805555</v>
      </c>
      <c r="H436" s="49"/>
      <c r="I436" s="49"/>
    </row>
    <row r="437">
      <c r="A437" s="27" t="s">
        <v>49</v>
      </c>
      <c r="B437" s="62" t="str">
        <f>hyperlink("https://au.indeed.com/viewjob?from=iaBackPress&amp;jk=e01e3538682ff0c7&amp;vjs=3","Senior Site Reliability Engineer")</f>
        <v>Senior Site Reliability Engineer</v>
      </c>
      <c r="C437" s="57" t="s">
        <v>763</v>
      </c>
      <c r="D437" s="11" t="s">
        <v>60</v>
      </c>
      <c r="E437" s="27" t="s">
        <v>191</v>
      </c>
      <c r="F437" s="27"/>
      <c r="G437" s="64">
        <v>44189.72756944445</v>
      </c>
      <c r="H437" s="49"/>
      <c r="I437" s="49"/>
    </row>
    <row r="438">
      <c r="A438" s="27" t="s">
        <v>50</v>
      </c>
      <c r="B438" s="62" t="str">
        <f>hyperlink("https://au.indeed.com/viewjob?from=iaBackPress&amp;jk=196fbcc309bbe829&amp;vjs=3","Field Service Engineer - Managed Services (Sydney)")</f>
        <v>Field Service Engineer - Managed Services (Sydney)</v>
      </c>
      <c r="C438" s="57" t="s">
        <v>764</v>
      </c>
      <c r="D438" s="11" t="s">
        <v>62</v>
      </c>
      <c r="E438" s="27" t="s">
        <v>130</v>
      </c>
      <c r="F438" s="27"/>
      <c r="G438" s="64">
        <v>44189.72923611111</v>
      </c>
      <c r="H438" s="49"/>
      <c r="I438" s="49"/>
    </row>
    <row r="439">
      <c r="A439" s="27" t="s">
        <v>51</v>
      </c>
      <c r="B439" s="62" t="str">
        <f>hyperlink("https://au.indeed.com/viewjob?from=iaBackPress&amp;jk=b76fe947a2b4cdad&amp;vjs=3","Site Engineer")</f>
        <v>Site Engineer</v>
      </c>
      <c r="C439" s="57" t="s">
        <v>773</v>
      </c>
      <c r="D439" s="11" t="s">
        <v>60</v>
      </c>
      <c r="E439" s="27" t="s">
        <v>150</v>
      </c>
      <c r="F439" s="27"/>
      <c r="G439" s="64">
        <v>44189.72998842593</v>
      </c>
      <c r="H439" s="49"/>
      <c r="I439" s="49"/>
    </row>
    <row r="440">
      <c r="A440" s="27" t="s">
        <v>33</v>
      </c>
      <c r="B440" s="62" t="str">
        <f>hyperlink("https://au.indeed.com/viewjob?from=iaBackPress&amp;jk=90b85e9797cbef29&amp;vjs=3","Mechanical Design Engineer")</f>
        <v>Mechanical Design Engineer</v>
      </c>
      <c r="C440" s="57" t="s">
        <v>375</v>
      </c>
      <c r="D440" s="11" t="s">
        <v>61</v>
      </c>
      <c r="E440" s="27" t="s">
        <v>203</v>
      </c>
      <c r="F440" s="27" t="s">
        <v>774</v>
      </c>
      <c r="G440" s="64">
        <v>44189.778229166666</v>
      </c>
      <c r="H440" s="49"/>
      <c r="I440" s="49"/>
    </row>
    <row r="441">
      <c r="A441" s="27" t="s">
        <v>33</v>
      </c>
      <c r="B441" s="62" t="str">
        <f>hyperlink("https://au.indeed.com/viewjob?from=iaBackPress&amp;jk=627c606995cd76ec&amp;vjs=3","FPGA Design Engineer")</f>
        <v>FPGA Design Engineer</v>
      </c>
      <c r="C441" s="57" t="s">
        <v>730</v>
      </c>
      <c r="D441" s="11" t="s">
        <v>61</v>
      </c>
      <c r="E441" s="27" t="s">
        <v>756</v>
      </c>
      <c r="F441" s="27" t="s">
        <v>775</v>
      </c>
      <c r="G441" s="64">
        <v>44189.77854166667</v>
      </c>
      <c r="H441" s="49"/>
      <c r="I441" s="49"/>
    </row>
    <row r="442">
      <c r="A442" s="27" t="s">
        <v>33</v>
      </c>
      <c r="B442" s="62" t="str">
        <f>hyperlink("https://au.indeed.com/viewjob?from=iaBackPress&amp;jk=0b67319f39946614&amp;vjs=3","Civil Design Engineer")</f>
        <v>Civil Design Engineer</v>
      </c>
      <c r="C442" s="57" t="s">
        <v>757</v>
      </c>
      <c r="D442" s="11" t="s">
        <v>60</v>
      </c>
      <c r="E442" s="27" t="s">
        <v>146</v>
      </c>
      <c r="F442" s="27"/>
      <c r="G442" s="64">
        <v>44189.77885416667</v>
      </c>
      <c r="H442" s="49"/>
      <c r="I442" s="49"/>
    </row>
    <row r="443">
      <c r="A443" s="27" t="s">
        <v>34</v>
      </c>
      <c r="B443" s="62" t="str">
        <f>hyperlink("https://au.indeed.com/viewjob?from=iaBackPress&amp;jk=10fc1007cd0a24d5&amp;vjs=3","Software Development Engineer in Test II (Checkout Team)")</f>
        <v>Software Development Engineer in Test II (Checkout Team)</v>
      </c>
      <c r="C443" s="57" t="s">
        <v>767</v>
      </c>
      <c r="D443" s="11" t="s">
        <v>61</v>
      </c>
      <c r="E443" s="27" t="s">
        <v>120</v>
      </c>
      <c r="F443" s="27" t="s">
        <v>776</v>
      </c>
      <c r="G443" s="64">
        <v>44189.779282407406</v>
      </c>
      <c r="H443" s="49"/>
      <c r="I443" s="49"/>
    </row>
    <row r="444">
      <c r="A444" s="27" t="s">
        <v>36</v>
      </c>
      <c r="B444" s="62" t="str">
        <f>hyperlink("https://au.indeed.com/viewjob?from=iaBackPress&amp;jk=454b1eae25ddd2bf&amp;vjs=3","Senior Network &amp; Infrastructure Engineer")</f>
        <v>Senior Network &amp; Infrastructure Engineer</v>
      </c>
      <c r="C444" s="57" t="s">
        <v>758</v>
      </c>
      <c r="D444" s="11" t="s">
        <v>60</v>
      </c>
      <c r="E444" s="27" t="s">
        <v>153</v>
      </c>
      <c r="F444" s="27"/>
      <c r="G444" s="64">
        <v>44189.77990740741</v>
      </c>
      <c r="H444" s="49"/>
      <c r="I444" s="49"/>
    </row>
    <row r="445">
      <c r="A445" s="27" t="s">
        <v>26</v>
      </c>
      <c r="B445" s="62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445" s="57" t="s">
        <v>777</v>
      </c>
      <c r="D445" s="11" t="s">
        <v>61</v>
      </c>
      <c r="E445" s="27" t="s">
        <v>778</v>
      </c>
      <c r="F445" s="27" t="s">
        <v>779</v>
      </c>
      <c r="G445" s="63">
        <v>44202.36143518519</v>
      </c>
      <c r="H445" s="49"/>
      <c r="I445" s="49"/>
    </row>
    <row r="446">
      <c r="A446" s="27" t="s">
        <v>33</v>
      </c>
      <c r="B446" s="62" t="str">
        <f>hyperlink("https://au.indeed.com/viewjob?from=iaBackPress&amp;jk=b6f7efaf7e94544a&amp;vjs=3","Technical | Design Engineer | Structural Engineer")</f>
        <v>Technical | Design Engineer | Structural Engineer</v>
      </c>
      <c r="C446" s="57" t="s">
        <v>748</v>
      </c>
      <c r="D446" s="11" t="s">
        <v>62</v>
      </c>
      <c r="E446" s="27" t="s">
        <v>780</v>
      </c>
      <c r="F446" s="27"/>
      <c r="G446" s="63">
        <v>44202.363229166665</v>
      </c>
      <c r="H446" s="49"/>
      <c r="I446" s="49"/>
    </row>
    <row r="447">
      <c r="A447" s="27" t="s">
        <v>33</v>
      </c>
      <c r="B447" s="62" t="str">
        <f>hyperlink("https://au.indeed.com/viewjob?from=iaBackPress&amp;jk=627c606995cd76ec&amp;vjs=3","FPGA Design Engineer")</f>
        <v>FPGA Design Engineer</v>
      </c>
      <c r="C447" s="57" t="s">
        <v>730</v>
      </c>
      <c r="D447" s="11" t="s">
        <v>61</v>
      </c>
      <c r="E447" s="27" t="s">
        <v>756</v>
      </c>
      <c r="F447" s="27" t="s">
        <v>781</v>
      </c>
      <c r="G447" s="63">
        <v>44202.36494212963</v>
      </c>
      <c r="H447" s="49"/>
      <c r="I447" s="49"/>
    </row>
    <row r="448">
      <c r="A448" s="27" t="s">
        <v>34</v>
      </c>
      <c r="B448" s="62" t="str">
        <f>hyperlink("https://au.indeed.com/viewjob?from=iaBackPress&amp;jk=10fc1007cd0a24d5&amp;vjs=3","Software Development Engineer in Test II (Checkout Team)")</f>
        <v>Software Development Engineer in Test II (Checkout Team)</v>
      </c>
      <c r="C448" s="57" t="s">
        <v>767</v>
      </c>
      <c r="D448" s="11" t="s">
        <v>61</v>
      </c>
      <c r="E448" s="27" t="s">
        <v>782</v>
      </c>
      <c r="F448" s="27" t="s">
        <v>783</v>
      </c>
      <c r="G448" s="63">
        <v>44202.36591435185</v>
      </c>
      <c r="H448" s="49"/>
      <c r="I448" s="49"/>
    </row>
    <row r="449">
      <c r="A449" s="27" t="s">
        <v>36</v>
      </c>
      <c r="B449" s="62" t="str">
        <f>hyperlink("https://au.indeed.com/viewjob?from=iaBackPress&amp;jk=454b1eae25ddd2bf&amp;vjs=3","Senior Network &amp; Infrastructure Engineer")</f>
        <v>Senior Network &amp; Infrastructure Engineer</v>
      </c>
      <c r="C449" s="57" t="s">
        <v>758</v>
      </c>
      <c r="D449" s="11" t="s">
        <v>60</v>
      </c>
      <c r="E449" s="27" t="s">
        <v>784</v>
      </c>
      <c r="F449" s="27"/>
      <c r="G449" s="63">
        <v>44202.36671296296</v>
      </c>
      <c r="H449" s="49"/>
      <c r="I449" s="49"/>
    </row>
    <row r="450">
      <c r="A450" s="27" t="s">
        <v>26</v>
      </c>
      <c r="B450" s="62" t="str">
        <f t="shared" ref="B450:B451" si="22">hyperlink("https://au.indeed.com/viewjob?from=iaBackPress&amp;jk=bb09d781c7a9c1d7&amp;vjs=3","Senior Mechanical Engineer - Cowal")</f>
        <v>Senior Mechanical Engineer - Cowal</v>
      </c>
      <c r="C450" s="57" t="s">
        <v>750</v>
      </c>
      <c r="D450" s="11" t="s">
        <v>672</v>
      </c>
      <c r="E450" s="27"/>
      <c r="F450" s="27"/>
      <c r="G450" s="63">
        <v>44209.726273148146</v>
      </c>
      <c r="H450" s="49"/>
      <c r="I450" s="49"/>
    </row>
    <row r="451">
      <c r="A451" s="27" t="s">
        <v>26</v>
      </c>
      <c r="B451" s="62" t="str">
        <f t="shared" si="22"/>
        <v>Senior Mechanical Engineer - Cowal</v>
      </c>
      <c r="C451" s="57" t="s">
        <v>750</v>
      </c>
      <c r="D451" s="11" t="s">
        <v>672</v>
      </c>
      <c r="E451" s="27"/>
      <c r="F451" s="27"/>
      <c r="G451" s="63">
        <v>44209.72939814815</v>
      </c>
      <c r="H451" s="49"/>
      <c r="I451" s="49"/>
    </row>
    <row r="452">
      <c r="A452" s="27" t="s">
        <v>26</v>
      </c>
      <c r="B452" s="62" t="str">
        <f t="shared" ref="B452:B453" si="23">hyperlink("https://au.indeed.com/viewjob?from=iaBackPress&amp;jk=0135effafd949ae0&amp;vjs=3","Trade Qualified Sales Engineer / Mechanical Engineer / Fitter")</f>
        <v>Trade Qualified Sales Engineer / Mechanical Engineer / Fitter</v>
      </c>
      <c r="C452" s="57" t="s">
        <v>777</v>
      </c>
      <c r="D452" s="11" t="s">
        <v>61</v>
      </c>
      <c r="E452" s="27" t="s">
        <v>778</v>
      </c>
      <c r="F452" s="27" t="s">
        <v>785</v>
      </c>
      <c r="G452" s="63">
        <v>44209.73059027778</v>
      </c>
      <c r="H452" s="49"/>
      <c r="I452" s="49"/>
    </row>
    <row r="453">
      <c r="A453" s="27" t="s">
        <v>26</v>
      </c>
      <c r="B453" s="62" t="str">
        <f t="shared" si="23"/>
        <v>Trade Qualified Sales Engineer / Mechanical Engineer / Fitter</v>
      </c>
      <c r="C453" s="57" t="s">
        <v>777</v>
      </c>
      <c r="D453" s="11" t="s">
        <v>61</v>
      </c>
      <c r="E453" s="27" t="s">
        <v>778</v>
      </c>
      <c r="F453" s="27" t="s">
        <v>786</v>
      </c>
      <c r="G453" s="63">
        <v>44209.7368287037</v>
      </c>
      <c r="H453" s="49"/>
      <c r="I453" s="49"/>
    </row>
    <row r="454">
      <c r="A454" s="27" t="s">
        <v>33</v>
      </c>
      <c r="B454" s="62" t="str">
        <f>hyperlink("https://au.indeed.com/viewjob?from=iaBackPress&amp;jk=e56c6b87b1452a2e&amp;vjs=3","Product Design Engineer - Maker Industry")</f>
        <v>Product Design Engineer - Maker Industry</v>
      </c>
      <c r="C454" s="57" t="s">
        <v>787</v>
      </c>
      <c r="D454" s="11" t="s">
        <v>61</v>
      </c>
      <c r="E454" s="27" t="s">
        <v>788</v>
      </c>
      <c r="F454" s="27" t="s">
        <v>789</v>
      </c>
      <c r="G454" s="63">
        <v>44209.73903935185</v>
      </c>
      <c r="H454" s="49"/>
      <c r="I454" s="49"/>
    </row>
    <row r="455">
      <c r="A455" s="27" t="s">
        <v>33</v>
      </c>
      <c r="B455" s="62" t="str">
        <f>hyperlink("https://au.indeed.com/viewjob?from=iaBackPress&amp;jk=2a9998a0e61e5a15&amp;vjs=3","Product design and mechatronics engineer")</f>
        <v>Product design and mechatronics engineer</v>
      </c>
      <c r="C455" s="57" t="s">
        <v>790</v>
      </c>
      <c r="D455" s="11" t="s">
        <v>60</v>
      </c>
      <c r="E455" s="27" t="s">
        <v>791</v>
      </c>
      <c r="F455" s="27"/>
      <c r="G455" s="63">
        <v>44209.73939814815</v>
      </c>
      <c r="H455" s="49"/>
      <c r="I455" s="49"/>
    </row>
    <row r="456">
      <c r="A456" s="27" t="s">
        <v>33</v>
      </c>
      <c r="B456" s="62" t="str">
        <f>hyperlink("https://au.indeed.com/viewjob?from=iaBackPress&amp;jk=e56c6b87b1452a2e&amp;vjs=3","Product Design Engineer - Maker Industry")</f>
        <v>Product Design Engineer - Maker Industry</v>
      </c>
      <c r="C456" s="57" t="s">
        <v>787</v>
      </c>
      <c r="D456" s="11" t="s">
        <v>61</v>
      </c>
      <c r="E456" s="27" t="s">
        <v>788</v>
      </c>
      <c r="F456" s="27" t="s">
        <v>792</v>
      </c>
      <c r="G456" s="63">
        <v>44209.747025462966</v>
      </c>
      <c r="H456" s="49"/>
      <c r="I456" s="49"/>
    </row>
    <row r="457">
      <c r="A457" s="27" t="s">
        <v>34</v>
      </c>
      <c r="B457" s="62" t="str">
        <f>hyperlink("https://au.indeed.com/viewjob?from=iaBackPress&amp;jk=10fc1007cd0a24d5&amp;vjs=3","Software Development Engineer in Test II (Checkout Team)")</f>
        <v>Software Development Engineer in Test II (Checkout Team)</v>
      </c>
      <c r="C457" s="57" t="s">
        <v>767</v>
      </c>
      <c r="D457" s="11" t="s">
        <v>61</v>
      </c>
      <c r="E457" s="27" t="s">
        <v>782</v>
      </c>
      <c r="F457" s="27" t="s">
        <v>793</v>
      </c>
      <c r="G457" s="63">
        <v>44209.74914351852</v>
      </c>
      <c r="H457" s="49"/>
      <c r="I457" s="49"/>
    </row>
    <row r="458">
      <c r="A458" s="27" t="s">
        <v>34</v>
      </c>
      <c r="B458" s="62" t="str">
        <f>hyperlink("https://au.indeed.com/viewjob?from=iaBackPress&amp;jk=10fe0a7b36ca203b&amp;vjs=3","Senior Software Engineer (Physics/Game Development)")</f>
        <v>Senior Software Engineer (Physics/Game Development)</v>
      </c>
      <c r="C458" s="57" t="s">
        <v>794</v>
      </c>
      <c r="D458" s="11" t="s">
        <v>60</v>
      </c>
      <c r="E458" s="27" t="s">
        <v>782</v>
      </c>
      <c r="F458" s="27"/>
      <c r="G458" s="63">
        <v>44209.7499537037</v>
      </c>
      <c r="H458" s="49"/>
      <c r="I458" s="49"/>
    </row>
    <row r="459">
      <c r="A459" s="27" t="s">
        <v>34</v>
      </c>
      <c r="B459" s="62" t="str">
        <f>hyperlink("https://au.indeed.com/viewjob?from=iaBackPress&amp;jk=c74255ab6c743f66&amp;vjs=3","Junior Software Engineer (Game Development, C++) Internship Program")</f>
        <v>Junior Software Engineer (Game Development, C++) Internship Program</v>
      </c>
      <c r="C459" s="57" t="s">
        <v>794</v>
      </c>
      <c r="D459" s="11" t="s">
        <v>61</v>
      </c>
      <c r="E459" s="27" t="s">
        <v>795</v>
      </c>
      <c r="F459" s="27" t="s">
        <v>796</v>
      </c>
      <c r="G459" s="63">
        <v>44209.75033564815</v>
      </c>
      <c r="H459" s="49"/>
      <c r="I459" s="49"/>
    </row>
    <row r="460">
      <c r="A460" s="27" t="s">
        <v>34</v>
      </c>
      <c r="B460" s="62" t="str">
        <f>hyperlink("https://au.indeed.com/viewjob?from=iaBackPress&amp;jk=a3e1b0825317c814&amp;vjs=3","Junior Software Engineer (Game Development, C++) Internship Program")</f>
        <v>Junior Software Engineer (Game Development, C++) Internship Program</v>
      </c>
      <c r="C460" s="57" t="s">
        <v>797</v>
      </c>
      <c r="D460" s="11" t="s">
        <v>61</v>
      </c>
      <c r="E460" s="27" t="s">
        <v>795</v>
      </c>
      <c r="F460" s="27" t="s">
        <v>798</v>
      </c>
      <c r="G460" s="63">
        <v>44209.751909722225</v>
      </c>
      <c r="H460" s="49"/>
      <c r="I460" s="49"/>
    </row>
    <row r="461">
      <c r="A461" s="27" t="s">
        <v>36</v>
      </c>
      <c r="B461" s="62" t="str">
        <f>hyperlink("https://au.indeed.com/viewjob?from=iaBackPress&amp;jk=e8d148374be4d92b&amp;vjs=3","Senior ML Infrastructure Engineer")</f>
        <v>Senior ML Infrastructure Engineer</v>
      </c>
      <c r="C461" s="57" t="s">
        <v>763</v>
      </c>
      <c r="D461" s="11" t="s">
        <v>61</v>
      </c>
      <c r="E461" s="27" t="s">
        <v>799</v>
      </c>
      <c r="F461" s="27" t="s">
        <v>800</v>
      </c>
      <c r="G461" s="63">
        <v>44209.75921296296</v>
      </c>
      <c r="H461" s="49"/>
      <c r="I461" s="49"/>
    </row>
    <row r="462">
      <c r="A462" s="27" t="s">
        <v>36</v>
      </c>
      <c r="B462" s="62" t="str">
        <f>hyperlink("https://au.indeed.com/viewjob?from=iaBackPress&amp;jk=454b1eae25ddd2bf&amp;vjs=3","Senior Network &amp; Infrastructure Engineer")</f>
        <v>Senior Network &amp; Infrastructure Engineer</v>
      </c>
      <c r="C462" s="57" t="s">
        <v>758</v>
      </c>
      <c r="D462" s="11" t="s">
        <v>60</v>
      </c>
      <c r="E462" s="27" t="s">
        <v>784</v>
      </c>
      <c r="F462" s="27"/>
      <c r="G462" s="63">
        <v>44209.76</v>
      </c>
      <c r="H462" s="49"/>
      <c r="I462" s="49"/>
    </row>
    <row r="463">
      <c r="A463" s="27" t="s">
        <v>45</v>
      </c>
      <c r="B463" s="62" t="str">
        <f>hyperlink("https://au.indeed.com/viewjob?from=iaBackPress&amp;jk=56d66f468497c514&amp;vjs=3","Project Engineer")</f>
        <v>Project Engineer</v>
      </c>
      <c r="C463" s="57" t="s">
        <v>761</v>
      </c>
      <c r="D463" s="11" t="s">
        <v>61</v>
      </c>
      <c r="E463" s="27" t="s">
        <v>801</v>
      </c>
      <c r="F463" s="27" t="s">
        <v>802</v>
      </c>
      <c r="G463" s="63">
        <v>44209.76892361111</v>
      </c>
      <c r="H463" s="49"/>
      <c r="I463" s="49"/>
    </row>
    <row r="464">
      <c r="A464" s="27" t="s">
        <v>45</v>
      </c>
      <c r="B464" s="62" t="str">
        <f>hyperlink("https://au.indeed.com/viewjob?from=iaBackPress&amp;jk=29f65e39b9473cab&amp;vjs=3","Project Engineer")</f>
        <v>Project Engineer</v>
      </c>
      <c r="C464" s="57" t="s">
        <v>754</v>
      </c>
      <c r="D464" s="11" t="s">
        <v>61</v>
      </c>
      <c r="E464" s="27" t="s">
        <v>717</v>
      </c>
      <c r="F464" s="27" t="s">
        <v>803</v>
      </c>
      <c r="G464" s="63">
        <v>44209.772627314815</v>
      </c>
      <c r="H464" s="49"/>
      <c r="I464" s="49"/>
    </row>
    <row r="465">
      <c r="A465" s="27" t="s">
        <v>45</v>
      </c>
      <c r="B465" s="62" t="str">
        <f>hyperlink("https://au.indeed.com/viewjob?from=iaBackPress&amp;jk=71b7f392510c08eb&amp;vjs=3","Project Sales Engineer")</f>
        <v>Project Sales Engineer</v>
      </c>
      <c r="C465" s="57" t="s">
        <v>804</v>
      </c>
      <c r="D465" s="11" t="s">
        <v>60</v>
      </c>
      <c r="E465" s="27" t="s">
        <v>805</v>
      </c>
      <c r="F465" s="27"/>
      <c r="G465" s="63">
        <v>44209.773506944446</v>
      </c>
      <c r="H465" s="49"/>
      <c r="I465" s="49"/>
    </row>
    <row r="466">
      <c r="A466" s="27" t="s">
        <v>26</v>
      </c>
      <c r="B466" s="62" t="str">
        <f>hyperlink("https://au.indeed.com/viewjob?from=iaBackPress&amp;jk=bb09d781c7a9c1d7&amp;vjs=3","Senior Mechanical Engineer - Cowal")</f>
        <v>Senior Mechanical Engineer - Cowal</v>
      </c>
      <c r="C466" s="57" t="s">
        <v>750</v>
      </c>
      <c r="D466" s="11" t="s">
        <v>672</v>
      </c>
      <c r="E466" s="27"/>
      <c r="F466" s="27"/>
      <c r="G466" s="63">
        <v>44217.7422337963</v>
      </c>
      <c r="H466" s="49"/>
      <c r="I466" s="49"/>
    </row>
    <row r="467">
      <c r="A467" s="27" t="s">
        <v>26</v>
      </c>
      <c r="B467" s="62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467" s="57" t="s">
        <v>777</v>
      </c>
      <c r="D467" s="11" t="s">
        <v>61</v>
      </c>
      <c r="E467" s="27" t="s">
        <v>778</v>
      </c>
      <c r="F467" s="27" t="s">
        <v>806</v>
      </c>
      <c r="G467" s="63">
        <v>44217.74261574074</v>
      </c>
      <c r="H467" s="49"/>
      <c r="I467" s="49"/>
    </row>
    <row r="468">
      <c r="A468" s="27" t="s">
        <v>26</v>
      </c>
      <c r="B468" s="62" t="str">
        <f>hyperlink("https://au.indeed.com/viewjob?from=iaBackPress&amp;jk=e9f3562f583cfd2b&amp;vjs=3","Mechanical Engineer, Port Kembla NSW")</f>
        <v>Mechanical Engineer, Port Kembla NSW</v>
      </c>
      <c r="C468" s="57" t="s">
        <v>807</v>
      </c>
      <c r="D468" s="11" t="s">
        <v>61</v>
      </c>
      <c r="E468" s="27" t="s">
        <v>808</v>
      </c>
      <c r="F468" s="27" t="s">
        <v>809</v>
      </c>
      <c r="G468" s="63">
        <v>44217.744050925925</v>
      </c>
      <c r="H468" s="49"/>
      <c r="I468" s="49"/>
    </row>
    <row r="469">
      <c r="A469" s="27" t="s">
        <v>33</v>
      </c>
      <c r="B469" s="62" t="str">
        <f>hyperlink("https://au.indeed.com/viewjob?from=iaBackPress&amp;jk=2a9998a0e61e5a15&amp;vjs=3","Product design and mechatronics engineer")</f>
        <v>Product design and mechatronics engineer</v>
      </c>
      <c r="C469" s="57" t="s">
        <v>810</v>
      </c>
      <c r="D469" s="11" t="s">
        <v>60</v>
      </c>
      <c r="E469" s="27" t="s">
        <v>791</v>
      </c>
      <c r="F469" s="27"/>
      <c r="G469" s="63">
        <v>44217.748715277776</v>
      </c>
      <c r="H469" s="49"/>
      <c r="I469" s="49"/>
    </row>
    <row r="470">
      <c r="A470" s="27" t="s">
        <v>26</v>
      </c>
      <c r="B470" s="62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470" s="57" t="s">
        <v>777</v>
      </c>
      <c r="D470" s="11" t="s">
        <v>61</v>
      </c>
      <c r="E470" s="27" t="s">
        <v>778</v>
      </c>
      <c r="F470" s="27" t="s">
        <v>811</v>
      </c>
      <c r="G470" s="63">
        <v>44221.63869212963</v>
      </c>
      <c r="H470" s="49"/>
      <c r="I470" s="49"/>
    </row>
    <row r="471">
      <c r="A471" s="27" t="s">
        <v>26</v>
      </c>
      <c r="B471" s="62" t="str">
        <f>hyperlink("https://au.indeed.com/viewjob?from=iaBackPress&amp;jk=e9f3562f583cfd2b&amp;vjs=3","Mechanical Engineer, Port Kembla NSW")</f>
        <v>Mechanical Engineer, Port Kembla NSW</v>
      </c>
      <c r="C471" s="57" t="s">
        <v>807</v>
      </c>
      <c r="D471" s="11" t="s">
        <v>61</v>
      </c>
      <c r="E471" s="27" t="s">
        <v>808</v>
      </c>
      <c r="F471" s="27" t="s">
        <v>812</v>
      </c>
      <c r="G471" s="63">
        <v>44221.639085648145</v>
      </c>
      <c r="H471" s="49"/>
      <c r="I471" s="49"/>
    </row>
    <row r="472">
      <c r="A472" s="27" t="s">
        <v>33</v>
      </c>
      <c r="B472" s="62" t="str">
        <f>hyperlink("https://au.indeed.com/viewjob?from=iaBackPress&amp;jk=2a9998a0e61e5a15&amp;vjs=3","Product design and mechatronics engineer")</f>
        <v>Product design and mechatronics engineer</v>
      </c>
      <c r="C472" s="57" t="s">
        <v>810</v>
      </c>
      <c r="D472" s="11" t="s">
        <v>60</v>
      </c>
      <c r="E472" s="27" t="s">
        <v>791</v>
      </c>
      <c r="F472" s="27"/>
      <c r="G472" s="63">
        <v>44221.64197916666</v>
      </c>
      <c r="H472" s="49"/>
      <c r="I472" s="49"/>
    </row>
    <row r="473">
      <c r="A473" s="27" t="s">
        <v>34</v>
      </c>
      <c r="B473" s="62" t="str">
        <f>hyperlink("https://au.indeed.com/viewjob?from=iaBackPress&amp;jk=cfcc39a3380a0595&amp;vjs=3","Junior/Mid Software Engineer (Game Development, Unreal)")</f>
        <v>Junior/Mid Software Engineer (Game Development, Unreal)</v>
      </c>
      <c r="C473" s="57" t="s">
        <v>794</v>
      </c>
      <c r="D473" s="11" t="s">
        <v>63</v>
      </c>
      <c r="E473" s="27" t="s">
        <v>813</v>
      </c>
      <c r="F473" s="27" t="s">
        <v>814</v>
      </c>
      <c r="G473" s="63">
        <v>44221.64641203704</v>
      </c>
      <c r="H473" s="49"/>
      <c r="I473" s="49"/>
    </row>
    <row r="474">
      <c r="A474" s="27" t="s">
        <v>34</v>
      </c>
      <c r="B474" s="62" t="str">
        <f>hyperlink("https://au.indeed.com/viewjob?from=iaBackPress&amp;jk=10fc1007cd0a24d5&amp;vjs=3","Software Development Engineer in Test II (Checkout Team)")</f>
        <v>Software Development Engineer in Test II (Checkout Team)</v>
      </c>
      <c r="C474" s="57" t="s">
        <v>767</v>
      </c>
      <c r="D474" s="11" t="s">
        <v>61</v>
      </c>
      <c r="E474" s="27" t="s">
        <v>782</v>
      </c>
      <c r="F474" s="27" t="s">
        <v>815</v>
      </c>
      <c r="G474" s="63">
        <v>44221.64680555555</v>
      </c>
      <c r="H474" s="49"/>
      <c r="I474" s="49"/>
    </row>
    <row r="475">
      <c r="A475" s="27" t="s">
        <v>34</v>
      </c>
      <c r="B475" s="62" t="str">
        <f>hyperlink("https://au.indeed.com/viewjob?from=iaBackPress&amp;jk=acd431976056beef&amp;vjs=3","Junior/Mid Software Engineer (Online Game Development, Unreal)")</f>
        <v>Junior/Mid Software Engineer (Online Game Development, Unreal)</v>
      </c>
      <c r="C475" s="57" t="s">
        <v>797</v>
      </c>
      <c r="D475" s="11" t="s">
        <v>63</v>
      </c>
      <c r="E475" s="27" t="s">
        <v>813</v>
      </c>
      <c r="F475" s="27" t="s">
        <v>816</v>
      </c>
      <c r="G475" s="63">
        <v>44221.64770833333</v>
      </c>
      <c r="H475" s="49"/>
      <c r="I475" s="49"/>
    </row>
    <row r="476">
      <c r="A476" s="27" t="s">
        <v>34</v>
      </c>
      <c r="B476" s="62" t="str">
        <f>hyperlink("https://au.indeed.com/viewjob?from=iaBackPress&amp;jk=c74255ab6c743f66&amp;vjs=3","Junior Software Engineer (Game Development, C++) Internship Program")</f>
        <v>Junior Software Engineer (Game Development, C++) Internship Program</v>
      </c>
      <c r="C476" s="57" t="s">
        <v>794</v>
      </c>
      <c r="D476" s="11" t="s">
        <v>61</v>
      </c>
      <c r="E476" s="27" t="s">
        <v>795</v>
      </c>
      <c r="F476" s="27" t="s">
        <v>817</v>
      </c>
      <c r="G476" s="63">
        <v>44221.64828703704</v>
      </c>
      <c r="H476" s="49"/>
      <c r="I476" s="49"/>
    </row>
    <row r="477">
      <c r="A477" s="27" t="s">
        <v>34</v>
      </c>
      <c r="B477" s="62" t="str">
        <f>hyperlink("https://au.indeed.com/viewjob?from=iaBackPress&amp;jk=a3e1b0825317c814&amp;vjs=3","Junior Software Engineer (Game Development, C++) Internship Program")</f>
        <v>Junior Software Engineer (Game Development, C++) Internship Program</v>
      </c>
      <c r="C477" s="57" t="s">
        <v>797</v>
      </c>
      <c r="D477" s="11" t="s">
        <v>61</v>
      </c>
      <c r="E477" s="27" t="s">
        <v>795</v>
      </c>
      <c r="F477" s="27" t="s">
        <v>818</v>
      </c>
      <c r="G477" s="63">
        <v>44221.64910879629</v>
      </c>
      <c r="H477" s="49"/>
      <c r="I477" s="49"/>
    </row>
    <row r="478">
      <c r="A478" s="27" t="s">
        <v>36</v>
      </c>
      <c r="B478" s="62" t="str">
        <f>hyperlink("https://au.indeed.com/viewjob?from=iaBackPress&amp;jk=e8d148374be4d92b&amp;vjs=3","Senior ML Infrastructure Engineer")</f>
        <v>Senior ML Infrastructure Engineer</v>
      </c>
      <c r="C478" s="57" t="s">
        <v>763</v>
      </c>
      <c r="D478" s="11" t="s">
        <v>61</v>
      </c>
      <c r="E478" s="27" t="s">
        <v>819</v>
      </c>
      <c r="F478" s="27" t="s">
        <v>820</v>
      </c>
      <c r="G478" s="63">
        <v>44221.654652777775</v>
      </c>
      <c r="H478" s="49"/>
      <c r="I478" s="49"/>
    </row>
    <row r="479">
      <c r="A479" s="27" t="s">
        <v>45</v>
      </c>
      <c r="B479" s="62" t="str">
        <f>hyperlink("https://au.indeed.com/viewjob?from=iaBackPress&amp;jk=56d66f468497c514&amp;vjs=3","Project Engineer")</f>
        <v>Project Engineer</v>
      </c>
      <c r="C479" s="57" t="s">
        <v>761</v>
      </c>
      <c r="D479" s="11" t="s">
        <v>61</v>
      </c>
      <c r="E479" s="27" t="s">
        <v>801</v>
      </c>
      <c r="F479" s="27" t="s">
        <v>821</v>
      </c>
      <c r="G479" s="63">
        <v>44221.6590162037</v>
      </c>
      <c r="H479" s="49"/>
      <c r="I479" s="49"/>
    </row>
    <row r="480">
      <c r="A480" s="27" t="s">
        <v>45</v>
      </c>
      <c r="B480" s="62" t="str">
        <f>hyperlink("https://au.indeed.com/viewjob?from=iaBackPress&amp;jk=29f65e39b9473cab&amp;vjs=3","Project Engineer")</f>
        <v>Project Engineer</v>
      </c>
      <c r="C480" s="57" t="s">
        <v>754</v>
      </c>
      <c r="D480" s="11" t="s">
        <v>61</v>
      </c>
      <c r="E480" s="27" t="s">
        <v>717</v>
      </c>
      <c r="F480" s="27" t="s">
        <v>822</v>
      </c>
      <c r="G480" s="63">
        <v>44221.66060185185</v>
      </c>
      <c r="H480" s="49"/>
      <c r="I480" s="49"/>
    </row>
    <row r="481">
      <c r="A481" s="27" t="s">
        <v>45</v>
      </c>
      <c r="B481" s="62" t="str">
        <f>hyperlink("https://au.indeed.com/viewjob?from=iaBackPress&amp;jk=71b7f392510c08eb&amp;vjs=3","Project Sales Engineer")</f>
        <v>Project Sales Engineer</v>
      </c>
      <c r="C481" s="57" t="s">
        <v>804</v>
      </c>
      <c r="D481" s="11" t="s">
        <v>60</v>
      </c>
      <c r="E481" s="27" t="s">
        <v>805</v>
      </c>
      <c r="F481" s="27"/>
      <c r="G481" s="63">
        <v>44221.661099537036</v>
      </c>
      <c r="H481" s="49"/>
      <c r="I481" s="49"/>
    </row>
    <row r="482">
      <c r="A482" s="27" t="s">
        <v>49</v>
      </c>
      <c r="B482" s="62" t="str">
        <f>hyperlink("https://au.indeed.com/viewjob?from=iaBackPress&amp;jk=e01e3538682ff0c7&amp;vjs=3","Senior Site Reliability Engineer")</f>
        <v>Senior Site Reliability Engineer</v>
      </c>
      <c r="C482" s="57" t="s">
        <v>763</v>
      </c>
      <c r="D482" s="11" t="s">
        <v>61</v>
      </c>
      <c r="E482" s="27" t="s">
        <v>819</v>
      </c>
      <c r="F482" s="27" t="s">
        <v>823</v>
      </c>
      <c r="G482" s="63">
        <v>44221.679189814815</v>
      </c>
      <c r="H482" s="49"/>
      <c r="I482" s="49"/>
    </row>
    <row r="483">
      <c r="A483" s="27" t="s">
        <v>49</v>
      </c>
      <c r="B483" s="62" t="str">
        <f>hyperlink("https://au.indeed.com/viewjob?from=iaBackPress&amp;jk=b714c3cf10d9b664&amp;vjs=3","Senior Site Reliability Engineer")</f>
        <v>Senior Site Reliability Engineer</v>
      </c>
      <c r="C483" s="57" t="s">
        <v>824</v>
      </c>
      <c r="D483" s="11" t="s">
        <v>672</v>
      </c>
      <c r="E483" s="27"/>
      <c r="F483" s="27"/>
      <c r="G483" s="63">
        <v>44221.67954861111</v>
      </c>
      <c r="H483" s="49"/>
      <c r="I483" s="49"/>
    </row>
    <row r="484">
      <c r="A484" s="27" t="s">
        <v>49</v>
      </c>
      <c r="B484" s="62" t="str">
        <f>hyperlink("https://au.indeed.com/viewjob?from=iaBackPress&amp;jk=c7ba20acdf334e21&amp;vjs=3","Site Reliability Engineer")</f>
        <v>Site Reliability Engineer</v>
      </c>
      <c r="C484" s="57" t="s">
        <v>825</v>
      </c>
      <c r="D484" s="11" t="s">
        <v>60</v>
      </c>
      <c r="E484" s="27" t="s">
        <v>782</v>
      </c>
      <c r="F484" s="27"/>
      <c r="G484" s="63">
        <v>44221.68366898148</v>
      </c>
      <c r="H484" s="49"/>
      <c r="I484" s="49"/>
    </row>
    <row r="485">
      <c r="A485" s="27" t="s">
        <v>50</v>
      </c>
      <c r="B485" s="62" t="str">
        <f>hyperlink("https://au.indeed.com/viewjob?from=iaBackPress&amp;jk=52148f0624c0d5d6&amp;vjs=3","Sr. Implementation Services Engineer, II")</f>
        <v>Sr. Implementation Services Engineer, II</v>
      </c>
      <c r="C485" s="57" t="s">
        <v>826</v>
      </c>
      <c r="D485" s="11" t="s">
        <v>60</v>
      </c>
      <c r="E485" s="27" t="s">
        <v>782</v>
      </c>
      <c r="F485" s="27"/>
      <c r="G485" s="63">
        <v>44221.68900462963</v>
      </c>
      <c r="H485" s="49"/>
      <c r="I485" s="49"/>
    </row>
    <row r="486">
      <c r="A486" s="27" t="s">
        <v>50</v>
      </c>
      <c r="B486" s="62" t="str">
        <f>hyperlink("https://au.indeed.com/viewjob?from=iaBackPress&amp;jk=9ff238df3b485889&amp;vjs=3","Service Quality Engineer")</f>
        <v>Service Quality Engineer</v>
      </c>
      <c r="C486" s="57" t="s">
        <v>827</v>
      </c>
      <c r="D486" s="11" t="s">
        <v>60</v>
      </c>
      <c r="E486" s="27" t="s">
        <v>828</v>
      </c>
      <c r="F486" s="27"/>
      <c r="G486" s="63">
        <v>44221.69005787037</v>
      </c>
      <c r="H486" s="49"/>
      <c r="I486" s="49"/>
    </row>
    <row r="487">
      <c r="A487" s="27" t="s">
        <v>50</v>
      </c>
      <c r="B487" s="62" t="str">
        <f>hyperlink("https://au.indeed.com/viewjob?from=iaBackPress&amp;jk=196fbcc309bbe829&amp;vjs=3","Field Service Engineer - Managed Services (Sydney)")</f>
        <v>Field Service Engineer - Managed Services (Sydney)</v>
      </c>
      <c r="C487" s="57" t="s">
        <v>764</v>
      </c>
      <c r="D487" s="11" t="s">
        <v>62</v>
      </c>
      <c r="E487" s="27" t="s">
        <v>829</v>
      </c>
      <c r="F487" s="27"/>
      <c r="G487" s="63">
        <v>44221.69280092593</v>
      </c>
      <c r="H487" s="49"/>
      <c r="I487" s="49"/>
    </row>
    <row r="488">
      <c r="A488" s="27" t="s">
        <v>50</v>
      </c>
      <c r="B488" s="62" t="str">
        <f>hyperlink("https://au.indeed.com/viewjob?from=iaBackPress&amp;jk=aba7c6215939278b&amp;vjs=3","159 - CNC SERVICE ENGINEER - CNC MACHINIST")</f>
        <v>159 - CNC SERVICE ENGINEER - CNC MACHINIST</v>
      </c>
      <c r="C488" s="57" t="s">
        <v>830</v>
      </c>
      <c r="D488" s="11" t="s">
        <v>60</v>
      </c>
      <c r="E488" s="27" t="s">
        <v>831</v>
      </c>
      <c r="F488" s="27"/>
      <c r="G488" s="63">
        <v>44221.69877314815</v>
      </c>
      <c r="H488" s="49"/>
      <c r="I488" s="49"/>
    </row>
    <row r="489">
      <c r="A489" s="27" t="s">
        <v>51</v>
      </c>
      <c r="B489" s="62" t="str">
        <f>hyperlink("https://au.indeed.com/viewjob?from=iaBackPress&amp;jk=e01e3538682ff0c7&amp;vjs=3","Senior Site Reliability Engineer")</f>
        <v>Senior Site Reliability Engineer</v>
      </c>
      <c r="C489" s="57" t="s">
        <v>763</v>
      </c>
      <c r="D489" s="11" t="s">
        <v>61</v>
      </c>
      <c r="E489" s="27" t="s">
        <v>819</v>
      </c>
      <c r="F489" s="27" t="s">
        <v>832</v>
      </c>
      <c r="G489" s="63">
        <v>44221.700636574074</v>
      </c>
      <c r="H489" s="49"/>
      <c r="I489" s="49"/>
    </row>
    <row r="490">
      <c r="A490" s="27" t="s">
        <v>51</v>
      </c>
      <c r="B490" s="62" t="str">
        <f>hyperlink("https://au.indeed.com/viewjob?from=iaBackPress&amp;jk=b714c3cf10d9b664&amp;vjs=3","Senior Site Reliability Engineer")</f>
        <v>Senior Site Reliability Engineer</v>
      </c>
      <c r="C490" s="57" t="s">
        <v>824</v>
      </c>
      <c r="D490" s="11" t="s">
        <v>672</v>
      </c>
      <c r="E490" s="27"/>
      <c r="F490" s="27"/>
      <c r="G490" s="63">
        <v>44221.70099537037</v>
      </c>
      <c r="H490" s="49"/>
      <c r="I490" s="49"/>
    </row>
    <row r="491">
      <c r="A491" s="27" t="s">
        <v>51</v>
      </c>
      <c r="B491" s="62" t="str">
        <f>hyperlink("https://au.indeed.com/viewjob?from=iaBackPress&amp;jk=c7ba20acdf334e21&amp;vjs=3","Site Reliability Engineer")</f>
        <v>Site Reliability Engineer</v>
      </c>
      <c r="C491" s="57" t="s">
        <v>825</v>
      </c>
      <c r="D491" s="11" t="s">
        <v>60</v>
      </c>
      <c r="E491" s="27" t="s">
        <v>782</v>
      </c>
      <c r="F491" s="27"/>
      <c r="G491" s="63">
        <v>44221.70410879629</v>
      </c>
      <c r="H491" s="49"/>
      <c r="I491" s="49"/>
    </row>
    <row r="492">
      <c r="A492" s="27" t="s">
        <v>51</v>
      </c>
      <c r="B492" s="62" t="str">
        <f>hyperlink("https://au.indeed.com/viewjob?from=iaBackPress&amp;jk=4279c99fe4d77a16&amp;vjs=3","Site Supervisor/ Engineer - Earthworks")</f>
        <v>Site Supervisor/ Engineer - Earthworks</v>
      </c>
      <c r="C492" s="57" t="s">
        <v>833</v>
      </c>
      <c r="D492" s="11" t="s">
        <v>60</v>
      </c>
      <c r="E492" s="27" t="s">
        <v>834</v>
      </c>
      <c r="F492" s="27"/>
      <c r="G492" s="63">
        <v>44221.704675925925</v>
      </c>
      <c r="H492" s="49"/>
      <c r="I492" s="49"/>
    </row>
    <row r="493">
      <c r="A493" s="27" t="s">
        <v>54</v>
      </c>
      <c r="B493" s="62" t="str">
        <f>hyperlink("https://au.indeed.com/viewjob?from=iaBackPress&amp;jk=2a9998a0e61e5a15&amp;vjs=3","Product design and mechatronics engineer")</f>
        <v>Product design and mechatronics engineer</v>
      </c>
      <c r="C493" s="57" t="s">
        <v>810</v>
      </c>
      <c r="D493" s="11" t="s">
        <v>60</v>
      </c>
      <c r="E493" s="27" t="s">
        <v>791</v>
      </c>
      <c r="F493" s="27"/>
      <c r="G493" s="63">
        <v>44221.70815972222</v>
      </c>
      <c r="H493" s="49"/>
      <c r="I493" s="49"/>
    </row>
    <row r="494">
      <c r="A494" s="27" t="s">
        <v>54</v>
      </c>
      <c r="B494" s="62" t="str">
        <f>hyperlink("https://au.indeed.com/viewjob?from=iaBackPress&amp;jk=58d9660c6e64e38c&amp;vjs=3","Product Support Engineer")</f>
        <v>Product Support Engineer</v>
      </c>
      <c r="C494" s="57" t="s">
        <v>835</v>
      </c>
      <c r="D494" s="11" t="s">
        <v>61</v>
      </c>
      <c r="E494" s="27" t="s">
        <v>836</v>
      </c>
      <c r="F494" s="27" t="s">
        <v>837</v>
      </c>
      <c r="G494" s="63">
        <v>44221.70851851852</v>
      </c>
      <c r="H494" s="49"/>
      <c r="I494" s="49"/>
    </row>
    <row r="495">
      <c r="A495" s="27" t="s">
        <v>54</v>
      </c>
      <c r="B495" s="62" t="str">
        <f>hyperlink("https://au.indeed.com/viewjob?from=iaBackPress&amp;jk=bf301d9e535dcda6&amp;vjs=3","Data Engineer - Video Experiences - Product | Product")</f>
        <v>Data Engineer - Video Experiences - Product | Product</v>
      </c>
      <c r="C495" s="57" t="s">
        <v>838</v>
      </c>
      <c r="D495" s="11" t="s">
        <v>62</v>
      </c>
      <c r="E495" s="27" t="s">
        <v>839</v>
      </c>
      <c r="F495" s="27"/>
      <c r="G495" s="63">
        <v>44221.7097337963</v>
      </c>
      <c r="H495" s="49"/>
      <c r="I495" s="49"/>
    </row>
  </sheetData>
  <autoFilter ref="$A$1:$H$495">
    <filterColumn colId="3">
      <filters>
        <filter val="Textarea"/>
      </filters>
    </filterColumn>
    <sortState ref="A1:H495">
      <sortCondition ref="H1:H495"/>
      <sortCondition ref="D1:D495"/>
      <sortCondition ref="B1:B495"/>
      <sortCondition ref="E1:E495"/>
    </sortState>
  </autoFilter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6"/>
    <hyperlink r:id="rId214" ref="I217"/>
    <hyperlink r:id="rId215" ref="I218"/>
    <hyperlink r:id="rId216" ref="I219"/>
    <hyperlink r:id="rId217" ref="I220"/>
    <hyperlink r:id="rId218" ref="I222"/>
    <hyperlink r:id="rId219" ref="I224"/>
    <hyperlink r:id="rId220" ref="I226"/>
    <hyperlink r:id="rId221" ref="I228"/>
    <hyperlink r:id="rId222" ref="I230"/>
    <hyperlink r:id="rId223" ref="I240"/>
    <hyperlink r:id="rId224" ref="I241"/>
    <hyperlink r:id="rId225" ref="I242"/>
    <hyperlink r:id="rId226" ref="I243"/>
    <hyperlink r:id="rId227" ref="I244"/>
    <hyperlink r:id="rId228" ref="I245"/>
  </hyperlinks>
  <drawing r:id="rId22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  <col customWidth="1" min="2" max="2" width="34.29"/>
    <col customWidth="1" min="3" max="3" width="40.57"/>
    <col customWidth="1" min="4" max="4" width="25.86"/>
    <col customWidth="1" min="5" max="5" width="22.14"/>
  </cols>
  <sheetData>
    <row r="1">
      <c r="A1" s="54" t="s">
        <v>12</v>
      </c>
      <c r="B1" s="54" t="s">
        <v>56</v>
      </c>
      <c r="C1" s="54" t="s">
        <v>57</v>
      </c>
      <c r="D1" s="55" t="s">
        <v>840</v>
      </c>
      <c r="E1" s="55" t="s">
        <v>58</v>
      </c>
    </row>
    <row r="2">
      <c r="A2" s="27" t="s">
        <v>841</v>
      </c>
      <c r="B2" s="27"/>
      <c r="C2" s="27"/>
      <c r="D2" s="11">
        <v>1.60665818179E12</v>
      </c>
      <c r="E2" s="46">
        <v>44164.80997685185</v>
      </c>
    </row>
    <row r="3">
      <c r="A3" s="27" t="s">
        <v>841</v>
      </c>
      <c r="B3" s="27"/>
      <c r="C3" s="27"/>
      <c r="D3" s="11">
        <v>1.606658186326E12</v>
      </c>
      <c r="E3" s="46">
        <v>44164.81002314815</v>
      </c>
    </row>
    <row r="4">
      <c r="A4" s="27" t="s">
        <v>26</v>
      </c>
      <c r="B4" s="27"/>
      <c r="C4" s="27"/>
      <c r="D4" s="11">
        <v>1.606726884058E12</v>
      </c>
      <c r="E4" s="46">
        <v>44165.83430555555</v>
      </c>
    </row>
    <row r="5">
      <c r="A5" s="27" t="s">
        <v>35</v>
      </c>
      <c r="B5" s="27"/>
      <c r="C5" s="27"/>
      <c r="D5" s="11">
        <v>1.606755739524E12</v>
      </c>
      <c r="E5" s="46">
        <v>44165.83430555555</v>
      </c>
    </row>
    <row r="6">
      <c r="A6" s="27" t="s">
        <v>26</v>
      </c>
      <c r="B6" s="27"/>
      <c r="C6" s="27"/>
      <c r="D6" s="11">
        <v>1.607271705342E12</v>
      </c>
      <c r="E6" s="46">
        <v>44171.9109375</v>
      </c>
    </row>
    <row r="7">
      <c r="A7" s="27" t="s">
        <v>26</v>
      </c>
      <c r="B7" s="27"/>
      <c r="C7" s="27"/>
      <c r="D7" s="11">
        <v>1.607276422708E12</v>
      </c>
      <c r="E7" s="46">
        <v>44171.96554398148</v>
      </c>
    </row>
    <row r="8">
      <c r="A8" s="27" t="s">
        <v>26</v>
      </c>
      <c r="B8" s="27"/>
      <c r="C8" s="27"/>
      <c r="D8" s="11" t="s">
        <v>842</v>
      </c>
      <c r="E8" s="46">
        <v>44171.97340277778</v>
      </c>
    </row>
    <row r="9">
      <c r="A9" s="27" t="s">
        <v>26</v>
      </c>
      <c r="B9" s="27"/>
      <c r="C9" s="27"/>
      <c r="D9" s="11" t="s">
        <v>842</v>
      </c>
      <c r="E9" s="46">
        <v>44171.97476851852</v>
      </c>
    </row>
    <row r="10">
      <c r="A10" s="27" t="s">
        <v>26</v>
      </c>
      <c r="B10" s="27"/>
      <c r="C10" s="27"/>
      <c r="D10" s="11" t="s">
        <v>842</v>
      </c>
      <c r="E10" s="46">
        <v>44171.98652777778</v>
      </c>
    </row>
    <row r="11">
      <c r="A11" s="27" t="s">
        <v>26</v>
      </c>
      <c r="B11" s="27"/>
      <c r="C11" s="27"/>
      <c r="D11" s="11" t="s">
        <v>842</v>
      </c>
      <c r="E11" s="46">
        <v>44171.9871875</v>
      </c>
    </row>
    <row r="12">
      <c r="A12" s="27" t="s">
        <v>26</v>
      </c>
      <c r="B12" s="27"/>
      <c r="C12" s="27"/>
      <c r="D12" s="11" t="s">
        <v>842</v>
      </c>
      <c r="E12" s="46">
        <v>44172.00202546296</v>
      </c>
    </row>
    <row r="13">
      <c r="A13" s="27" t="s">
        <v>26</v>
      </c>
      <c r="B13" s="27"/>
      <c r="C13" s="27"/>
      <c r="D13" s="11" t="s">
        <v>842</v>
      </c>
      <c r="E13" s="46">
        <v>44172.00340277778</v>
      </c>
    </row>
    <row r="14">
      <c r="A14" s="27" t="s">
        <v>33</v>
      </c>
      <c r="B14" s="27"/>
      <c r="C14" s="27"/>
      <c r="D14" s="11">
        <v>1.607279833422E12</v>
      </c>
      <c r="E14" s="46">
        <v>44172.005011574074</v>
      </c>
    </row>
    <row r="15">
      <c r="A15" s="27" t="s">
        <v>26</v>
      </c>
      <c r="B15" s="27"/>
      <c r="C15" s="27"/>
      <c r="D15" s="11" t="s">
        <v>842</v>
      </c>
      <c r="E15" s="46">
        <v>44172.45599537037</v>
      </c>
    </row>
    <row r="16">
      <c r="A16" s="27" t="s">
        <v>26</v>
      </c>
      <c r="B16" s="27"/>
      <c r="C16" s="27"/>
      <c r="D16" s="11" t="s">
        <v>842</v>
      </c>
      <c r="E16" s="46">
        <v>44172.45663194444</v>
      </c>
    </row>
    <row r="17">
      <c r="A17" s="27" t="s">
        <v>41</v>
      </c>
      <c r="B17" s="27"/>
      <c r="C17" s="27"/>
      <c r="D17" s="11" t="s">
        <v>842</v>
      </c>
      <c r="E17" s="46">
        <v>44172.49335648148</v>
      </c>
    </row>
    <row r="18">
      <c r="A18" s="27" t="s">
        <v>45</v>
      </c>
      <c r="B18" s="27"/>
      <c r="C18" s="27"/>
      <c r="D18" s="11" t="s">
        <v>842</v>
      </c>
      <c r="E18" s="46">
        <v>44172.495405092595</v>
      </c>
    </row>
    <row r="19">
      <c r="A19" s="27" t="s">
        <v>45</v>
      </c>
      <c r="B19" s="27"/>
      <c r="C19" s="27"/>
      <c r="D19" s="11" t="s">
        <v>842</v>
      </c>
      <c r="E19" s="46">
        <v>44172.4997337963</v>
      </c>
    </row>
    <row r="20">
      <c r="A20" s="27" t="s">
        <v>45</v>
      </c>
      <c r="B20" s="27"/>
      <c r="C20" s="27"/>
      <c r="D20" s="11" t="s">
        <v>842</v>
      </c>
      <c r="E20" s="46">
        <v>44172.50077546296</v>
      </c>
    </row>
    <row r="21">
      <c r="A21" s="27" t="s">
        <v>49</v>
      </c>
      <c r="B21" s="27"/>
      <c r="C21" s="27"/>
      <c r="D21" s="11" t="s">
        <v>842</v>
      </c>
      <c r="E21" s="46">
        <v>44172.50292824074</v>
      </c>
    </row>
    <row r="22">
      <c r="A22" s="27" t="s">
        <v>26</v>
      </c>
      <c r="B22" s="45" t="s">
        <v>702</v>
      </c>
      <c r="C22" s="27" t="s">
        <v>842</v>
      </c>
      <c r="E22" s="46">
        <v>44173.46167824074</v>
      </c>
    </row>
    <row r="23">
      <c r="A23" s="27" t="s">
        <v>26</v>
      </c>
      <c r="B23" s="45" t="s">
        <v>703</v>
      </c>
      <c r="C23" s="27" t="s">
        <v>842</v>
      </c>
      <c r="E23" s="46">
        <v>44173.46226851852</v>
      </c>
    </row>
    <row r="24">
      <c r="A24" s="27" t="s">
        <v>26</v>
      </c>
      <c r="B24" s="45" t="s">
        <v>702</v>
      </c>
      <c r="C24" s="27" t="s">
        <v>842</v>
      </c>
      <c r="E24" s="46">
        <v>44173.484618055554</v>
      </c>
    </row>
    <row r="25">
      <c r="A25" s="27" t="s">
        <v>26</v>
      </c>
      <c r="B25" s="45" t="s">
        <v>703</v>
      </c>
      <c r="C25" s="27" t="s">
        <v>842</v>
      </c>
      <c r="E25" s="46">
        <v>44173.485243055555</v>
      </c>
    </row>
    <row r="26">
      <c r="A26" s="27" t="s">
        <v>26</v>
      </c>
      <c r="B26" s="45" t="s">
        <v>704</v>
      </c>
      <c r="C26" s="27" t="s">
        <v>842</v>
      </c>
      <c r="E26" s="46">
        <v>44173.48587962963</v>
      </c>
    </row>
    <row r="27">
      <c r="A27" s="27" t="s">
        <v>33</v>
      </c>
      <c r="B27" s="45" t="s">
        <v>706</v>
      </c>
      <c r="C27" s="27" t="s">
        <v>842</v>
      </c>
      <c r="E27" s="46">
        <v>44173.48788194444</v>
      </c>
    </row>
    <row r="28">
      <c r="A28" s="27" t="s">
        <v>33</v>
      </c>
      <c r="B28" s="45" t="s">
        <v>710</v>
      </c>
      <c r="C28" s="27" t="s">
        <v>842</v>
      </c>
      <c r="E28" s="46">
        <v>44173.489328703705</v>
      </c>
    </row>
    <row r="29">
      <c r="A29" s="27" t="s">
        <v>33</v>
      </c>
      <c r="B29" s="45" t="s">
        <v>712</v>
      </c>
      <c r="C29" s="27" t="s">
        <v>842</v>
      </c>
      <c r="E29" s="46">
        <v>44173.490428240744</v>
      </c>
    </row>
    <row r="30">
      <c r="A30" s="27" t="s">
        <v>36</v>
      </c>
      <c r="B30" s="45" t="s">
        <v>713</v>
      </c>
      <c r="C30" s="27" t="s">
        <v>842</v>
      </c>
      <c r="E30" s="46">
        <v>44173.49512731482</v>
      </c>
    </row>
    <row r="31">
      <c r="A31" s="27" t="s">
        <v>37</v>
      </c>
      <c r="B31" s="45" t="s">
        <v>714</v>
      </c>
      <c r="C31" s="27" t="s">
        <v>842</v>
      </c>
      <c r="E31" s="46">
        <v>44173.49668981481</v>
      </c>
    </row>
    <row r="32">
      <c r="A32" s="27" t="s">
        <v>41</v>
      </c>
      <c r="B32" s="45" t="s">
        <v>675</v>
      </c>
      <c r="C32" s="27" t="s">
        <v>842</v>
      </c>
      <c r="E32" s="46">
        <v>44173.49901620371</v>
      </c>
    </row>
    <row r="33">
      <c r="A33" s="27" t="s">
        <v>42</v>
      </c>
      <c r="B33" s="45" t="s">
        <v>715</v>
      </c>
      <c r="C33" s="27" t="s">
        <v>842</v>
      </c>
      <c r="E33" s="46">
        <v>44173.499756944446</v>
      </c>
    </row>
    <row r="34">
      <c r="A34" s="27" t="s">
        <v>45</v>
      </c>
      <c r="B34" s="45" t="s">
        <v>696</v>
      </c>
      <c r="C34" s="27" t="s">
        <v>842</v>
      </c>
      <c r="E34" s="46">
        <v>44173.50267361111</v>
      </c>
    </row>
    <row r="35">
      <c r="A35" s="27" t="s">
        <v>45</v>
      </c>
      <c r="B35" s="45" t="s">
        <v>684</v>
      </c>
      <c r="C35" s="27" t="s">
        <v>842</v>
      </c>
      <c r="E35" s="46">
        <v>44173.506203703706</v>
      </c>
    </row>
    <row r="36">
      <c r="A36" s="27" t="s">
        <v>45</v>
      </c>
      <c r="B36" s="45" t="s">
        <v>716</v>
      </c>
      <c r="C36" s="27" t="s">
        <v>842</v>
      </c>
      <c r="E36" s="46">
        <v>44173.506886574076</v>
      </c>
    </row>
    <row r="37">
      <c r="A37" s="27" t="s">
        <v>49</v>
      </c>
      <c r="B37" s="45" t="s">
        <v>720</v>
      </c>
      <c r="C37" s="27" t="s">
        <v>842</v>
      </c>
      <c r="E37" s="46">
        <v>44173.5153125</v>
      </c>
    </row>
    <row r="38">
      <c r="A38" s="27" t="s">
        <v>49</v>
      </c>
      <c r="B38" s="45" t="s">
        <v>725</v>
      </c>
      <c r="C38" s="27" t="s">
        <v>842</v>
      </c>
      <c r="E38" s="46">
        <v>44173.51592592592</v>
      </c>
    </row>
    <row r="39">
      <c r="A39" s="27" t="s">
        <v>49</v>
      </c>
      <c r="B39" s="45" t="s">
        <v>735</v>
      </c>
      <c r="C39" s="27" t="s">
        <v>842</v>
      </c>
      <c r="E39" s="46">
        <v>44173.51991898148</v>
      </c>
    </row>
    <row r="40">
      <c r="A40" s="27" t="s">
        <v>49</v>
      </c>
      <c r="B40" s="45" t="s">
        <v>700</v>
      </c>
      <c r="C40" s="27" t="s">
        <v>842</v>
      </c>
      <c r="E40" s="46">
        <v>44173.52049768518</v>
      </c>
    </row>
    <row r="41">
      <c r="A41" s="27" t="s">
        <v>49</v>
      </c>
      <c r="B41" s="45" t="s">
        <v>843</v>
      </c>
      <c r="C41" s="27">
        <v>1.607391132378E12</v>
      </c>
      <c r="E41" s="46">
        <v>44173.522361111114</v>
      </c>
    </row>
    <row r="42">
      <c r="A42" s="27" t="s">
        <v>50</v>
      </c>
      <c r="B42" s="45" t="s">
        <v>844</v>
      </c>
      <c r="C42" s="27" t="s">
        <v>842</v>
      </c>
      <c r="E42" s="46">
        <v>44173.52347222222</v>
      </c>
    </row>
    <row r="43">
      <c r="A43" s="27" t="s">
        <v>51</v>
      </c>
      <c r="B43" s="45" t="s">
        <v>845</v>
      </c>
      <c r="C43" s="27">
        <v>1.607391821934E12</v>
      </c>
      <c r="E43" s="46">
        <v>44173.53034722222</v>
      </c>
    </row>
    <row r="44">
      <c r="A44" s="27" t="s">
        <v>51</v>
      </c>
      <c r="B44" s="45" t="s">
        <v>846</v>
      </c>
      <c r="C44" s="27">
        <v>1.60739203123E12</v>
      </c>
      <c r="E44" s="46">
        <v>44173.5327662037</v>
      </c>
    </row>
    <row r="45">
      <c r="A45" s="27" t="s">
        <v>26</v>
      </c>
      <c r="B45" s="45" t="s">
        <v>702</v>
      </c>
      <c r="C45" s="27" t="s">
        <v>842</v>
      </c>
      <c r="E45" s="46">
        <v>44173.50079861111</v>
      </c>
    </row>
    <row r="46">
      <c r="A46" s="27" t="s">
        <v>26</v>
      </c>
      <c r="B46" s="45" t="s">
        <v>702</v>
      </c>
      <c r="C46" s="27" t="s">
        <v>842</v>
      </c>
      <c r="E46" s="46">
        <v>44173.50921296296</v>
      </c>
    </row>
    <row r="47">
      <c r="A47" s="27" t="s">
        <v>26</v>
      </c>
      <c r="B47" s="50" t="str">
        <f>hyperlink("https://au.indeed.com/viewjob?from=iaBackPress&amp;jk=97b87860f90a1eaf&amp;vjs=3","Mechanical Engineer")</f>
        <v>Mechanical Engineer</v>
      </c>
      <c r="C47" s="27" t="s">
        <v>718</v>
      </c>
      <c r="D47" s="11" t="s">
        <v>842</v>
      </c>
      <c r="E47" s="46">
        <v>44173.515381944446</v>
      </c>
    </row>
    <row r="48">
      <c r="A48" s="27" t="s">
        <v>33</v>
      </c>
      <c r="B48" s="50" t="str">
        <f>hyperlink("https://au.indeed.com/viewjob?from=iaBackPress&amp;jk=627c606995cd76ec&amp;vjs=3","FPGA Design Engineer")</f>
        <v>FPGA Design Engineer</v>
      </c>
      <c r="C48" s="27" t="s">
        <v>730</v>
      </c>
      <c r="D48" s="11" t="s">
        <v>842</v>
      </c>
      <c r="E48" s="46">
        <v>44173.51739583333</v>
      </c>
    </row>
    <row r="49">
      <c r="A49" s="27" t="s">
        <v>33</v>
      </c>
      <c r="B49" s="50" t="str">
        <f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49" s="27" t="s">
        <v>734</v>
      </c>
      <c r="D49" s="11" t="s">
        <v>842</v>
      </c>
      <c r="E49" s="46">
        <v>44173.518472222226</v>
      </c>
    </row>
    <row r="50">
      <c r="A50" s="27" t="s">
        <v>26</v>
      </c>
      <c r="B50" s="50" t="str">
        <f>hyperlink("https://au.indeed.com/viewjob?from=iaBackPress&amp;jk=97b87860f90a1eaf&amp;vjs=3","Mechanical Engineer")</f>
        <v>Mechanical Engineer</v>
      </c>
      <c r="C50" s="27" t="s">
        <v>718</v>
      </c>
      <c r="D50" s="11" t="s">
        <v>842</v>
      </c>
      <c r="E50" s="46">
        <v>44173.949421296296</v>
      </c>
    </row>
    <row r="51">
      <c r="A51" s="27" t="s">
        <v>26</v>
      </c>
      <c r="B51" s="50" t="str">
        <f>hyperlink("https://au.indeed.com/viewjob?from=iaBackPress&amp;jk=b3a323a3b47fca8d&amp;vjs=3","Mechanical Engineer Submariner")</f>
        <v>Mechanical Engineer Submariner</v>
      </c>
      <c r="C51" s="27" t="s">
        <v>327</v>
      </c>
      <c r="D51" s="11" t="s">
        <v>842</v>
      </c>
      <c r="E51" s="46">
        <v>44173.949895833335</v>
      </c>
    </row>
    <row r="52">
      <c r="A52" s="27" t="s">
        <v>26</v>
      </c>
      <c r="B52" s="50" t="str">
        <f>hyperlink("https://au.indeed.com/viewjob?from=iaBackPress&amp;jk=c4e076f51cd11864&amp;vjs=3","Mechanical Engineer - Defence University Sponsorship")</f>
        <v>Mechanical Engineer - Defence University Sponsorship</v>
      </c>
      <c r="C52" s="27" t="s">
        <v>327</v>
      </c>
      <c r="D52" s="11" t="s">
        <v>842</v>
      </c>
      <c r="E52" s="46">
        <v>44173.950370370374</v>
      </c>
    </row>
    <row r="53">
      <c r="A53" s="27" t="s">
        <v>26</v>
      </c>
      <c r="B53" s="50" t="str">
        <f>hyperlink("https://au.indeed.com/viewjob?from=iaBackPress&amp;jk=97b87860f90a1eaf&amp;vjs=3","Mechanical Engineer")</f>
        <v>Mechanical Engineer</v>
      </c>
      <c r="C53" s="27" t="s">
        <v>718</v>
      </c>
      <c r="D53" s="11" t="s">
        <v>842</v>
      </c>
      <c r="E53" s="46">
        <v>44173.72126157407</v>
      </c>
    </row>
    <row r="54">
      <c r="A54" s="27" t="s">
        <v>33</v>
      </c>
      <c r="B54" s="50" t="str">
        <f>hyperlink("https://au.indeed.com/viewjob?from=iaBackPress&amp;jk=627c606995cd76ec&amp;vjs=3","FPGA Design Engineer")</f>
        <v>FPGA Design Engineer</v>
      </c>
      <c r="C54" s="27" t="s">
        <v>730</v>
      </c>
      <c r="D54" s="11" t="s">
        <v>842</v>
      </c>
      <c r="E54" s="46">
        <v>44173.95159722222</v>
      </c>
    </row>
    <row r="55">
      <c r="A55" s="27" t="s">
        <v>26</v>
      </c>
      <c r="B55" s="50" t="str">
        <f>hyperlink("https://au.indeed.com/viewjob?from=iaBackPress&amp;jk=97b87860f90a1eaf&amp;vjs=3","Mechanical Engineer")</f>
        <v>Mechanical Engineer</v>
      </c>
      <c r="C55" s="27" t="s">
        <v>718</v>
      </c>
      <c r="D55" s="11" t="s">
        <v>842</v>
      </c>
      <c r="E55" s="46">
        <v>44174.50035879629</v>
      </c>
    </row>
    <row r="56">
      <c r="A56" s="27" t="s">
        <v>33</v>
      </c>
      <c r="B56" s="50" t="str">
        <f>hyperlink("https://au.indeed.com/viewjob?from=iaBackPress&amp;jk=627c606995cd76ec&amp;vjs=3","FPGA Design Engineer")</f>
        <v>FPGA Design Engineer</v>
      </c>
      <c r="C56" s="27" t="s">
        <v>730</v>
      </c>
      <c r="D56" s="11" t="s">
        <v>842</v>
      </c>
      <c r="E56" s="46">
        <v>44174.502222222225</v>
      </c>
    </row>
    <row r="57">
      <c r="A57" s="27" t="s">
        <v>33</v>
      </c>
      <c r="B57" s="50" t="str">
        <f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57" s="27" t="s">
        <v>734</v>
      </c>
      <c r="D57" s="11" t="s">
        <v>842</v>
      </c>
      <c r="E57" s="46">
        <v>44174.50309027778</v>
      </c>
    </row>
    <row r="58">
      <c r="A58" s="27" t="s">
        <v>33</v>
      </c>
      <c r="B58" s="50" t="str">
        <f>hyperlink("https://au.indeed.com/viewjob?from=iaBackPress&amp;jk=59748a463b6f36ae&amp;vjs=3","Civil Design Engineer")</f>
        <v>Civil Design Engineer</v>
      </c>
      <c r="C58" s="27" t="s">
        <v>757</v>
      </c>
      <c r="D58" s="11" t="s">
        <v>842</v>
      </c>
      <c r="E58" s="46">
        <v>44174.50362268519</v>
      </c>
    </row>
    <row r="59">
      <c r="A59" s="27" t="s">
        <v>36</v>
      </c>
      <c r="B59" s="50" t="str">
        <f>hyperlink("https://au.indeed.com/viewjob?from=iaBackPress&amp;jk=78d9624fe7590315&amp;vjs=3","Infrastructure Engineer")</f>
        <v>Infrastructure Engineer</v>
      </c>
      <c r="C59" s="27" t="s">
        <v>743</v>
      </c>
      <c r="D59" s="11" t="s">
        <v>842</v>
      </c>
      <c r="E59" s="46">
        <v>44174.504895833335</v>
      </c>
    </row>
    <row r="60">
      <c r="A60" s="27" t="s">
        <v>26</v>
      </c>
      <c r="B60" s="50" t="str">
        <f>hyperlink("https://au.indeed.com/viewjob?from=iaBackPress&amp;jk=97b87860f90a1eaf&amp;vjs=3","Mechanical Engineer")</f>
        <v>Mechanical Engineer</v>
      </c>
      <c r="C60" s="27" t="s">
        <v>718</v>
      </c>
      <c r="D60" s="11" t="s">
        <v>842</v>
      </c>
      <c r="E60" s="51">
        <v>44175.37342592593</v>
      </c>
    </row>
    <row r="61">
      <c r="A61" s="27" t="s">
        <v>33</v>
      </c>
      <c r="B61" s="50" t="str">
        <f>hyperlink("https://au.indeed.com/viewjob?from=iaBackPress&amp;jk=627c606995cd76ec&amp;vjs=3","FPGA Design Engineer")</f>
        <v>FPGA Design Engineer</v>
      </c>
      <c r="C61" s="27" t="s">
        <v>730</v>
      </c>
      <c r="D61" s="11" t="s">
        <v>842</v>
      </c>
      <c r="E61" s="51">
        <v>44175.37488425926</v>
      </c>
    </row>
    <row r="62">
      <c r="A62" s="27" t="s">
        <v>33</v>
      </c>
      <c r="B62" s="50" t="str">
        <f>hyperlink("https://au.indeed.com/viewjob?from=iaBackPress&amp;jk=90b85e9797cbef29&amp;vjs=3","Mechanical Design Engineer")</f>
        <v>Mechanical Design Engineer</v>
      </c>
      <c r="C62" s="27" t="s">
        <v>375</v>
      </c>
      <c r="D62" s="11" t="s">
        <v>842</v>
      </c>
      <c r="E62" s="51">
        <v>44175.376064814816</v>
      </c>
    </row>
    <row r="63">
      <c r="A63" s="27" t="s">
        <v>33</v>
      </c>
      <c r="B63" s="50" t="str">
        <f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63" s="27" t="s">
        <v>734</v>
      </c>
      <c r="D63" s="11" t="s">
        <v>842</v>
      </c>
      <c r="E63" s="51">
        <v>44175.37694444445</v>
      </c>
    </row>
    <row r="64">
      <c r="A64" s="27" t="s">
        <v>33</v>
      </c>
      <c r="B64" s="50" t="str">
        <f>hyperlink("https://au.indeed.com/viewjob?from=iaBackPress&amp;jk=59748a463b6f36ae&amp;vjs=3","Civil Design Engineer")</f>
        <v>Civil Design Engineer</v>
      </c>
      <c r="C64" s="27" t="s">
        <v>757</v>
      </c>
      <c r="D64" s="11" t="s">
        <v>842</v>
      </c>
      <c r="E64" s="51">
        <v>44175.37752314815</v>
      </c>
    </row>
    <row r="65">
      <c r="A65" s="27" t="s">
        <v>36</v>
      </c>
      <c r="B65" s="50" t="str">
        <f>hyperlink("https://au.indeed.com/viewjob?from=iaBackPress&amp;jk=78d9624fe7590315&amp;vjs=3","Infrastructure Engineer")</f>
        <v>Infrastructure Engineer</v>
      </c>
      <c r="C65" s="27" t="s">
        <v>743</v>
      </c>
      <c r="D65" s="11" t="s">
        <v>842</v>
      </c>
      <c r="E65" s="51">
        <v>44175.37883101852</v>
      </c>
    </row>
    <row r="66">
      <c r="A66" s="27" t="s">
        <v>37</v>
      </c>
      <c r="B66" s="50" t="str">
        <f>hyperlink("https://au.indeed.com/viewjob?from=iaBackPress&amp;jk=a01cd9a8819fdb6d&amp;vjs=3","Production &amp; Maintenance Engineer")</f>
        <v>Production &amp; Maintenance Engineer</v>
      </c>
      <c r="C66" s="27" t="s">
        <v>847</v>
      </c>
      <c r="D66" s="11" t="s">
        <v>842</v>
      </c>
      <c r="E66" s="51">
        <v>44175.37935185185</v>
      </c>
    </row>
    <row r="67">
      <c r="A67" s="27" t="s">
        <v>41</v>
      </c>
      <c r="B67" s="50" t="str">
        <f>hyperlink("https://au.indeed.com/viewjob?from=iaBackPress&amp;jk=f409160b8d1ee990&amp;vjs=3","Chemical Engineer | Process Engineer - Graduate")</f>
        <v>Chemical Engineer | Process Engineer - Graduate</v>
      </c>
      <c r="C67" s="27" t="s">
        <v>748</v>
      </c>
      <c r="D67" s="11" t="s">
        <v>842</v>
      </c>
      <c r="E67" s="51">
        <v>44175.38049768518</v>
      </c>
    </row>
    <row r="68">
      <c r="A68" s="27" t="s">
        <v>42</v>
      </c>
      <c r="B68" s="50" t="str">
        <f>hyperlink("https://au.indeed.com/viewjob?from=iaBackPress&amp;jk=68c5d8270bd11ecf&amp;vjs=3","Senior Biomedical Production Engineer")</f>
        <v>Senior Biomedical Production Engineer</v>
      </c>
      <c r="C68" s="27" t="s">
        <v>749</v>
      </c>
      <c r="D68" s="11" t="s">
        <v>842</v>
      </c>
      <c r="E68" s="51">
        <v>44175.38108796296</v>
      </c>
    </row>
    <row r="69">
      <c r="A69" s="27" t="s">
        <v>45</v>
      </c>
      <c r="B69" s="50" t="str">
        <f>hyperlink("https://au.indeed.com/viewjob?from=iaBackPress&amp;jk=49eae43bb03955d4&amp;vjs=3","Senior Project Engineer")</f>
        <v>Senior Project Engineer</v>
      </c>
      <c r="C69" s="27" t="s">
        <v>339</v>
      </c>
      <c r="D69" s="11" t="s">
        <v>842</v>
      </c>
      <c r="E69" s="51">
        <v>44175.38170138889</v>
      </c>
    </row>
    <row r="70">
      <c r="A70" s="27" t="s">
        <v>45</v>
      </c>
      <c r="B70" s="50" t="str">
        <f>hyperlink("https://au.indeed.com/viewjob?from=iaBackPress&amp;jk=6646a11a906e5847&amp;vjs=3","Senior Project Engineer - Sydney CBD")</f>
        <v>Senior Project Engineer - Sydney CBD</v>
      </c>
      <c r="C70" s="27" t="s">
        <v>750</v>
      </c>
      <c r="D70" s="11" t="s">
        <v>842</v>
      </c>
      <c r="E70" s="51">
        <v>44175.38412037037</v>
      </c>
    </row>
    <row r="71">
      <c r="A71" s="27" t="s">
        <v>45</v>
      </c>
      <c r="B71" s="50" t="str">
        <f>hyperlink("https://au.indeed.com/viewjob?from=iaBackPress&amp;jk=29f65e39b9473cab&amp;vjs=3","Project Engineer")</f>
        <v>Project Engineer</v>
      </c>
      <c r="C71" s="27" t="s">
        <v>754</v>
      </c>
      <c r="D71" s="11" t="s">
        <v>842</v>
      </c>
      <c r="E71" s="51">
        <v>44175.3846875</v>
      </c>
    </row>
    <row r="72">
      <c r="A72" s="27" t="s">
        <v>26</v>
      </c>
      <c r="B72" s="50" t="str">
        <f>hyperlink("https://au.indeed.com/viewjob?from=iaBackPress&amp;jk=97b87860f90a1eaf&amp;vjs=3","Mechanical Engineer")</f>
        <v>Mechanical Engineer</v>
      </c>
      <c r="C72" s="27" t="s">
        <v>718</v>
      </c>
      <c r="D72" s="11" t="s">
        <v>842</v>
      </c>
      <c r="E72" s="51">
        <v>44175.403032407405</v>
      </c>
    </row>
    <row r="73">
      <c r="A73" s="27" t="s">
        <v>33</v>
      </c>
      <c r="B73" s="50" t="str">
        <f>hyperlink("https://au.indeed.com/viewjob?from=iaBackPress&amp;jk=627c606995cd76ec&amp;vjs=3","FPGA Design Engineer")</f>
        <v>FPGA Design Engineer</v>
      </c>
      <c r="C73" s="27" t="s">
        <v>730</v>
      </c>
      <c r="D73" s="11" t="s">
        <v>842</v>
      </c>
      <c r="E73" s="51">
        <v>44175.404502314814</v>
      </c>
    </row>
    <row r="74">
      <c r="A74" s="27" t="s">
        <v>33</v>
      </c>
      <c r="B74" s="50" t="str">
        <f>hyperlink("https://au.indeed.com/viewjob?from=iaBackPress&amp;jk=90b85e9797cbef29&amp;vjs=3","Mechanical Design Engineer")</f>
        <v>Mechanical Design Engineer</v>
      </c>
      <c r="C74" s="27" t="s">
        <v>375</v>
      </c>
      <c r="D74" s="11" t="s">
        <v>842</v>
      </c>
      <c r="E74" s="51">
        <v>44175.40557870371</v>
      </c>
    </row>
    <row r="75">
      <c r="A75" s="27" t="s">
        <v>33</v>
      </c>
      <c r="B75" s="50" t="str">
        <f>hyperlink("https://au.indeed.com/viewjob?from=iaBackPress&amp;jk=aa4829ec40db55a0&amp;vjs=3","Lead Substation Design Engineer Transmission scale - (Electrical Engineer)")</f>
        <v>Lead Substation Design Engineer Transmission scale - (Electrical Engineer)</v>
      </c>
      <c r="C75" s="27" t="s">
        <v>734</v>
      </c>
      <c r="D75" s="11" t="s">
        <v>842</v>
      </c>
      <c r="E75" s="51">
        <v>44175.40645833333</v>
      </c>
    </row>
    <row r="76">
      <c r="A76" s="27" t="s">
        <v>33</v>
      </c>
      <c r="B76" s="50" t="str">
        <f>hyperlink("https://au.indeed.com/viewjob?from=iaBackPress&amp;jk=59748a463b6f36ae&amp;vjs=3","Civil Design Engineer")</f>
        <v>Civil Design Engineer</v>
      </c>
      <c r="C76" s="27" t="s">
        <v>757</v>
      </c>
      <c r="D76" s="11" t="s">
        <v>842</v>
      </c>
      <c r="E76" s="51">
        <v>44175.40697916667</v>
      </c>
    </row>
    <row r="77">
      <c r="A77" s="27" t="s">
        <v>36</v>
      </c>
      <c r="B77" s="50" t="str">
        <f>hyperlink("https://au.indeed.com/viewjob?from=iaBackPress&amp;jk=78d9624fe7590315&amp;vjs=3","Infrastructure Engineer")</f>
        <v>Infrastructure Engineer</v>
      </c>
      <c r="C77" s="27" t="s">
        <v>743</v>
      </c>
      <c r="D77" s="11" t="s">
        <v>842</v>
      </c>
      <c r="E77" s="51">
        <v>44175.407905092594</v>
      </c>
    </row>
    <row r="78">
      <c r="A78" s="27" t="s">
        <v>37</v>
      </c>
      <c r="B78" s="50" t="str">
        <f>hyperlink("https://au.indeed.com/viewjob?from=iaBackPress&amp;jk=a01cd9a8819fdb6d&amp;vjs=3","Production &amp; Maintenance Engineer")</f>
        <v>Production &amp; Maintenance Engineer</v>
      </c>
      <c r="C78" s="27" t="s">
        <v>847</v>
      </c>
      <c r="D78" s="11" t="s">
        <v>842</v>
      </c>
      <c r="E78" s="51">
        <v>44175.4084375</v>
      </c>
    </row>
    <row r="79">
      <c r="A79" s="27" t="s">
        <v>41</v>
      </c>
      <c r="B79" s="50" t="str">
        <f>hyperlink("https://au.indeed.com/viewjob?from=iaBackPress&amp;jk=f409160b8d1ee990&amp;vjs=3","Chemical Engineer | Process Engineer - Graduate")</f>
        <v>Chemical Engineer | Process Engineer - Graduate</v>
      </c>
      <c r="C79" s="27" t="s">
        <v>748</v>
      </c>
      <c r="D79" s="11" t="s">
        <v>842</v>
      </c>
      <c r="E79" s="51">
        <v>44175.40943287037</v>
      </c>
    </row>
    <row r="80">
      <c r="A80" s="27" t="s">
        <v>42</v>
      </c>
      <c r="B80" s="50" t="str">
        <f>hyperlink("https://au.indeed.com/viewjob?from=iaBackPress&amp;jk=68c5d8270bd11ecf&amp;vjs=3","Senior Biomedical Production Engineer")</f>
        <v>Senior Biomedical Production Engineer</v>
      </c>
      <c r="C80" s="27" t="s">
        <v>749</v>
      </c>
      <c r="D80" s="11" t="s">
        <v>842</v>
      </c>
      <c r="E80" s="51">
        <v>44175.410104166665</v>
      </c>
    </row>
    <row r="81">
      <c r="A81" s="27" t="s">
        <v>45</v>
      </c>
      <c r="B81" s="50" t="str">
        <f>hyperlink("https://au.indeed.com/viewjob?from=iaBackPress&amp;jk=49eae43bb03955d4&amp;vjs=3","Senior Project Engineer")</f>
        <v>Senior Project Engineer</v>
      </c>
      <c r="C81" s="27" t="s">
        <v>339</v>
      </c>
      <c r="D81" s="11" t="s">
        <v>842</v>
      </c>
      <c r="E81" s="51">
        <v>44175.41068287037</v>
      </c>
    </row>
    <row r="82">
      <c r="A82" s="27" t="s">
        <v>45</v>
      </c>
      <c r="B82" s="50" t="str">
        <f>hyperlink("https://au.indeed.com/viewjob?from=iaBackPress&amp;jk=6646a11a906e5847&amp;vjs=3","Senior Project Engineer - Sydney CBD")</f>
        <v>Senior Project Engineer - Sydney CBD</v>
      </c>
      <c r="C82" s="27" t="s">
        <v>750</v>
      </c>
      <c r="D82" s="11" t="s">
        <v>842</v>
      </c>
      <c r="E82" s="51">
        <v>44175.414618055554</v>
      </c>
    </row>
    <row r="83">
      <c r="A83" s="27" t="s">
        <v>45</v>
      </c>
      <c r="B83" s="50" t="str">
        <f>hyperlink("https://au.indeed.com/viewjob?from=iaBackPress&amp;jk=29f65e39b9473cab&amp;vjs=3","Project Engineer")</f>
        <v>Project Engineer</v>
      </c>
      <c r="C83" s="27" t="s">
        <v>754</v>
      </c>
      <c r="D83" s="11" t="s">
        <v>842</v>
      </c>
      <c r="E83" s="51">
        <v>44175.41519675926</v>
      </c>
    </row>
    <row r="84">
      <c r="A84" s="27" t="s">
        <v>26</v>
      </c>
      <c r="B84" s="50" t="str">
        <f t="shared" ref="B84:B87" si="1">hyperlink("https://au.indeed.com/viewjob?from=iaBackPress&amp;jk=97b87860f90a1eaf&amp;vjs=3","Mechanical Engineer")</f>
        <v>Mechanical Engineer</v>
      </c>
      <c r="C84" s="27" t="s">
        <v>718</v>
      </c>
      <c r="D84" s="11" t="s">
        <v>842</v>
      </c>
      <c r="E84" s="51">
        <v>44175.779328703706</v>
      </c>
    </row>
    <row r="85">
      <c r="A85" s="27" t="s">
        <v>26</v>
      </c>
      <c r="B85" s="50" t="str">
        <f t="shared" si="1"/>
        <v>Mechanical Engineer</v>
      </c>
      <c r="C85" s="27" t="s">
        <v>718</v>
      </c>
      <c r="D85" s="11" t="s">
        <v>842</v>
      </c>
      <c r="E85" s="51">
        <v>44175.79053240741</v>
      </c>
    </row>
    <row r="86">
      <c r="A86" s="27" t="s">
        <v>26</v>
      </c>
      <c r="B86" s="50" t="str">
        <f t="shared" si="1"/>
        <v>Mechanical Engineer</v>
      </c>
      <c r="C86" s="27" t="s">
        <v>718</v>
      </c>
      <c r="D86" s="11" t="s">
        <v>842</v>
      </c>
      <c r="E86" s="51">
        <v>44175.91212962963</v>
      </c>
    </row>
    <row r="87">
      <c r="A87" s="27" t="s">
        <v>26</v>
      </c>
      <c r="B87" s="50" t="str">
        <f t="shared" si="1"/>
        <v>Mechanical Engineer</v>
      </c>
      <c r="C87" s="27" t="s">
        <v>718</v>
      </c>
      <c r="D87" s="11" t="s">
        <v>842</v>
      </c>
      <c r="E87" s="51">
        <v>44175.91422453704</v>
      </c>
    </row>
    <row r="88">
      <c r="A88" s="27" t="s">
        <v>26</v>
      </c>
      <c r="B88" s="50" t="str">
        <f t="shared" ref="B88:B89" si="2">hyperlink("https://au.indeed.com/viewjob?from=iaBackPress&amp;jk=375f43dbe7ab737a&amp;vjs=3","Undergraduate Mechanical Engineer")</f>
        <v>Undergraduate Mechanical Engineer</v>
      </c>
      <c r="C88" s="27" t="s">
        <v>347</v>
      </c>
      <c r="D88" s="11">
        <v>1.608488680458E12</v>
      </c>
      <c r="E88" s="51">
        <v>44185.996296296296</v>
      </c>
    </row>
    <row r="89">
      <c r="A89" s="27" t="s">
        <v>26</v>
      </c>
      <c r="B89" s="50" t="str">
        <f t="shared" si="2"/>
        <v>Undergraduate Mechanical Engineer</v>
      </c>
      <c r="C89" s="27" t="s">
        <v>347</v>
      </c>
      <c r="D89" s="11">
        <v>1.608489226994E12</v>
      </c>
      <c r="E89" s="51">
        <v>44186.00262731482</v>
      </c>
    </row>
    <row r="90">
      <c r="A90" s="27" t="s">
        <v>26</v>
      </c>
      <c r="B90" s="50" t="str">
        <f>hyperlink("https://au.indeed.com/viewjob?from=iaBackPress&amp;jk=6619e0114adad1d1&amp;vjs=3","Mechanical Engineer")</f>
        <v>Mechanical Engineer</v>
      </c>
      <c r="C90" s="27" t="s">
        <v>356</v>
      </c>
      <c r="D90" s="11">
        <v>1.608489261258E12</v>
      </c>
      <c r="E90" s="51">
        <v>44186.003020833334</v>
      </c>
    </row>
    <row r="91">
      <c r="A91" s="27" t="s">
        <v>26</v>
      </c>
      <c r="B91" s="50" t="str">
        <f>hyperlink("https://au.indeed.com/viewjob?from=iaBackPress&amp;jk=eac354bcc806ddbc&amp;vjs=3","Mechanical Engineer")</f>
        <v>Mechanical Engineer</v>
      </c>
      <c r="C91" s="27" t="s">
        <v>755</v>
      </c>
      <c r="D91" s="11" t="s">
        <v>842</v>
      </c>
      <c r="E91" s="51">
        <v>44186.558587962965</v>
      </c>
    </row>
    <row r="92">
      <c r="A92" s="27" t="s">
        <v>33</v>
      </c>
      <c r="B92" s="50" t="str">
        <f>hyperlink("https://au.indeed.com/viewjob?from=iaBackPress&amp;jk=b6f7efaf7e94544a&amp;vjs=3","#EANF#")</f>
        <v>#EANF#</v>
      </c>
      <c r="C92" s="27" t="s">
        <v>262</v>
      </c>
      <c r="D92" s="11">
        <v>1.608517708458E12</v>
      </c>
      <c r="E92" s="51">
        <v>44186.561435185184</v>
      </c>
    </row>
    <row r="93">
      <c r="A93" s="27" t="s">
        <v>33</v>
      </c>
      <c r="B93" s="50" t="str">
        <f>hyperlink("https://au.indeed.com/viewjob?from=iaBackPress&amp;jk=90b85e9797cbef29&amp;vjs=3","Mechanical Design Engineer")</f>
        <v>Mechanical Design Engineer</v>
      </c>
      <c r="C93" s="27" t="s">
        <v>375</v>
      </c>
      <c r="D93" s="11" t="s">
        <v>842</v>
      </c>
      <c r="E93" s="51">
        <v>44186.562939814816</v>
      </c>
    </row>
    <row r="94">
      <c r="A94" s="27" t="s">
        <v>33</v>
      </c>
      <c r="B94" s="50" t="str">
        <f>hyperlink("https://au.indeed.com/viewjob?from=iaBackPress&amp;jk=627c606995cd76ec&amp;vjs=3","FPGA Design Engineer")</f>
        <v>FPGA Design Engineer</v>
      </c>
      <c r="C94" s="27" t="s">
        <v>730</v>
      </c>
      <c r="D94" s="11" t="s">
        <v>842</v>
      </c>
      <c r="E94" s="51">
        <v>44186.56335648148</v>
      </c>
    </row>
    <row r="95">
      <c r="A95" s="27" t="s">
        <v>33</v>
      </c>
      <c r="B95" s="50" t="str">
        <f>hyperlink("https://au.indeed.com/viewjob?from=iaBackPress&amp;jk=0b67319f39946614&amp;vjs=3","Civil Design Engineer")</f>
        <v>Civil Design Engineer</v>
      </c>
      <c r="C95" s="27" t="s">
        <v>757</v>
      </c>
      <c r="D95" s="11" t="s">
        <v>842</v>
      </c>
      <c r="E95" s="51">
        <v>44186.56377314815</v>
      </c>
    </row>
    <row r="96">
      <c r="A96" s="27" t="s">
        <v>36</v>
      </c>
      <c r="B96" s="50" t="str">
        <f>hyperlink("https://au.indeed.com/viewjob?from=iaBackPress&amp;jk=454b1eae25ddd2bf&amp;vjs=3","Senior Network &amp; Infrastructure Engineer")</f>
        <v>Senior Network &amp; Infrastructure Engineer</v>
      </c>
      <c r="C96" s="27" t="s">
        <v>758</v>
      </c>
      <c r="D96" s="11" t="s">
        <v>842</v>
      </c>
      <c r="E96" s="51">
        <v>44186.56818287037</v>
      </c>
    </row>
    <row r="97">
      <c r="A97" s="27" t="s">
        <v>42</v>
      </c>
      <c r="B97" s="50" t="str">
        <f>hyperlink("https://au.indeed.com/viewjob?from=iaBackPress&amp;jk=68c5d8270bd11ecf&amp;vjs=3","Senior Biomedical Production Engineer")</f>
        <v>Senior Biomedical Production Engineer</v>
      </c>
      <c r="C97" s="27" t="s">
        <v>749</v>
      </c>
      <c r="D97" s="11" t="s">
        <v>842</v>
      </c>
      <c r="E97" s="51">
        <v>44186.56984953704</v>
      </c>
    </row>
    <row r="98">
      <c r="A98" s="27" t="s">
        <v>45</v>
      </c>
      <c r="B98" s="50" t="str">
        <f>hyperlink("https://au.indeed.com/viewjob?from=iaBackPress&amp;jk=f85e10e79c4cb325&amp;vjs=3","SITE FOREMAN/PROJECT ENGINEER")</f>
        <v>SITE FOREMAN/PROJECT ENGINEER</v>
      </c>
      <c r="C98" s="27" t="s">
        <v>759</v>
      </c>
      <c r="D98" s="11" t="s">
        <v>842</v>
      </c>
      <c r="E98" s="51">
        <v>44186.5727662037</v>
      </c>
    </row>
    <row r="99">
      <c r="A99" s="27" t="s">
        <v>45</v>
      </c>
      <c r="B99" s="50" t="str">
        <f>hyperlink("https://au.indeed.com/viewjob?from=iaBackPress&amp;jk=56d66f468497c514&amp;vjs=3","Project Engineer")</f>
        <v>Project Engineer</v>
      </c>
      <c r="C99" s="27" t="s">
        <v>761</v>
      </c>
      <c r="D99" s="11" t="s">
        <v>842</v>
      </c>
      <c r="E99" s="51">
        <v>44186.574282407404</v>
      </c>
    </row>
    <row r="100">
      <c r="A100" s="27" t="s">
        <v>45</v>
      </c>
      <c r="B100" s="50" t="str">
        <f>hyperlink("https://au.indeed.com/viewjob?from=iaBackPress&amp;jk=29f65e39b9473cab&amp;vjs=3","Project Engineer")</f>
        <v>Project Engineer</v>
      </c>
      <c r="C100" s="27" t="s">
        <v>754</v>
      </c>
      <c r="D100" s="11" t="s">
        <v>842</v>
      </c>
      <c r="E100" s="51">
        <v>44186.575324074074</v>
      </c>
    </row>
    <row r="101">
      <c r="A101" s="27" t="s">
        <v>45</v>
      </c>
      <c r="B101" s="50" t="str">
        <f>hyperlink("https://au.indeed.com/viewjob?from=iaBackPress&amp;jk=feb17c9f2ca9f7d2&amp;vjs=3","Senior Project Engineer - Cowal")</f>
        <v>Senior Project Engineer - Cowal</v>
      </c>
      <c r="C101" s="27" t="s">
        <v>750</v>
      </c>
      <c r="D101" s="11" t="s">
        <v>842</v>
      </c>
      <c r="E101" s="51">
        <v>44186.577465277776</v>
      </c>
    </row>
    <row r="102">
      <c r="A102" s="27" t="s">
        <v>45</v>
      </c>
      <c r="B102" s="50" t="str">
        <f>hyperlink("https://au.indeed.com/viewjob?from=iaBackPress&amp;jk=56d66f468497c514&amp;vjs=3","Project Engineer")</f>
        <v>Project Engineer</v>
      </c>
      <c r="C102" s="27" t="s">
        <v>761</v>
      </c>
      <c r="D102" s="11" t="s">
        <v>842</v>
      </c>
      <c r="E102" s="51">
        <v>44186.58075231482</v>
      </c>
    </row>
    <row r="103">
      <c r="A103" s="27" t="s">
        <v>49</v>
      </c>
      <c r="B103" s="50" t="str">
        <f>hyperlink("https://au.indeed.com/viewjob?from=iaBackPress&amp;jk=2fa28558872f1306&amp;vjs=3","Lead Site Reliability Engineer")</f>
        <v>Lead Site Reliability Engineer</v>
      </c>
      <c r="C103" s="27" t="s">
        <v>762</v>
      </c>
      <c r="D103" s="11" t="s">
        <v>842</v>
      </c>
      <c r="E103" s="51">
        <v>44186.58445601852</v>
      </c>
    </row>
    <row r="104">
      <c r="A104" s="27" t="s">
        <v>49</v>
      </c>
      <c r="B104" s="50" t="str">
        <f>hyperlink("https://au.indeed.com/viewjob?from=iaBackPress&amp;jk=e01e3538682ff0c7&amp;vjs=3","Senior Site Reliability Engineer")</f>
        <v>Senior Site Reliability Engineer</v>
      </c>
      <c r="C104" s="27" t="s">
        <v>763</v>
      </c>
      <c r="D104" s="11" t="s">
        <v>842</v>
      </c>
      <c r="E104" s="51">
        <v>44186.58597222222</v>
      </c>
    </row>
    <row r="105">
      <c r="A105" s="27" t="s">
        <v>50</v>
      </c>
      <c r="B105" s="50" t="str">
        <f>hyperlink("https://au.indeed.com/viewjob?from=iaBackPress&amp;jk=196fbcc309bbe829&amp;vjs=3","Field Service Engineer - Managed Services (Sydney)")</f>
        <v>Field Service Engineer - Managed Services (Sydney)</v>
      </c>
      <c r="C105" s="27" t="s">
        <v>764</v>
      </c>
      <c r="D105" s="11" t="s">
        <v>842</v>
      </c>
      <c r="E105" s="51">
        <v>44186.58917824074</v>
      </c>
    </row>
    <row r="106">
      <c r="A106" s="27" t="s">
        <v>26</v>
      </c>
      <c r="B106" s="50" t="str">
        <f>hyperlink("https://au.indeed.com/viewjob?from=iaBackPress&amp;jk=eac354bcc806ddbc&amp;vjs=3","Mechanical Engineer")</f>
        <v>Mechanical Engineer</v>
      </c>
      <c r="C106" s="27" t="s">
        <v>755</v>
      </c>
      <c r="D106" s="11" t="s">
        <v>842</v>
      </c>
      <c r="E106" s="51">
        <v>44186.61730324074</v>
      </c>
    </row>
    <row r="107">
      <c r="A107" s="27" t="s">
        <v>33</v>
      </c>
      <c r="B107" s="50" t="str">
        <f>hyperlink("https://au.indeed.com/viewjob?from=iaBackPress&amp;jk=b6f7efaf7e94544a&amp;vjs=3","#EANF#")</f>
        <v>#EANF#</v>
      </c>
      <c r="C107" s="27" t="s">
        <v>262</v>
      </c>
      <c r="D107" s="11">
        <v>1.608522639524E12</v>
      </c>
      <c r="E107" s="51">
        <v>44186.61850694445</v>
      </c>
    </row>
    <row r="108">
      <c r="A108" s="27" t="s">
        <v>33</v>
      </c>
      <c r="B108" s="50" t="str">
        <f>hyperlink("https://au.indeed.com/viewjob?from=iaBackPress&amp;jk=90b85e9797cbef29&amp;vjs=3","Mechanical Design Engineer")</f>
        <v>Mechanical Design Engineer</v>
      </c>
      <c r="C108" s="27" t="s">
        <v>375</v>
      </c>
      <c r="D108" s="11" t="s">
        <v>842</v>
      </c>
      <c r="E108" s="51">
        <v>44186.61945601852</v>
      </c>
    </row>
    <row r="109">
      <c r="A109" s="27" t="s">
        <v>33</v>
      </c>
      <c r="B109" s="50" t="str">
        <f>hyperlink("https://au.indeed.com/viewjob?from=iaBackPress&amp;jk=627c606995cd76ec&amp;vjs=3","FPGA Design Engineer")</f>
        <v>FPGA Design Engineer</v>
      </c>
      <c r="C109" s="27" t="s">
        <v>730</v>
      </c>
      <c r="D109" s="11" t="s">
        <v>842</v>
      </c>
      <c r="E109" s="51">
        <v>44186.61982638889</v>
      </c>
    </row>
    <row r="110">
      <c r="A110" s="27" t="s">
        <v>33</v>
      </c>
      <c r="B110" s="50" t="str">
        <f>hyperlink("https://au.indeed.com/viewjob?from=iaBackPress&amp;jk=0b67319f39946614&amp;vjs=3","Civil Design Engineer")</f>
        <v>Civil Design Engineer</v>
      </c>
      <c r="C110" s="27" t="s">
        <v>757</v>
      </c>
      <c r="D110" s="11" t="s">
        <v>842</v>
      </c>
      <c r="E110" s="51">
        <v>44186.62017361111</v>
      </c>
    </row>
    <row r="111">
      <c r="A111" s="27" t="s">
        <v>36</v>
      </c>
      <c r="B111" s="50" t="str">
        <f>hyperlink("https://au.indeed.com/viewjob?from=iaBackPress&amp;jk=454b1eae25ddd2bf&amp;vjs=3","Senior Network &amp; Infrastructure Engineer")</f>
        <v>Senior Network &amp; Infrastructure Engineer</v>
      </c>
      <c r="C111" s="27" t="s">
        <v>758</v>
      </c>
      <c r="D111" s="11" t="s">
        <v>842</v>
      </c>
      <c r="E111" s="51">
        <v>44186.62280092593</v>
      </c>
    </row>
    <row r="112">
      <c r="A112" s="27" t="s">
        <v>42</v>
      </c>
      <c r="B112" s="50" t="str">
        <f>hyperlink("https://au.indeed.com/viewjob?from=iaBackPress&amp;jk=68c5d8270bd11ecf&amp;vjs=3","Senior Biomedical Production Engineer")</f>
        <v>Senior Biomedical Production Engineer</v>
      </c>
      <c r="C112" s="27" t="s">
        <v>749</v>
      </c>
      <c r="D112" s="11" t="s">
        <v>842</v>
      </c>
      <c r="E112" s="51">
        <v>44186.62354166667</v>
      </c>
    </row>
    <row r="113">
      <c r="A113" s="27" t="s">
        <v>45</v>
      </c>
      <c r="B113" s="50" t="str">
        <f>hyperlink("https://au.indeed.com/viewjob?from=iaBackPress&amp;jk=f85e10e79c4cb325&amp;vjs=3","SITE FOREMAN/PROJECT ENGINEER")</f>
        <v>SITE FOREMAN/PROJECT ENGINEER</v>
      </c>
      <c r="C113" s="27" t="s">
        <v>759</v>
      </c>
      <c r="D113" s="11" t="s">
        <v>842</v>
      </c>
      <c r="E113" s="51">
        <v>44186.62428240741</v>
      </c>
    </row>
    <row r="114">
      <c r="A114" s="27" t="s">
        <v>45</v>
      </c>
      <c r="B114" s="50" t="str">
        <f>hyperlink("https://au.indeed.com/viewjob?from=iaBackPress&amp;jk=56d66f468497c514&amp;vjs=3","Project Engineer")</f>
        <v>Project Engineer</v>
      </c>
      <c r="C114" s="27" t="s">
        <v>761</v>
      </c>
      <c r="D114" s="11" t="s">
        <v>842</v>
      </c>
      <c r="E114" s="51">
        <v>44186.62469907408</v>
      </c>
    </row>
    <row r="115">
      <c r="A115" s="27" t="s">
        <v>45</v>
      </c>
      <c r="B115" s="50" t="str">
        <f>hyperlink("https://au.indeed.com/viewjob?from=iaBackPress&amp;jk=29f65e39b9473cab&amp;vjs=3","Project Engineer")</f>
        <v>Project Engineer</v>
      </c>
      <c r="C115" s="27" t="s">
        <v>754</v>
      </c>
      <c r="D115" s="11" t="s">
        <v>842</v>
      </c>
      <c r="E115" s="51">
        <v>44186.62590277778</v>
      </c>
    </row>
    <row r="116">
      <c r="A116" s="27" t="s">
        <v>45</v>
      </c>
      <c r="B116" s="50" t="str">
        <f>hyperlink("https://au.indeed.com/viewjob?from=iaBackPress&amp;jk=feb17c9f2ca9f7d2&amp;vjs=3","Senior Project Engineer - Cowal")</f>
        <v>Senior Project Engineer - Cowal</v>
      </c>
      <c r="C116" s="27" t="s">
        <v>750</v>
      </c>
      <c r="D116" s="11" t="s">
        <v>842</v>
      </c>
      <c r="E116" s="51">
        <v>44186.626493055555</v>
      </c>
    </row>
    <row r="117">
      <c r="A117" s="27" t="s">
        <v>45</v>
      </c>
      <c r="B117" s="50" t="str">
        <f>hyperlink("https://au.indeed.com/viewjob?from=iaBackPress&amp;jk=56d66f468497c514&amp;vjs=3","Project Engineer")</f>
        <v>Project Engineer</v>
      </c>
      <c r="C117" s="27" t="s">
        <v>761</v>
      </c>
      <c r="D117" s="11" t="s">
        <v>842</v>
      </c>
      <c r="E117" s="51">
        <v>44186.6277662037</v>
      </c>
    </row>
    <row r="118">
      <c r="A118" s="27" t="s">
        <v>49</v>
      </c>
      <c r="B118" s="50" t="str">
        <f>hyperlink("https://au.indeed.com/viewjob?from=iaBackPress&amp;jk=2fa28558872f1306&amp;vjs=3","Lead Site Reliability Engineer")</f>
        <v>Lead Site Reliability Engineer</v>
      </c>
      <c r="C118" s="27" t="s">
        <v>762</v>
      </c>
      <c r="D118" s="11" t="s">
        <v>842</v>
      </c>
      <c r="E118" s="51">
        <v>44186.62894675926</v>
      </c>
    </row>
    <row r="119">
      <c r="A119" s="27" t="s">
        <v>49</v>
      </c>
      <c r="B119" s="50" t="str">
        <f>hyperlink("https://au.indeed.com/viewjob?from=iaBackPress&amp;jk=e01e3538682ff0c7&amp;vjs=3","Senior Site Reliability Engineer")</f>
        <v>Senior Site Reliability Engineer</v>
      </c>
      <c r="C119" s="27" t="s">
        <v>763</v>
      </c>
      <c r="D119" s="11" t="s">
        <v>842</v>
      </c>
      <c r="E119" s="51">
        <v>44186.629525462966</v>
      </c>
    </row>
    <row r="120">
      <c r="A120" s="27" t="s">
        <v>50</v>
      </c>
      <c r="B120" s="50" t="str">
        <f>hyperlink("https://au.indeed.com/viewjob?from=iaBackPress&amp;jk=196fbcc309bbe829&amp;vjs=3","Field Service Engineer - Managed Services (Sydney)")</f>
        <v>Field Service Engineer - Managed Services (Sydney)</v>
      </c>
      <c r="C120" s="27" t="s">
        <v>764</v>
      </c>
      <c r="D120" s="11" t="s">
        <v>842</v>
      </c>
      <c r="E120" s="51">
        <v>44186.63048611111</v>
      </c>
    </row>
    <row r="121">
      <c r="A121" s="27" t="s">
        <v>33</v>
      </c>
      <c r="B121" s="50" t="str">
        <f t="shared" ref="B121:B123" si="3">hyperlink("https://au.indeed.com/viewjob?from=iaBackPress&amp;jk=b6f7efaf7e94544a&amp;vjs=3","#EANF#")</f>
        <v>#EANF#</v>
      </c>
      <c r="C121" s="27" t="s">
        <v>262</v>
      </c>
      <c r="D121" s="11">
        <v>1.60874827398E12</v>
      </c>
      <c r="E121" s="51">
        <v>44189.23002314815</v>
      </c>
    </row>
    <row r="122">
      <c r="A122" s="27" t="s">
        <v>33</v>
      </c>
      <c r="B122" s="50" t="str">
        <f t="shared" si="3"/>
        <v>#EANF#</v>
      </c>
      <c r="C122" s="27" t="s">
        <v>262</v>
      </c>
      <c r="D122" s="11">
        <v>1.608775155148E12</v>
      </c>
      <c r="E122" s="51">
        <v>44189.54114583333</v>
      </c>
    </row>
    <row r="123">
      <c r="A123" s="27" t="s">
        <v>33</v>
      </c>
      <c r="B123" s="50" t="str">
        <f t="shared" si="3"/>
        <v>#EANF#</v>
      </c>
      <c r="C123" s="27" t="s">
        <v>262</v>
      </c>
      <c r="D123" s="11">
        <v>1.608789241146E12</v>
      </c>
      <c r="E123" s="51">
        <v>44189.70417824074</v>
      </c>
    </row>
    <row r="124">
      <c r="A124" s="27" t="s">
        <v>33</v>
      </c>
      <c r="B124" s="50" t="str">
        <f>hyperlink("https://au.indeed.com/viewjob?from=iaBackPress&amp;jk=90b85e9797cbef29&amp;vjs=3","Mechanical Design Engineer")</f>
        <v>Mechanical Design Engineer</v>
      </c>
      <c r="C124" s="27" t="s">
        <v>375</v>
      </c>
      <c r="D124" s="11" t="s">
        <v>842</v>
      </c>
      <c r="E124" s="51">
        <v>44189.704780092594</v>
      </c>
    </row>
    <row r="125">
      <c r="A125" s="27" t="s">
        <v>33</v>
      </c>
      <c r="B125" s="50" t="str">
        <f>hyperlink("https://au.indeed.com/viewjob?from=iaBackPress&amp;jk=627c606995cd76ec&amp;vjs=3","FPGA Design Engineer")</f>
        <v>FPGA Design Engineer</v>
      </c>
      <c r="C125" s="27" t="s">
        <v>730</v>
      </c>
      <c r="D125" s="11" t="s">
        <v>842</v>
      </c>
      <c r="E125" s="51">
        <v>44189.705416666664</v>
      </c>
    </row>
    <row r="126">
      <c r="A126" s="27" t="s">
        <v>33</v>
      </c>
      <c r="B126" s="50" t="str">
        <f>hyperlink("https://au.indeed.com/viewjob?from=iaBackPress&amp;jk=0b67319f39946614&amp;vjs=3","Civil Design Engineer")</f>
        <v>Civil Design Engineer</v>
      </c>
      <c r="C126" s="27" t="s">
        <v>757</v>
      </c>
      <c r="D126" s="11" t="s">
        <v>842</v>
      </c>
      <c r="E126" s="51">
        <v>44189.70674768519</v>
      </c>
    </row>
    <row r="127">
      <c r="A127" s="27" t="s">
        <v>34</v>
      </c>
      <c r="B127" s="50" t="str">
        <f>hyperlink("https://au.indeed.com/viewjob?from=iaBackPress&amp;jk=10fc1007cd0a24d5&amp;vjs=3","Software Development Engineer in Test II (Checkout Team)")</f>
        <v>Software Development Engineer in Test II (Checkout Team)</v>
      </c>
      <c r="C127" s="27" t="s">
        <v>767</v>
      </c>
      <c r="D127" s="11" t="s">
        <v>842</v>
      </c>
      <c r="E127" s="51">
        <v>44189.70976851852</v>
      </c>
    </row>
    <row r="128">
      <c r="A128" s="27" t="s">
        <v>36</v>
      </c>
      <c r="B128" s="50" t="str">
        <f>hyperlink("https://au.indeed.com/viewjob?from=iaBackPress&amp;jk=454b1eae25ddd2bf&amp;vjs=3","Senior Network &amp; Infrastructure Engineer")</f>
        <v>Senior Network &amp; Infrastructure Engineer</v>
      </c>
      <c r="C128" s="27" t="s">
        <v>758</v>
      </c>
      <c r="D128" s="11" t="s">
        <v>842</v>
      </c>
      <c r="E128" s="51">
        <v>44189.71396990741</v>
      </c>
    </row>
    <row r="129">
      <c r="A129" s="27" t="s">
        <v>42</v>
      </c>
      <c r="B129" s="50" t="str">
        <f>hyperlink("https://au.indeed.com/viewjob?from=iaBackPress&amp;jk=68c5d8270bd11ecf&amp;vjs=3","Senior Biomedical Production Engineer")</f>
        <v>Senior Biomedical Production Engineer</v>
      </c>
      <c r="C129" s="27" t="s">
        <v>749</v>
      </c>
      <c r="D129" s="11" t="s">
        <v>842</v>
      </c>
      <c r="E129" s="51">
        <v>44189.71605324074</v>
      </c>
    </row>
    <row r="130">
      <c r="A130" s="27" t="s">
        <v>45</v>
      </c>
      <c r="B130" s="50" t="str">
        <f>hyperlink("https://au.indeed.com/viewjob?from=iaBackPress&amp;jk=f85e10e79c4cb325&amp;vjs=3","SITE FOREMAN/PROJECT ENGINEER")</f>
        <v>SITE FOREMAN/PROJECT ENGINEER</v>
      </c>
      <c r="C130" s="27" t="s">
        <v>759</v>
      </c>
      <c r="D130" s="11" t="s">
        <v>842</v>
      </c>
      <c r="E130" s="51">
        <v>44189.71800925926</v>
      </c>
    </row>
    <row r="131">
      <c r="A131" s="27" t="s">
        <v>45</v>
      </c>
      <c r="B131" s="50" t="str">
        <f>hyperlink("https://au.indeed.com/viewjob?from=iaBackPress&amp;jk=56d66f468497c514&amp;vjs=3","Project Engineer")</f>
        <v>Project Engineer</v>
      </c>
      <c r="C131" s="27" t="s">
        <v>761</v>
      </c>
      <c r="D131" s="11" t="s">
        <v>842</v>
      </c>
      <c r="E131" s="51">
        <v>44189.71888888889</v>
      </c>
    </row>
    <row r="132">
      <c r="A132" s="27" t="s">
        <v>45</v>
      </c>
      <c r="B132" s="50" t="str">
        <f>hyperlink("https://au.indeed.com/viewjob?from=iaBackPress&amp;jk=29f65e39b9473cab&amp;vjs=3","Project Engineer")</f>
        <v>Project Engineer</v>
      </c>
      <c r="C132" s="27" t="s">
        <v>754</v>
      </c>
      <c r="D132" s="11" t="s">
        <v>842</v>
      </c>
      <c r="E132" s="51">
        <v>44189.72090277778</v>
      </c>
    </row>
    <row r="133">
      <c r="A133" s="27" t="s">
        <v>45</v>
      </c>
      <c r="B133" s="50" t="str">
        <f>hyperlink("https://au.indeed.com/viewjob?from=iaBackPress&amp;jk=feb17c9f2ca9f7d2&amp;vjs=3","Senior Project Engineer - Cowal")</f>
        <v>Senior Project Engineer - Cowal</v>
      </c>
      <c r="C133" s="27" t="s">
        <v>750</v>
      </c>
      <c r="D133" s="11" t="s">
        <v>842</v>
      </c>
      <c r="E133" s="51">
        <v>44189.72180555556</v>
      </c>
    </row>
    <row r="134">
      <c r="A134" s="27" t="s">
        <v>45</v>
      </c>
      <c r="B134" s="50" t="str">
        <f>hyperlink("https://au.indeed.com/viewjob?from=iaBackPress&amp;jk=56d66f468497c514&amp;vjs=3","Project Engineer")</f>
        <v>Project Engineer</v>
      </c>
      <c r="C134" s="27" t="s">
        <v>761</v>
      </c>
      <c r="D134" s="11" t="s">
        <v>842</v>
      </c>
      <c r="E134" s="51">
        <v>44189.723449074074</v>
      </c>
    </row>
    <row r="135">
      <c r="A135" s="27" t="s">
        <v>49</v>
      </c>
      <c r="B135" s="50" t="str">
        <f>hyperlink("https://au.indeed.com/viewjob?from=iaBackPress&amp;jk=2fa28558872f1306&amp;vjs=3","Lead Site Reliability Engineer")</f>
        <v>Lead Site Reliability Engineer</v>
      </c>
      <c r="C135" s="27" t="s">
        <v>762</v>
      </c>
      <c r="D135" s="11" t="s">
        <v>842</v>
      </c>
      <c r="E135" s="51">
        <v>44189.72591435185</v>
      </c>
    </row>
    <row r="136">
      <c r="A136" s="27" t="s">
        <v>49</v>
      </c>
      <c r="B136" s="50" t="str">
        <f>hyperlink("https://au.indeed.com/viewjob?from=iaBackPress&amp;jk=e01e3538682ff0c7&amp;vjs=3","Senior Site Reliability Engineer")</f>
        <v>Senior Site Reliability Engineer</v>
      </c>
      <c r="C136" s="27" t="s">
        <v>763</v>
      </c>
      <c r="D136" s="11" t="s">
        <v>842</v>
      </c>
      <c r="E136" s="51">
        <v>44189.72761574074</v>
      </c>
    </row>
    <row r="137">
      <c r="A137" s="27" t="s">
        <v>50</v>
      </c>
      <c r="B137" s="50" t="str">
        <f>hyperlink("https://au.indeed.com/viewjob?from=iaBackPress&amp;jk=196fbcc309bbe829&amp;vjs=3","Field Service Engineer - Managed Services (Sydney)")</f>
        <v>Field Service Engineer - Managed Services (Sydney)</v>
      </c>
      <c r="C137" s="27" t="s">
        <v>764</v>
      </c>
      <c r="D137" s="11" t="s">
        <v>842</v>
      </c>
      <c r="E137" s="51">
        <v>44189.72928240741</v>
      </c>
    </row>
    <row r="138">
      <c r="A138" s="27" t="s">
        <v>51</v>
      </c>
      <c r="B138" s="50" t="str">
        <f>hyperlink("https://au.indeed.com/viewjob?from=iaBackPress&amp;jk=b76fe947a2b4cdad&amp;vjs=3","Site Engineer")</f>
        <v>Site Engineer</v>
      </c>
      <c r="C138" s="27" t="s">
        <v>773</v>
      </c>
      <c r="D138" s="11" t="s">
        <v>842</v>
      </c>
      <c r="E138" s="51">
        <v>44189.730046296296</v>
      </c>
    </row>
    <row r="139">
      <c r="A139" s="27" t="s">
        <v>33</v>
      </c>
      <c r="B139" s="50" t="str">
        <f>hyperlink("https://au.indeed.com/viewjob?from=iaBackPress&amp;jk=b6f7efaf7e94544a&amp;vjs=3","#EANF#")</f>
        <v>#EANF#</v>
      </c>
      <c r="C139" s="27" t="s">
        <v>262</v>
      </c>
      <c r="D139" s="11">
        <v>1.608795609606E12</v>
      </c>
      <c r="E139" s="51">
        <v>44189.77788194444</v>
      </c>
    </row>
    <row r="140">
      <c r="A140" s="27" t="s">
        <v>33</v>
      </c>
      <c r="B140" s="50" t="str">
        <f>hyperlink("https://au.indeed.com/viewjob?from=iaBackPress&amp;jk=90b85e9797cbef29&amp;vjs=3","Mechanical Design Engineer")</f>
        <v>Mechanical Design Engineer</v>
      </c>
      <c r="C140" s="27" t="s">
        <v>375</v>
      </c>
      <c r="D140" s="11" t="s">
        <v>842</v>
      </c>
      <c r="E140" s="51">
        <v>44189.778275462966</v>
      </c>
    </row>
    <row r="141">
      <c r="A141" s="27" t="s">
        <v>33</v>
      </c>
      <c r="B141" s="50" t="str">
        <f>hyperlink("https://au.indeed.com/viewjob?from=iaBackPress&amp;jk=627c606995cd76ec&amp;vjs=3","FPGA Design Engineer")</f>
        <v>FPGA Design Engineer</v>
      </c>
      <c r="C141" s="27" t="s">
        <v>730</v>
      </c>
      <c r="D141" s="11" t="s">
        <v>842</v>
      </c>
      <c r="E141" s="51">
        <v>44189.77858796297</v>
      </c>
    </row>
    <row r="142">
      <c r="A142" s="27" t="s">
        <v>33</v>
      </c>
      <c r="B142" s="50" t="str">
        <f>hyperlink("https://au.indeed.com/viewjob?from=iaBackPress&amp;jk=0b67319f39946614&amp;vjs=3","Civil Design Engineer")</f>
        <v>Civil Design Engineer</v>
      </c>
      <c r="C142" s="27" t="s">
        <v>757</v>
      </c>
      <c r="D142" s="11" t="s">
        <v>842</v>
      </c>
      <c r="E142" s="51">
        <v>44189.77890046296</v>
      </c>
    </row>
    <row r="143">
      <c r="A143" s="27" t="s">
        <v>34</v>
      </c>
      <c r="B143" s="50" t="str">
        <f>hyperlink("https://au.indeed.com/viewjob?from=iaBackPress&amp;jk=10fc1007cd0a24d5&amp;vjs=3","Software Development Engineer in Test II (Checkout Team)")</f>
        <v>Software Development Engineer in Test II (Checkout Team)</v>
      </c>
      <c r="C143" s="27" t="s">
        <v>767</v>
      </c>
      <c r="D143" s="11" t="s">
        <v>842</v>
      </c>
      <c r="E143" s="51">
        <v>44189.779328703706</v>
      </c>
    </row>
    <row r="144">
      <c r="A144" s="27" t="s">
        <v>36</v>
      </c>
      <c r="B144" s="50" t="str">
        <f>hyperlink("https://au.indeed.com/viewjob?from=iaBackPress&amp;jk=454b1eae25ddd2bf&amp;vjs=3","Senior Network &amp; Infrastructure Engineer")</f>
        <v>Senior Network &amp; Infrastructure Engineer</v>
      </c>
      <c r="C144" s="27" t="s">
        <v>758</v>
      </c>
      <c r="D144" s="11" t="s">
        <v>842</v>
      </c>
      <c r="E144" s="51">
        <v>44189.779953703706</v>
      </c>
    </row>
    <row r="145">
      <c r="A145" s="27" t="s">
        <v>26</v>
      </c>
      <c r="B145" s="50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145" s="27" t="s">
        <v>777</v>
      </c>
      <c r="D145" s="11" t="s">
        <v>842</v>
      </c>
      <c r="E145" s="46">
        <v>44202.36148148148</v>
      </c>
    </row>
    <row r="146">
      <c r="A146" s="27" t="s">
        <v>33</v>
      </c>
      <c r="B146" s="50" t="str">
        <f>hyperlink("https://au.indeed.com/viewjob?from=iaBackPress&amp;jk=b6f7efaf7e94544a&amp;vjs=3","Technical | Design Engineer | Structural Engineer")</f>
        <v>Technical | Design Engineer | Structural Engineer</v>
      </c>
      <c r="C146" s="27" t="s">
        <v>748</v>
      </c>
      <c r="D146" s="11" t="s">
        <v>842</v>
      </c>
      <c r="E146" s="46">
        <v>44202.363275462965</v>
      </c>
    </row>
    <row r="147">
      <c r="A147" s="27" t="s">
        <v>33</v>
      </c>
      <c r="B147" s="50" t="str">
        <f>hyperlink("https://au.indeed.com/viewjob?from=iaBackPress&amp;jk=627c606995cd76ec&amp;vjs=3","FPGA Design Engineer")</f>
        <v>FPGA Design Engineer</v>
      </c>
      <c r="C147" s="27" t="s">
        <v>730</v>
      </c>
      <c r="D147" s="11" t="s">
        <v>842</v>
      </c>
      <c r="E147" s="46">
        <v>44202.365</v>
      </c>
    </row>
    <row r="148">
      <c r="A148" s="27" t="s">
        <v>33</v>
      </c>
      <c r="B148" s="50" t="str">
        <f>hyperlink("https://au.indeed.com/viewjob?from=iaBackPress&amp;jk=0b67319f39946614&amp;vjs=3","Civil Design Engineer")</f>
        <v>Civil Design Engineer</v>
      </c>
      <c r="C148" s="27" t="s">
        <v>757</v>
      </c>
      <c r="D148" s="11">
        <v>1.60988317815E12</v>
      </c>
      <c r="E148" s="46">
        <v>44202.36548611111</v>
      </c>
    </row>
    <row r="149">
      <c r="A149" s="27" t="s">
        <v>34</v>
      </c>
      <c r="B149" s="50" t="str">
        <f>hyperlink("https://au.indeed.com/viewjob?from=iaBackPress&amp;jk=10fc1007cd0a24d5&amp;vjs=3","Software Development Engineer in Test II (Checkout Team)")</f>
        <v>Software Development Engineer in Test II (Checkout Team)</v>
      </c>
      <c r="C149" s="27" t="s">
        <v>767</v>
      </c>
      <c r="D149" s="11" t="s">
        <v>842</v>
      </c>
      <c r="E149" s="46">
        <v>44202.36597222222</v>
      </c>
    </row>
    <row r="150">
      <c r="A150" s="27" t="s">
        <v>36</v>
      </c>
      <c r="B150" s="50" t="str">
        <f>hyperlink("https://au.indeed.com/viewjob?from=iaBackPress&amp;jk=454b1eae25ddd2bf&amp;vjs=3","Senior Network &amp; Infrastructure Engineer")</f>
        <v>Senior Network &amp; Infrastructure Engineer</v>
      </c>
      <c r="C150" s="27" t="s">
        <v>758</v>
      </c>
      <c r="D150" s="11" t="s">
        <v>842</v>
      </c>
      <c r="E150" s="46">
        <v>44202.36675925926</v>
      </c>
    </row>
    <row r="151">
      <c r="A151" s="27" t="s">
        <v>42</v>
      </c>
      <c r="B151" s="50" t="str">
        <f>hyperlink("https://au.indeed.com/viewjob?from=iaBackPress&amp;jk=68c5d8270bd11ecf&amp;vjs=3","Senior Biomedical Production Engineer")</f>
        <v>Senior Biomedical Production Engineer</v>
      </c>
      <c r="C151" s="27" t="s">
        <v>749</v>
      </c>
      <c r="D151" s="11">
        <v>1.609883343016E12</v>
      </c>
      <c r="E151" s="46">
        <v>44202.36739583333</v>
      </c>
    </row>
    <row r="152">
      <c r="A152" s="27" t="s">
        <v>26</v>
      </c>
      <c r="B152" s="50" t="str">
        <f>hyperlink("https://au.indeed.com/viewjob?from=iaBackPress&amp;jk=1c74da2574ce3245&amp;vjs=3","#EANF#")</f>
        <v>#EANF#</v>
      </c>
      <c r="C152" s="27" t="s">
        <v>848</v>
      </c>
      <c r="D152" s="11">
        <v>1.61051910541E12</v>
      </c>
      <c r="E152" s="46">
        <v>44209.725752314815</v>
      </c>
    </row>
    <row r="153">
      <c r="A153" s="27" t="s">
        <v>26</v>
      </c>
      <c r="B153" s="50" t="str">
        <f t="shared" ref="B153:B154" si="4">hyperlink("https://au.indeed.com/viewjob?from=iaBackPress&amp;jk=bb09d781c7a9c1d7&amp;vjs=3","Senior Mechanical Engineer - Cowal")</f>
        <v>Senior Mechanical Engineer - Cowal</v>
      </c>
      <c r="C153" s="27" t="s">
        <v>750</v>
      </c>
      <c r="D153" s="11" t="s">
        <v>842</v>
      </c>
      <c r="E153" s="46">
        <v>44209.726319444446</v>
      </c>
    </row>
    <row r="154">
      <c r="A154" s="27" t="s">
        <v>26</v>
      </c>
      <c r="B154" s="50" t="str">
        <f t="shared" si="4"/>
        <v>Senior Mechanical Engineer - Cowal</v>
      </c>
      <c r="C154" s="27" t="s">
        <v>750</v>
      </c>
      <c r="D154" s="11" t="s">
        <v>842</v>
      </c>
      <c r="E154" s="46">
        <v>44209.72943287037</v>
      </c>
    </row>
    <row r="155">
      <c r="A155" s="27" t="s">
        <v>26</v>
      </c>
      <c r="B155" s="50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155" s="27" t="s">
        <v>777</v>
      </c>
      <c r="D155" s="11" t="s">
        <v>842</v>
      </c>
      <c r="E155" s="46">
        <v>44209.73063657407</v>
      </c>
    </row>
    <row r="156">
      <c r="A156" s="27" t="s">
        <v>26</v>
      </c>
      <c r="B156" s="50" t="str">
        <f t="shared" ref="B156:B157" si="5">hyperlink("https://au.indeed.com/viewjob?from=iaBackPress&amp;jk=127f1a01edc04cc8&amp;vjs=3","#EANF#")</f>
        <v>#EANF#</v>
      </c>
      <c r="C156" s="27" t="s">
        <v>848</v>
      </c>
      <c r="D156" s="11">
        <v>1.610519812206E12</v>
      </c>
      <c r="E156" s="46">
        <v>44209.733935185184</v>
      </c>
    </row>
    <row r="157">
      <c r="A157" s="27" t="s">
        <v>26</v>
      </c>
      <c r="B157" s="50" t="str">
        <f t="shared" si="5"/>
        <v>#EANF#</v>
      </c>
      <c r="C157" s="27" t="s">
        <v>848</v>
      </c>
      <c r="D157" s="11">
        <v>1.610519958888E12</v>
      </c>
      <c r="E157" s="46">
        <v>44209.73563657407</v>
      </c>
    </row>
    <row r="158">
      <c r="A158" s="27" t="s">
        <v>26</v>
      </c>
      <c r="B158" s="50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158" s="27" t="s">
        <v>777</v>
      </c>
      <c r="D158" s="11" t="s">
        <v>842</v>
      </c>
      <c r="E158" s="46">
        <v>44209.73688657407</v>
      </c>
    </row>
    <row r="159">
      <c r="A159" s="27" t="s">
        <v>33</v>
      </c>
      <c r="B159" s="50" t="str">
        <f>hyperlink("https://au.indeed.com/viewjob?from=iaBackPress&amp;jk=e56c6b87b1452a2e&amp;vjs=3","Product Design Engineer - Maker Industry")</f>
        <v>Product Design Engineer - Maker Industry</v>
      </c>
      <c r="C159" s="27" t="s">
        <v>787</v>
      </c>
      <c r="D159" s="11" t="s">
        <v>842</v>
      </c>
      <c r="E159" s="46">
        <v>44209.73908564815</v>
      </c>
    </row>
    <row r="160">
      <c r="A160" s="27" t="s">
        <v>33</v>
      </c>
      <c r="B160" s="50" t="str">
        <f>hyperlink("https://au.indeed.com/viewjob?from=iaBackPress&amp;jk=2a9998a0e61e5a15&amp;vjs=3","Product design and mechatronics engineer")</f>
        <v>Product design and mechatronics engineer</v>
      </c>
      <c r="C160" s="27" t="s">
        <v>790</v>
      </c>
      <c r="D160" s="11" t="s">
        <v>842</v>
      </c>
      <c r="E160" s="46">
        <v>44209.73946759259</v>
      </c>
    </row>
    <row r="161">
      <c r="A161" s="27" t="s">
        <v>33</v>
      </c>
      <c r="B161" s="50" t="str">
        <f>hyperlink("https://au.indeed.com/viewjob?from=iaBackPress&amp;jk=e57f8e7b0f658efe&amp;vjs=3","Design Engineer")</f>
        <v>Design Engineer</v>
      </c>
      <c r="C161" s="27" t="s">
        <v>417</v>
      </c>
      <c r="D161" s="11">
        <v>1.610520457592E12</v>
      </c>
      <c r="E161" s="46">
        <v>44209.74140046296</v>
      </c>
    </row>
    <row r="162">
      <c r="A162" s="27" t="s">
        <v>33</v>
      </c>
      <c r="B162" s="50" t="str">
        <f>hyperlink("https://au.indeed.com/viewjob?from=iaBackPress&amp;jk=2cb5efbd0841da53&amp;vjs=3","Senior Digital Design &amp; Verification Engineer")</f>
        <v>Senior Digital Design &amp; Verification Engineer</v>
      </c>
      <c r="C162" s="27" t="s">
        <v>849</v>
      </c>
      <c r="D162" s="11">
        <v>1.610520801108E12</v>
      </c>
      <c r="E162" s="46">
        <v>44209.74538194444</v>
      </c>
    </row>
    <row r="163">
      <c r="A163" s="27" t="s">
        <v>33</v>
      </c>
      <c r="B163" s="50" t="str">
        <f>hyperlink("https://au.indeed.com/viewjob?from=iaBackPress&amp;jk=e56c6b87b1452a2e&amp;vjs=3","Product Design Engineer - Maker Industry")</f>
        <v>Product Design Engineer - Maker Industry</v>
      </c>
      <c r="C163" s="27" t="s">
        <v>787</v>
      </c>
      <c r="D163" s="11" t="s">
        <v>842</v>
      </c>
      <c r="E163" s="46">
        <v>44209.74707175926</v>
      </c>
    </row>
    <row r="164">
      <c r="A164" s="27" t="s">
        <v>33</v>
      </c>
      <c r="B164" s="50" t="str">
        <f>hyperlink("https://au.indeed.com/viewjob?from=iaBackPress&amp;jk=14fc9c85b6364c72&amp;vjs=3","Principal Digital Design &amp; Verification Engineer")</f>
        <v>Principal Digital Design &amp; Verification Engineer</v>
      </c>
      <c r="C164" s="27" t="s">
        <v>849</v>
      </c>
      <c r="D164" s="11">
        <v>1.610520985542E12</v>
      </c>
      <c r="E164" s="46">
        <v>44209.747511574074</v>
      </c>
    </row>
    <row r="165">
      <c r="A165" s="27" t="s">
        <v>34</v>
      </c>
      <c r="B165" s="50" t="str">
        <f>hyperlink("https://au.indeed.com/viewjob?from=iaBackPress&amp;jk=10fc1007cd0a24d5&amp;vjs=3","Software Development Engineer in Test II (Checkout Team)")</f>
        <v>Software Development Engineer in Test II (Checkout Team)</v>
      </c>
      <c r="C165" s="27" t="s">
        <v>767</v>
      </c>
      <c r="D165" s="11" t="s">
        <v>842</v>
      </c>
      <c r="E165" s="46">
        <v>44209.749189814815</v>
      </c>
    </row>
    <row r="166">
      <c r="A166" s="27" t="s">
        <v>34</v>
      </c>
      <c r="B166" s="50" t="str">
        <f>hyperlink("https://au.indeed.com/viewjob?from=iaBackPress&amp;jk=10fe0a7b36ca203b&amp;vjs=3","Senior Software Engineer (Physics/Game Development)")</f>
        <v>Senior Software Engineer (Physics/Game Development)</v>
      </c>
      <c r="C166" s="27" t="s">
        <v>794</v>
      </c>
      <c r="D166" s="11" t="s">
        <v>842</v>
      </c>
      <c r="E166" s="46">
        <v>44209.74998842592</v>
      </c>
    </row>
    <row r="167">
      <c r="A167" s="27" t="s">
        <v>34</v>
      </c>
      <c r="B167" s="50" t="str">
        <f>hyperlink("https://au.indeed.com/viewjob?from=iaBackPress&amp;jk=c74255ab6c743f66&amp;vjs=3","Junior Software Engineer (Game Development, C++) Internship Program")</f>
        <v>Junior Software Engineer (Game Development, C++) Internship Program</v>
      </c>
      <c r="C167" s="27" t="s">
        <v>794</v>
      </c>
      <c r="D167" s="11" t="s">
        <v>842</v>
      </c>
      <c r="E167" s="46">
        <v>44209.750393518516</v>
      </c>
    </row>
    <row r="168">
      <c r="A168" s="27" t="s">
        <v>34</v>
      </c>
      <c r="B168" s="50" t="str">
        <f>hyperlink("https://au.indeed.com/viewjob?from=iaBackPress&amp;jk=a3e1b0825317c814&amp;vjs=3","Junior Software Engineer (Game Development, C++) Internship Program")</f>
        <v>Junior Software Engineer (Game Development, C++) Internship Program</v>
      </c>
      <c r="C168" s="27" t="s">
        <v>797</v>
      </c>
      <c r="D168" s="11" t="s">
        <v>842</v>
      </c>
      <c r="E168" s="46">
        <v>44209.751967592594</v>
      </c>
    </row>
    <row r="169">
      <c r="A169" s="27" t="s">
        <v>36</v>
      </c>
      <c r="B169" s="50" t="str">
        <f>hyperlink("https://au.indeed.com/viewjob?from=iaBackPress&amp;jk=27eb682091b87495&amp;vjs=3","Intermediate to Senior Civil/Drainage Engineer - Infrastructure, Perth Based")</f>
        <v>Intermediate to Senior Civil/Drainage Engineer - Infrastructure, Perth Based</v>
      </c>
      <c r="C169" s="27" t="s">
        <v>398</v>
      </c>
      <c r="D169" s="11">
        <v>1.610521785206E12</v>
      </c>
      <c r="E169" s="46">
        <v>44209.75677083333</v>
      </c>
    </row>
    <row r="170">
      <c r="A170" s="27" t="s">
        <v>36</v>
      </c>
      <c r="B170" s="50" t="str">
        <f>hyperlink("https://au.indeed.com/viewjob?from=iaBackPress&amp;jk=e8d148374be4d92b&amp;vjs=3","Senior ML Infrastructure Engineer")</f>
        <v>Senior ML Infrastructure Engineer</v>
      </c>
      <c r="C170" s="27" t="s">
        <v>763</v>
      </c>
      <c r="D170" s="11" t="s">
        <v>842</v>
      </c>
      <c r="E170" s="46">
        <v>44209.75925925926</v>
      </c>
    </row>
    <row r="171">
      <c r="A171" s="27" t="s">
        <v>36</v>
      </c>
      <c r="B171" s="50" t="str">
        <f>hyperlink("https://au.indeed.com/viewjob?from=iaBackPress&amp;jk=454b1eae25ddd2bf&amp;vjs=3","Senior Network &amp; Infrastructure Engineer")</f>
        <v>Senior Network &amp; Infrastructure Engineer</v>
      </c>
      <c r="C171" s="27" t="s">
        <v>758</v>
      </c>
      <c r="D171" s="11" t="s">
        <v>842</v>
      </c>
      <c r="E171" s="46">
        <v>44209.76005787037</v>
      </c>
    </row>
    <row r="172">
      <c r="A172" s="27" t="s">
        <v>45</v>
      </c>
      <c r="B172" s="50" t="str">
        <f>hyperlink("https://au.indeed.com/viewjob?from=iaBackPress&amp;jk=56d66f468497c514&amp;vjs=3","Project Engineer")</f>
        <v>Project Engineer</v>
      </c>
      <c r="C172" s="27" t="s">
        <v>761</v>
      </c>
      <c r="D172" s="11" t="s">
        <v>842</v>
      </c>
      <c r="E172" s="46">
        <v>44209.76898148148</v>
      </c>
    </row>
    <row r="173">
      <c r="A173" s="27" t="s">
        <v>45</v>
      </c>
      <c r="B173" s="50" t="str">
        <f>hyperlink("https://au.indeed.com/viewjob?from=iaBackPress&amp;jk=29f65e39b9473cab&amp;vjs=3","Project Engineer")</f>
        <v>Project Engineer</v>
      </c>
      <c r="C173" s="27" t="s">
        <v>754</v>
      </c>
      <c r="D173" s="11" t="s">
        <v>842</v>
      </c>
      <c r="E173" s="46">
        <v>44209.77271990741</v>
      </c>
    </row>
    <row r="174">
      <c r="A174" s="27" t="s">
        <v>45</v>
      </c>
      <c r="B174" s="50" t="str">
        <f>hyperlink("https://au.indeed.com/viewjob?from=iaBackPress&amp;jk=71b7f392510c08eb&amp;vjs=3","Project Sales Engineer")</f>
        <v>Project Sales Engineer</v>
      </c>
      <c r="C174" s="27" t="s">
        <v>804</v>
      </c>
      <c r="D174" s="11" t="s">
        <v>842</v>
      </c>
      <c r="E174" s="46">
        <v>44209.77357638889</v>
      </c>
    </row>
    <row r="175">
      <c r="A175" s="27" t="s">
        <v>45</v>
      </c>
      <c r="B175" s="50" t="str">
        <f>hyperlink("https://au.indeed.com/viewjob?from=iaBackPress&amp;jk=7fe85ba740727254&amp;vjs=3","Project Support Engineer")</f>
        <v>Project Support Engineer</v>
      </c>
      <c r="C175" s="27" t="s">
        <v>426</v>
      </c>
      <c r="D175" s="11">
        <v>1.610523828426E12</v>
      </c>
      <c r="E175" s="46">
        <v>44209.78041666667</v>
      </c>
    </row>
    <row r="176">
      <c r="A176" s="27" t="s">
        <v>26</v>
      </c>
      <c r="B176" s="50" t="str">
        <f>hyperlink("https://au.indeed.com/viewjob?from=iaBackPress&amp;jk=bb09d781c7a9c1d7&amp;vjs=3","Senior Mechanical Engineer - Cowal")</f>
        <v>Senior Mechanical Engineer - Cowal</v>
      </c>
      <c r="C176" s="27" t="s">
        <v>750</v>
      </c>
      <c r="D176" s="11" t="s">
        <v>842</v>
      </c>
      <c r="E176" s="46">
        <v>44217.74228009259</v>
      </c>
    </row>
    <row r="177">
      <c r="A177" s="27" t="s">
        <v>26</v>
      </c>
      <c r="B177" s="50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177" s="27" t="s">
        <v>777</v>
      </c>
      <c r="D177" s="11" t="s">
        <v>842</v>
      </c>
      <c r="E177" s="46">
        <v>44217.74266203704</v>
      </c>
    </row>
    <row r="178">
      <c r="A178" s="27" t="s">
        <v>26</v>
      </c>
      <c r="B178" s="50" t="str">
        <f>hyperlink("https://au.indeed.com/viewjob?from=iaBackPress&amp;jk=e9f3562f583cfd2b&amp;vjs=3","Mechanical Engineer, Port Kembla NSW")</f>
        <v>Mechanical Engineer, Port Kembla NSW</v>
      </c>
      <c r="C178" s="27" t="s">
        <v>807</v>
      </c>
      <c r="D178" s="11" t="s">
        <v>842</v>
      </c>
      <c r="E178" s="46">
        <v>44217.744108796294</v>
      </c>
    </row>
    <row r="179">
      <c r="A179" s="27" t="s">
        <v>26</v>
      </c>
      <c r="B179" s="50" t="str">
        <f t="shared" ref="B179:B180" si="6">hyperlink("https://au.indeed.com/viewjob?from=iaBackPress&amp;jk=127f1a01edc04cc8&amp;vjs=3","#EANF#")</f>
        <v>#EANF#</v>
      </c>
      <c r="C179" s="27" t="s">
        <v>848</v>
      </c>
      <c r="D179" s="11">
        <v>1.611211987334E12</v>
      </c>
      <c r="E179" s="46">
        <v>44217.74521990741</v>
      </c>
    </row>
    <row r="180">
      <c r="A180" s="27" t="s">
        <v>26</v>
      </c>
      <c r="B180" s="50" t="str">
        <f t="shared" si="6"/>
        <v>#EANF#</v>
      </c>
      <c r="C180" s="27" t="s">
        <v>848</v>
      </c>
      <c r="D180" s="11">
        <v>1.611212189122E12</v>
      </c>
      <c r="E180" s="46">
        <v>44217.74755787037</v>
      </c>
    </row>
    <row r="181">
      <c r="A181" s="27" t="s">
        <v>33</v>
      </c>
      <c r="B181" s="50" t="str">
        <f>hyperlink("https://au.indeed.com/viewjob?from=iaBackPress&amp;jk=2a9998a0e61e5a15&amp;vjs=3","Product design and mechatronics engineer")</f>
        <v>Product design and mechatronics engineer</v>
      </c>
      <c r="C181" s="27" t="s">
        <v>810</v>
      </c>
      <c r="D181" s="11" t="s">
        <v>842</v>
      </c>
      <c r="E181" s="46">
        <v>44217.748761574076</v>
      </c>
    </row>
    <row r="182">
      <c r="A182" s="27" t="s">
        <v>26</v>
      </c>
      <c r="B182" s="50" t="str">
        <f>hyperlink("https://au.indeed.com/viewjob?from=iaBackPress&amp;jk=0135effafd949ae0&amp;vjs=3","Trade Qualified Sales Engineer / Mechanical Engineer / Fitter")</f>
        <v>Trade Qualified Sales Engineer / Mechanical Engineer / Fitter</v>
      </c>
      <c r="C182" s="27" t="s">
        <v>777</v>
      </c>
      <c r="D182" s="11" t="s">
        <v>842</v>
      </c>
      <c r="E182" s="46">
        <v>44221.63873842593</v>
      </c>
    </row>
    <row r="183">
      <c r="A183" s="27" t="s">
        <v>26</v>
      </c>
      <c r="B183" s="50" t="str">
        <f>hyperlink("https://au.indeed.com/viewjob?from=iaBackPress&amp;jk=e9f3562f583cfd2b&amp;vjs=3","Mechanical Engineer, Port Kembla NSW")</f>
        <v>Mechanical Engineer, Port Kembla NSW</v>
      </c>
      <c r="C183" s="27" t="s">
        <v>807</v>
      </c>
      <c r="D183" s="11" t="s">
        <v>842</v>
      </c>
      <c r="E183" s="46">
        <v>44221.63912037037</v>
      </c>
    </row>
    <row r="184">
      <c r="A184" s="27" t="s">
        <v>26</v>
      </c>
      <c r="B184" s="50" t="str">
        <f t="shared" ref="B184:B185" si="7">hyperlink("https://au.indeed.com/viewjob?from=iaBackPress&amp;jk=127f1a01edc04cc8&amp;vjs=3","#EANF#")</f>
        <v>#EANF#</v>
      </c>
      <c r="C184" s="27" t="s">
        <v>848</v>
      </c>
      <c r="D184" s="11">
        <v>1.6115484946E12</v>
      </c>
      <c r="E184" s="46">
        <v>44221.63997685185</v>
      </c>
    </row>
    <row r="185">
      <c r="A185" s="27" t="s">
        <v>26</v>
      </c>
      <c r="B185" s="50" t="str">
        <f t="shared" si="7"/>
        <v>#EANF#</v>
      </c>
      <c r="C185" s="27" t="s">
        <v>848</v>
      </c>
      <c r="D185" s="11">
        <v>1.611548583632E12</v>
      </c>
      <c r="E185" s="46">
        <v>44221.64100694445</v>
      </c>
    </row>
    <row r="186">
      <c r="A186" s="27" t="s">
        <v>33</v>
      </c>
      <c r="B186" s="50" t="str">
        <f>hyperlink("https://au.indeed.com/viewjob?from=iaBackPress&amp;jk=2a9998a0e61e5a15&amp;vjs=3","Product design and mechatronics engineer")</f>
        <v>Product design and mechatronics engineer</v>
      </c>
      <c r="C186" s="27" t="s">
        <v>810</v>
      </c>
      <c r="D186" s="11" t="s">
        <v>842</v>
      </c>
      <c r="E186" s="46">
        <v>44221.642013888886</v>
      </c>
    </row>
    <row r="187">
      <c r="A187" s="27" t="s">
        <v>33</v>
      </c>
      <c r="B187" s="50" t="str">
        <f>hyperlink("https://au.indeed.com/viewjob?from=iaBackPress&amp;jk=2cb5efbd0841da53&amp;vjs=3","Senior Digital Design &amp; Verification Engineer")</f>
        <v>Senior Digital Design &amp; Verification Engineer</v>
      </c>
      <c r="C187" s="27" t="s">
        <v>849</v>
      </c>
      <c r="D187" s="11">
        <v>1.611548884112E12</v>
      </c>
      <c r="E187" s="46">
        <v>44221.64449074074</v>
      </c>
    </row>
    <row r="188">
      <c r="A188" s="27" t="s">
        <v>33</v>
      </c>
      <c r="B188" s="50" t="str">
        <f>hyperlink("https://au.indeed.com/viewjob?from=iaBackPress&amp;jk=14fc9c85b6364c72&amp;vjs=3","Principal Digital Design &amp; Verification Engineer")</f>
        <v>Principal Digital Design &amp; Verification Engineer</v>
      </c>
      <c r="C188" s="27" t="s">
        <v>849</v>
      </c>
      <c r="D188" s="11">
        <v>1.611549007224E12</v>
      </c>
      <c r="E188" s="46">
        <v>44221.64591435185</v>
      </c>
    </row>
    <row r="189">
      <c r="A189" s="27" t="s">
        <v>34</v>
      </c>
      <c r="B189" s="50" t="str">
        <f>hyperlink("https://au.indeed.com/viewjob?from=iaBackPress&amp;jk=cfcc39a3380a0595&amp;vjs=3","Junior/Mid Software Engineer (Game Development, Unreal)")</f>
        <v>Junior/Mid Software Engineer (Game Development, Unreal)</v>
      </c>
      <c r="C189" s="27" t="s">
        <v>794</v>
      </c>
      <c r="D189" s="11" t="s">
        <v>842</v>
      </c>
      <c r="E189" s="46">
        <v>44221.646458333336</v>
      </c>
    </row>
    <row r="190">
      <c r="A190" s="27" t="s">
        <v>34</v>
      </c>
      <c r="B190" s="50" t="str">
        <f>hyperlink("https://au.indeed.com/viewjob?from=iaBackPress&amp;jk=10fc1007cd0a24d5&amp;vjs=3","Software Development Engineer in Test II (Checkout Team)")</f>
        <v>Software Development Engineer in Test II (Checkout Team)</v>
      </c>
      <c r="C190" s="27" t="s">
        <v>767</v>
      </c>
      <c r="D190" s="11" t="s">
        <v>842</v>
      </c>
      <c r="E190" s="46">
        <v>44221.64686342593</v>
      </c>
    </row>
    <row r="191">
      <c r="A191" s="27" t="s">
        <v>34</v>
      </c>
      <c r="B191" s="50" t="str">
        <f>hyperlink("https://au.indeed.com/viewjob?from=iaBackPress&amp;jk=acd431976056beef&amp;vjs=3","Junior/Mid Software Engineer (Online Game Development, Unreal)")</f>
        <v>Junior/Mid Software Engineer (Online Game Development, Unreal)</v>
      </c>
      <c r="C191" s="27" t="s">
        <v>797</v>
      </c>
      <c r="D191" s="11" t="s">
        <v>842</v>
      </c>
      <c r="E191" s="46">
        <v>44221.64774305555</v>
      </c>
    </row>
    <row r="192">
      <c r="A192" s="27" t="s">
        <v>34</v>
      </c>
      <c r="B192" s="50" t="str">
        <f>hyperlink("https://au.indeed.com/viewjob?from=iaBackPress&amp;jk=c74255ab6c743f66&amp;vjs=3","Junior Software Engineer (Game Development, C++) Internship Program")</f>
        <v>Junior Software Engineer (Game Development, C++) Internship Program</v>
      </c>
      <c r="C192" s="27" t="s">
        <v>794</v>
      </c>
      <c r="D192" s="11" t="s">
        <v>842</v>
      </c>
      <c r="E192" s="46">
        <v>44221.64833333333</v>
      </c>
    </row>
    <row r="193">
      <c r="A193" s="27" t="s">
        <v>34</v>
      </c>
      <c r="B193" s="50" t="str">
        <f>hyperlink("https://au.indeed.com/viewjob?from=iaBackPress&amp;jk=a3e1b0825317c814&amp;vjs=3","Junior Software Engineer (Game Development, C++) Internship Program")</f>
        <v>Junior Software Engineer (Game Development, C++) Internship Program</v>
      </c>
      <c r="C193" s="27" t="s">
        <v>797</v>
      </c>
      <c r="D193" s="11" t="s">
        <v>842</v>
      </c>
      <c r="E193" s="46">
        <v>44221.64915509259</v>
      </c>
    </row>
    <row r="194">
      <c r="A194" s="27" t="s">
        <v>36</v>
      </c>
      <c r="B194" s="50" t="str">
        <f>hyperlink("https://au.indeed.com/viewjob?from=iaBackPress&amp;jk=27eb682091b87495&amp;vjs=3","Intermediate to Senior Civil/Drainage Engineer - Infrastructure, Perth Based")</f>
        <v>Intermediate to Senior Civil/Drainage Engineer - Infrastructure, Perth Based</v>
      </c>
      <c r="C194" s="27" t="s">
        <v>398</v>
      </c>
      <c r="D194" s="11">
        <v>1.611549560896E12</v>
      </c>
      <c r="E194" s="46">
        <v>44221.65232638889</v>
      </c>
    </row>
    <row r="195">
      <c r="A195" s="27" t="s">
        <v>36</v>
      </c>
      <c r="B195" s="50" t="str">
        <f>hyperlink("https://au.indeed.com/viewjob?from=iaBackPress&amp;jk=e8d148374be4d92b&amp;vjs=3","Senior ML Infrastructure Engineer")</f>
        <v>Senior ML Infrastructure Engineer</v>
      </c>
      <c r="C195" s="27" t="s">
        <v>763</v>
      </c>
      <c r="D195" s="11" t="s">
        <v>842</v>
      </c>
      <c r="E195" s="46">
        <v>44221.6546875</v>
      </c>
    </row>
    <row r="196">
      <c r="A196" s="27" t="s">
        <v>45</v>
      </c>
      <c r="B196" s="50" t="str">
        <f>hyperlink("https://au.indeed.com/viewjob?from=iaBackPress&amp;jk=f85e10e79c4cb325&amp;vjs=3","SITE FOREMAN/PROJECT ENGINEER")</f>
        <v>SITE FOREMAN/PROJECT ENGINEER</v>
      </c>
      <c r="C196" s="27" t="s">
        <v>759</v>
      </c>
      <c r="D196" s="11">
        <v>1.611550047752E12</v>
      </c>
      <c r="E196" s="46">
        <v>44221.65795138889</v>
      </c>
    </row>
    <row r="197">
      <c r="A197" s="27" t="s">
        <v>45</v>
      </c>
      <c r="B197" s="50" t="str">
        <f>hyperlink("https://au.indeed.com/viewjob?from=iaBackPress&amp;jk=56d66f468497c514&amp;vjs=3","Project Engineer")</f>
        <v>Project Engineer</v>
      </c>
      <c r="C197" s="27" t="s">
        <v>761</v>
      </c>
      <c r="D197" s="11" t="s">
        <v>842</v>
      </c>
      <c r="E197" s="46">
        <v>44221.6590625</v>
      </c>
    </row>
    <row r="198">
      <c r="A198" s="27" t="s">
        <v>45</v>
      </c>
      <c r="B198" s="50" t="str">
        <f>hyperlink("https://au.indeed.com/viewjob?from=iaBackPress&amp;jk=29f65e39b9473cab&amp;vjs=3","Project Engineer")</f>
        <v>Project Engineer</v>
      </c>
      <c r="C198" s="27" t="s">
        <v>754</v>
      </c>
      <c r="D198" s="11" t="s">
        <v>842</v>
      </c>
      <c r="E198" s="46">
        <v>44221.66065972222</v>
      </c>
    </row>
    <row r="199">
      <c r="A199" s="27" t="s">
        <v>45</v>
      </c>
      <c r="B199" s="50" t="str">
        <f>hyperlink("https://au.indeed.com/viewjob?from=iaBackPress&amp;jk=71b7f392510c08eb&amp;vjs=3","Project Sales Engineer")</f>
        <v>Project Sales Engineer</v>
      </c>
      <c r="C199" s="27" t="s">
        <v>804</v>
      </c>
      <c r="D199" s="11" t="s">
        <v>842</v>
      </c>
      <c r="E199" s="46">
        <v>44221.661145833335</v>
      </c>
    </row>
    <row r="200">
      <c r="A200" s="27" t="s">
        <v>45</v>
      </c>
      <c r="B200" s="50" t="str">
        <f>hyperlink("https://au.indeed.com/viewjob?from=iaBackPress&amp;jk=506578fac862ef58&amp;vjs=3","Senior Project Engineer - (Northern NSW)")</f>
        <v>Senior Project Engineer - (Northern NSW)</v>
      </c>
      <c r="C200" s="27" t="s">
        <v>335</v>
      </c>
      <c r="D200" s="11">
        <v>1.611550468292E12</v>
      </c>
      <c r="E200" s="46">
        <v>44221.662824074076</v>
      </c>
    </row>
    <row r="201">
      <c r="A201" s="27" t="s">
        <v>45</v>
      </c>
      <c r="B201" s="50" t="str">
        <f>hyperlink("https://au.indeed.com/viewjob?from=iaBackPress&amp;jk=4a0ce79e8b290f41&amp;vjs=3","Civil Project Engineer")</f>
        <v>Civil Project Engineer</v>
      </c>
      <c r="C201" s="27" t="s">
        <v>426</v>
      </c>
      <c r="D201" s="11">
        <v>1.61155054798E12</v>
      </c>
      <c r="E201" s="46">
        <v>44221.66375</v>
      </c>
    </row>
    <row r="202">
      <c r="A202" s="27" t="s">
        <v>45</v>
      </c>
      <c r="B202" s="50" t="str">
        <f>hyperlink("https://au.indeed.com/viewjob?from=iaBackPress&amp;jk=53b728de5aabc5dd&amp;vjs=3","Project Engineer - civil")</f>
        <v>Project Engineer - civil</v>
      </c>
      <c r="C202" s="27" t="s">
        <v>332</v>
      </c>
      <c r="D202" s="11">
        <v>1.611550867162E12</v>
      </c>
      <c r="E202" s="46">
        <v>44221.66744212963</v>
      </c>
    </row>
    <row r="203">
      <c r="A203" s="27" t="s">
        <v>45</v>
      </c>
      <c r="B203" s="50" t="str">
        <f>hyperlink("https://au.indeed.com/viewjob?from=iaBackPress&amp;jk=87960887c6a5bb0d&amp;vjs=3","Site / Project Engineer (concrete) - 3-5 yrs experience - Sydney")</f>
        <v>Site / Project Engineer (concrete) - 3-5 yrs experience - Sydney</v>
      </c>
      <c r="C203" s="27" t="s">
        <v>449</v>
      </c>
      <c r="D203" s="11">
        <v>1.611550945728E12</v>
      </c>
      <c r="E203" s="46">
        <v>44221.668344907404</v>
      </c>
    </row>
    <row r="204">
      <c r="A204" s="27" t="s">
        <v>45</v>
      </c>
      <c r="B204" s="50" t="str">
        <f>hyperlink("https://au.indeed.com/viewjob?from=iaBackPress&amp;jk=ee6779addc0752d1&amp;vjs=3","Project Engineer - Roads / Structures")</f>
        <v>Project Engineer - Roads / Structures</v>
      </c>
      <c r="C204" s="27" t="s">
        <v>433</v>
      </c>
      <c r="D204" s="11">
        <v>1.611551077862E12</v>
      </c>
      <c r="E204" s="46">
        <v>44221.66987268518</v>
      </c>
    </row>
    <row r="205">
      <c r="A205" s="27" t="s">
        <v>48</v>
      </c>
      <c r="B205" s="50" t="str">
        <f>hyperlink("https://au.indeed.com/viewjob?from=iaBackPress&amp;jk=f85e10e79c4cb325&amp;vjs=3","SITE FOREMAN/PROJECT ENGINEER")</f>
        <v>SITE FOREMAN/PROJECT ENGINEER</v>
      </c>
      <c r="C205" s="27" t="s">
        <v>759</v>
      </c>
      <c r="D205" s="11">
        <v>1.611551694488E12</v>
      </c>
      <c r="E205" s="46">
        <v>44221.67701388889</v>
      </c>
    </row>
    <row r="206">
      <c r="A206" s="27" t="s">
        <v>48</v>
      </c>
      <c r="B206" s="50" t="str">
        <f>hyperlink("https://au.indeed.com/viewjob?from=iaBackPress&amp;jk=87960887c6a5bb0d&amp;vjs=3","Site / Project Engineer (concrete) - 3-5 yrs experience - Sydney")</f>
        <v>Site / Project Engineer (concrete) - 3-5 yrs experience - Sydney</v>
      </c>
      <c r="C206" s="27" t="s">
        <v>449</v>
      </c>
      <c r="D206" s="11">
        <v>1.611551735406E12</v>
      </c>
      <c r="E206" s="46">
        <v>44221.67748842593</v>
      </c>
    </row>
    <row r="207">
      <c r="A207" s="27" t="s">
        <v>49</v>
      </c>
      <c r="B207" s="50" t="str">
        <f>hyperlink("https://au.indeed.com/viewjob?from=iaBackPress&amp;jk=2fa28558872f1306&amp;vjs=3","Lead Site Reliability Engineer")</f>
        <v>Lead Site Reliability Engineer</v>
      </c>
      <c r="C207" s="27" t="s">
        <v>762</v>
      </c>
      <c r="D207" s="11">
        <v>1.611551834768E12</v>
      </c>
      <c r="E207" s="46">
        <v>44221.67863425926</v>
      </c>
    </row>
    <row r="208">
      <c r="A208" s="27" t="s">
        <v>49</v>
      </c>
      <c r="B208" s="50" t="str">
        <f>hyperlink("https://au.indeed.com/viewjob?from=iaBackPress&amp;jk=e01e3538682ff0c7&amp;vjs=3","Senior Site Reliability Engineer")</f>
        <v>Senior Site Reliability Engineer</v>
      </c>
      <c r="C208" s="27" t="s">
        <v>763</v>
      </c>
      <c r="D208" s="11" t="s">
        <v>842</v>
      </c>
      <c r="E208" s="46">
        <v>44221.679236111115</v>
      </c>
    </row>
    <row r="209">
      <c r="A209" s="27" t="s">
        <v>49</v>
      </c>
      <c r="B209" s="50" t="str">
        <f>hyperlink("https://au.indeed.com/viewjob?from=iaBackPress&amp;jk=b714c3cf10d9b664&amp;vjs=3","Senior Site Reliability Engineer")</f>
        <v>Senior Site Reliability Engineer</v>
      </c>
      <c r="C209" s="27" t="s">
        <v>824</v>
      </c>
      <c r="D209" s="11" t="s">
        <v>842</v>
      </c>
      <c r="E209" s="46">
        <v>44221.679606481484</v>
      </c>
    </row>
    <row r="210">
      <c r="A210" s="27" t="s">
        <v>49</v>
      </c>
      <c r="B210" s="50" t="str">
        <f>hyperlink("https://au.indeed.com/viewjob?from=iaBackPress&amp;jk=c7ba20acdf334e21&amp;vjs=3","Site Reliability Engineer")</f>
        <v>Site Reliability Engineer</v>
      </c>
      <c r="C210" s="27" t="s">
        <v>825</v>
      </c>
      <c r="D210" s="11" t="s">
        <v>842</v>
      </c>
      <c r="E210" s="46">
        <v>44221.68371527778</v>
      </c>
    </row>
    <row r="211">
      <c r="A211" s="27" t="s">
        <v>50</v>
      </c>
      <c r="B211" s="50" t="str">
        <f>hyperlink("https://au.indeed.com/viewjob?from=iaBackPress&amp;jk=52148f0624c0d5d6&amp;vjs=3","Sr. Implementation Services Engineer, II")</f>
        <v>Sr. Implementation Services Engineer, II</v>
      </c>
      <c r="C211" s="27" t="s">
        <v>826</v>
      </c>
      <c r="D211" s="11" t="s">
        <v>842</v>
      </c>
      <c r="E211" s="46">
        <v>44221.689050925925</v>
      </c>
    </row>
    <row r="212">
      <c r="A212" s="27" t="s">
        <v>50</v>
      </c>
      <c r="B212" s="50" t="str">
        <f>hyperlink("https://au.indeed.com/viewjob?from=iaBackPress&amp;jk=cfc2cfecd70a5142&amp;vjs=3","Fire Services Engineer")</f>
        <v>Fire Services Engineer</v>
      </c>
      <c r="C212" s="27" t="s">
        <v>357</v>
      </c>
      <c r="D212" s="11">
        <v>1.611552774604E12</v>
      </c>
      <c r="E212" s="46">
        <v>44221.68951388889</v>
      </c>
    </row>
    <row r="213">
      <c r="A213" s="27" t="s">
        <v>50</v>
      </c>
      <c r="B213" s="50" t="str">
        <f>hyperlink("https://au.indeed.com/viewjob?from=iaBackPress&amp;jk=9ff238df3b485889&amp;vjs=3","Service Quality Engineer")</f>
        <v>Service Quality Engineer</v>
      </c>
      <c r="C213" s="27" t="s">
        <v>827</v>
      </c>
      <c r="D213" s="11" t="s">
        <v>842</v>
      </c>
      <c r="E213" s="46">
        <v>44221.690104166664</v>
      </c>
    </row>
    <row r="214">
      <c r="A214" s="27" t="s">
        <v>50</v>
      </c>
      <c r="B214" s="50" t="str">
        <f>hyperlink("https://au.indeed.com/viewjob?from=iaBackPress&amp;jk=196fbcc309bbe829&amp;vjs=3","Field Service Engineer - Managed Services (Sydney)")</f>
        <v>Field Service Engineer - Managed Services (Sydney)</v>
      </c>
      <c r="C214" s="27" t="s">
        <v>764</v>
      </c>
      <c r="D214" s="11" t="s">
        <v>842</v>
      </c>
      <c r="E214" s="46">
        <v>44221.69284722222</v>
      </c>
    </row>
    <row r="215">
      <c r="A215" s="27" t="s">
        <v>50</v>
      </c>
      <c r="B215" s="50" t="str">
        <f>hyperlink("https://au.indeed.com/viewjob?from=iaBackPress&amp;jk=bfc72b3a5de6c288&amp;vjs=3","Onsite Level 2 Service Desk Engineer")</f>
        <v>Onsite Level 2 Service Desk Engineer</v>
      </c>
      <c r="C215" s="27" t="s">
        <v>850</v>
      </c>
      <c r="D215" s="11">
        <v>1.611553447388E12</v>
      </c>
      <c r="E215" s="46">
        <v>44221.69730324074</v>
      </c>
    </row>
    <row r="216">
      <c r="A216" s="27" t="s">
        <v>50</v>
      </c>
      <c r="B216" s="50" t="str">
        <f>hyperlink("https://au.indeed.com/viewjob?from=iaBackPress&amp;jk=aba7c6215939278b&amp;vjs=3","159 - CNC SERVICE ENGINEER - CNC MACHINIST")</f>
        <v>159 - CNC SERVICE ENGINEER - CNC MACHINIST</v>
      </c>
      <c r="C216" s="27" t="s">
        <v>830</v>
      </c>
      <c r="D216" s="11" t="s">
        <v>842</v>
      </c>
      <c r="E216" s="46">
        <v>44221.69883101852</v>
      </c>
    </row>
    <row r="217">
      <c r="A217" s="27" t="s">
        <v>51</v>
      </c>
      <c r="B217" s="50" t="str">
        <f>hyperlink("https://au.indeed.com/viewjob?from=iaBackPress&amp;jk=2fa28558872f1306&amp;vjs=3","Lead Site Reliability Engineer")</f>
        <v>Lead Site Reliability Engineer</v>
      </c>
      <c r="C217" s="27" t="s">
        <v>762</v>
      </c>
      <c r="D217" s="11">
        <v>1.61155363802E12</v>
      </c>
      <c r="E217" s="46">
        <v>44221.69951388889</v>
      </c>
    </row>
    <row r="218">
      <c r="A218" s="27" t="s">
        <v>51</v>
      </c>
      <c r="B218" s="50" t="str">
        <f>hyperlink("https://au.indeed.com/viewjob?from=iaBackPress&amp;jk=f85e10e79c4cb325&amp;vjs=3","SITE FOREMAN/PROJECT ENGINEER")</f>
        <v>SITE FOREMAN/PROJECT ENGINEER</v>
      </c>
      <c r="C218" s="27" t="s">
        <v>759</v>
      </c>
      <c r="D218" s="11">
        <v>1.61155366752E12</v>
      </c>
      <c r="E218" s="46">
        <v>44221.699849537035</v>
      </c>
    </row>
    <row r="219">
      <c r="A219" s="27" t="s">
        <v>51</v>
      </c>
      <c r="B219" s="50" t="str">
        <f>hyperlink("https://au.indeed.com/viewjob?from=iaBackPress&amp;jk=e01e3538682ff0c7&amp;vjs=3","Senior Site Reliability Engineer")</f>
        <v>Senior Site Reliability Engineer</v>
      </c>
      <c r="C219" s="27" t="s">
        <v>763</v>
      </c>
      <c r="D219" s="11" t="s">
        <v>842</v>
      </c>
      <c r="E219" s="46">
        <v>44221.70068287037</v>
      </c>
    </row>
    <row r="220">
      <c r="A220" s="27" t="s">
        <v>51</v>
      </c>
      <c r="B220" s="50" t="str">
        <f>hyperlink("https://au.indeed.com/viewjob?from=iaBackPress&amp;jk=b714c3cf10d9b664&amp;vjs=3","Senior Site Reliability Engineer")</f>
        <v>Senior Site Reliability Engineer</v>
      </c>
      <c r="C220" s="27" t="s">
        <v>824</v>
      </c>
      <c r="D220" s="11" t="s">
        <v>842</v>
      </c>
      <c r="E220" s="46">
        <v>44221.701053240744</v>
      </c>
    </row>
    <row r="221">
      <c r="A221" s="27" t="s">
        <v>51</v>
      </c>
      <c r="B221" s="50" t="str">
        <f>hyperlink("https://au.indeed.com/viewjob?from=iaBackPress&amp;jk=c7ba20acdf334e21&amp;vjs=3","Site Reliability Engineer")</f>
        <v>Site Reliability Engineer</v>
      </c>
      <c r="C221" s="27" t="s">
        <v>825</v>
      </c>
      <c r="D221" s="11" t="s">
        <v>842</v>
      </c>
      <c r="E221" s="46">
        <v>44221.70416666667</v>
      </c>
    </row>
    <row r="222">
      <c r="A222" s="27" t="s">
        <v>51</v>
      </c>
      <c r="B222" s="50" t="str">
        <f>hyperlink("https://au.indeed.com/viewjob?from=iaBackPress&amp;jk=4279c99fe4d77a16&amp;vjs=3","Site Supervisor/ Engineer - Earthworks")</f>
        <v>Site Supervisor/ Engineer - Earthworks</v>
      </c>
      <c r="C222" s="27" t="s">
        <v>833</v>
      </c>
      <c r="D222" s="11" t="s">
        <v>842</v>
      </c>
      <c r="E222" s="46">
        <v>44221.70479166666</v>
      </c>
    </row>
    <row r="223">
      <c r="A223" s="27" t="s">
        <v>54</v>
      </c>
      <c r="B223" s="50" t="str">
        <f>hyperlink("https://au.indeed.com/viewjob?from=iaBackPress&amp;jk=2a9998a0e61e5a15&amp;vjs=3","Product design and mechatronics engineer")</f>
        <v>Product design and mechatronics engineer</v>
      </c>
      <c r="C223" s="27" t="s">
        <v>810</v>
      </c>
      <c r="D223" s="11" t="s">
        <v>842</v>
      </c>
      <c r="E223" s="46">
        <v>44221.70820601852</v>
      </c>
    </row>
    <row r="224">
      <c r="A224" s="27" t="s">
        <v>54</v>
      </c>
      <c r="B224" s="50" t="str">
        <f>hyperlink("https://au.indeed.com/viewjob?from=iaBackPress&amp;jk=58d9660c6e64e38c&amp;vjs=3","Product Support Engineer")</f>
        <v>Product Support Engineer</v>
      </c>
      <c r="C224" s="27" t="s">
        <v>835</v>
      </c>
      <c r="D224" s="11" t="s">
        <v>842</v>
      </c>
      <c r="E224" s="46">
        <v>44221.70856481481</v>
      </c>
    </row>
    <row r="225">
      <c r="A225" s="27" t="s">
        <v>54</v>
      </c>
      <c r="B225" s="50" t="str">
        <f>hyperlink("https://au.indeed.com/viewjob?from=iaBackPress&amp;jk=bf301d9e535dcda6&amp;vjs=3","Data Engineer - Video Experiences - Product | Product")</f>
        <v>Data Engineer - Video Experiences - Product | Product</v>
      </c>
      <c r="C225" s="27" t="s">
        <v>838</v>
      </c>
      <c r="D225" s="11" t="s">
        <v>842</v>
      </c>
      <c r="E225" s="46">
        <v>44221.70979166667</v>
      </c>
    </row>
    <row r="226">
      <c r="A226" s="13"/>
      <c r="B226" s="13"/>
      <c r="C226" s="13"/>
      <c r="D226" s="14"/>
      <c r="E226" s="46"/>
    </row>
    <row r="227">
      <c r="A227" s="13"/>
      <c r="B227" s="13"/>
      <c r="C227" s="13"/>
      <c r="D227" s="14"/>
      <c r="E227" s="46"/>
    </row>
    <row r="228">
      <c r="A228" s="13"/>
      <c r="B228" s="13"/>
      <c r="C228" s="13"/>
      <c r="D228" s="14"/>
      <c r="E228" s="46"/>
    </row>
    <row r="229">
      <c r="A229" s="13"/>
      <c r="B229" s="13"/>
      <c r="C229" s="13"/>
      <c r="D229" s="14"/>
      <c r="E229" s="46"/>
    </row>
    <row r="230">
      <c r="A230" s="13"/>
      <c r="B230" s="13"/>
      <c r="C230" s="13"/>
      <c r="D230" s="14"/>
      <c r="E230" s="46"/>
    </row>
    <row r="231">
      <c r="A231" s="13"/>
      <c r="B231" s="13"/>
      <c r="C231" s="13"/>
      <c r="D231" s="14"/>
      <c r="E231" s="46"/>
    </row>
    <row r="232">
      <c r="A232" s="13"/>
      <c r="B232" s="13"/>
      <c r="C232" s="13"/>
      <c r="D232" s="14"/>
      <c r="E232" s="46"/>
    </row>
    <row r="233">
      <c r="A233" s="13"/>
      <c r="B233" s="13"/>
      <c r="C233" s="13"/>
      <c r="D233" s="14"/>
      <c r="E233" s="46"/>
    </row>
    <row r="234">
      <c r="A234" s="13"/>
      <c r="B234" s="13"/>
      <c r="C234" s="13"/>
      <c r="D234" s="14"/>
      <c r="E234" s="46"/>
    </row>
    <row r="235">
      <c r="A235" s="13"/>
      <c r="B235" s="13"/>
      <c r="C235" s="13"/>
      <c r="D235" s="14"/>
      <c r="E235" s="46"/>
    </row>
    <row r="236">
      <c r="A236" s="13"/>
      <c r="B236" s="13"/>
      <c r="C236" s="13"/>
      <c r="D236" s="14"/>
      <c r="E236" s="46"/>
    </row>
    <row r="237">
      <c r="A237" s="13"/>
      <c r="B237" s="13"/>
      <c r="C237" s="13"/>
      <c r="D237" s="14"/>
      <c r="E237" s="46"/>
    </row>
    <row r="238">
      <c r="A238" s="13"/>
      <c r="B238" s="13"/>
      <c r="C238" s="13"/>
      <c r="D238" s="14"/>
      <c r="E238" s="51"/>
    </row>
    <row r="239">
      <c r="A239" s="13"/>
      <c r="B239" s="13"/>
      <c r="C239" s="13"/>
      <c r="D239" s="14"/>
      <c r="E239" s="51"/>
    </row>
    <row r="240">
      <c r="A240" s="13"/>
      <c r="B240" s="13"/>
      <c r="C240" s="13"/>
      <c r="D240" s="14"/>
      <c r="E240" s="51"/>
    </row>
    <row r="241">
      <c r="A241" s="13"/>
      <c r="B241" s="13"/>
      <c r="C241" s="13"/>
      <c r="D241" s="14"/>
      <c r="E241" s="51"/>
    </row>
    <row r="242">
      <c r="A242" s="13"/>
      <c r="B242" s="13"/>
      <c r="C242" s="13"/>
      <c r="D242" s="14"/>
      <c r="E242" s="51"/>
    </row>
    <row r="243">
      <c r="A243" s="13"/>
      <c r="B243" s="13"/>
      <c r="C243" s="13"/>
      <c r="D243" s="14"/>
      <c r="E243" s="51"/>
    </row>
    <row r="244">
      <c r="A244" s="13"/>
      <c r="B244" s="13"/>
      <c r="C244" s="13"/>
      <c r="D244" s="14"/>
      <c r="E244" s="51"/>
    </row>
    <row r="245">
      <c r="A245" s="13"/>
      <c r="B245" s="13"/>
      <c r="C245" s="13"/>
      <c r="D245" s="14"/>
      <c r="E245" s="51"/>
    </row>
    <row r="246">
      <c r="A246" s="13"/>
      <c r="B246" s="13"/>
      <c r="C246" s="13"/>
      <c r="D246" s="14"/>
      <c r="E246" s="51"/>
    </row>
    <row r="247">
      <c r="A247" s="13"/>
      <c r="B247" s="13"/>
      <c r="C247" s="13"/>
      <c r="D247" s="14"/>
      <c r="E247" s="51"/>
    </row>
    <row r="248">
      <c r="A248" s="13"/>
      <c r="B248" s="13"/>
      <c r="C248" s="13"/>
      <c r="D248" s="14"/>
      <c r="E248" s="51"/>
    </row>
    <row r="249">
      <c r="A249" s="13"/>
      <c r="B249" s="13"/>
      <c r="C249" s="13"/>
      <c r="D249" s="14"/>
      <c r="E249" s="51"/>
    </row>
    <row r="250">
      <c r="A250" s="13"/>
      <c r="B250" s="13"/>
      <c r="C250" s="13"/>
      <c r="D250" s="14"/>
      <c r="E250" s="51"/>
    </row>
    <row r="251">
      <c r="A251" s="13"/>
      <c r="B251" s="13"/>
      <c r="C251" s="13"/>
      <c r="D251" s="14"/>
      <c r="E251" s="51"/>
    </row>
    <row r="252">
      <c r="A252" s="13"/>
      <c r="B252" s="13"/>
      <c r="C252" s="13"/>
      <c r="D252" s="14"/>
      <c r="E252" s="51"/>
    </row>
    <row r="253">
      <c r="A253" s="13"/>
      <c r="B253" s="13"/>
      <c r="C253" s="13"/>
      <c r="D253" s="14"/>
      <c r="E253" s="51"/>
    </row>
    <row r="254">
      <c r="A254" s="13"/>
      <c r="B254" s="13"/>
      <c r="C254" s="13"/>
      <c r="D254" s="14"/>
      <c r="E254" s="51"/>
    </row>
    <row r="255">
      <c r="A255" s="13"/>
      <c r="B255" s="13"/>
      <c r="C255" s="13"/>
      <c r="D255" s="14"/>
      <c r="E255" s="51"/>
    </row>
    <row r="256">
      <c r="A256" s="13"/>
      <c r="B256" s="13"/>
      <c r="C256" s="13"/>
      <c r="D256" s="14"/>
      <c r="E256" s="51"/>
    </row>
    <row r="257">
      <c r="A257" s="13"/>
      <c r="B257" s="13"/>
      <c r="C257" s="13"/>
      <c r="D257" s="14"/>
      <c r="E257" s="51"/>
    </row>
    <row r="258">
      <c r="A258" s="13"/>
      <c r="B258" s="13"/>
      <c r="C258" s="13"/>
      <c r="D258" s="14"/>
      <c r="E258" s="51"/>
    </row>
    <row r="259">
      <c r="A259" s="13"/>
      <c r="B259" s="13"/>
      <c r="C259" s="13"/>
      <c r="D259" s="14"/>
      <c r="E259" s="51"/>
    </row>
    <row r="260">
      <c r="A260" s="13"/>
      <c r="B260" s="13"/>
      <c r="C260" s="13"/>
      <c r="D260" s="14"/>
      <c r="E260" s="51"/>
    </row>
    <row r="261">
      <c r="A261" s="13"/>
      <c r="B261" s="13"/>
      <c r="C261" s="13"/>
      <c r="D261" s="14"/>
      <c r="E261" s="51"/>
    </row>
    <row r="262">
      <c r="A262" s="13"/>
      <c r="B262" s="13"/>
      <c r="C262" s="13"/>
      <c r="D262" s="14"/>
      <c r="E262" s="51"/>
    </row>
    <row r="263">
      <c r="A263" s="13"/>
      <c r="B263" s="13"/>
      <c r="C263" s="13"/>
      <c r="D263" s="14"/>
      <c r="E263" s="51"/>
    </row>
    <row r="264">
      <c r="A264" s="13"/>
      <c r="B264" s="13"/>
      <c r="C264" s="13"/>
      <c r="D264" s="14"/>
      <c r="E264" s="51"/>
    </row>
    <row r="265">
      <c r="A265" s="13"/>
      <c r="B265" s="13"/>
      <c r="C265" s="13"/>
      <c r="D265" s="14"/>
      <c r="E265" s="51"/>
    </row>
    <row r="266">
      <c r="A266" s="13"/>
      <c r="B266" s="13"/>
      <c r="C266" s="13"/>
      <c r="D266" s="14"/>
      <c r="E266" s="51"/>
    </row>
    <row r="267">
      <c r="A267" s="13"/>
      <c r="B267" s="13"/>
      <c r="C267" s="13"/>
      <c r="D267" s="14"/>
      <c r="E267" s="51"/>
    </row>
    <row r="268">
      <c r="A268" s="13"/>
      <c r="B268" s="13"/>
      <c r="C268" s="13"/>
      <c r="D268" s="14"/>
      <c r="E268" s="51"/>
    </row>
    <row r="269">
      <c r="A269" s="13"/>
      <c r="B269" s="13"/>
      <c r="C269" s="13"/>
      <c r="D269" s="14"/>
      <c r="E269" s="51"/>
    </row>
    <row r="270">
      <c r="A270" s="13"/>
      <c r="B270" s="13"/>
      <c r="C270" s="13"/>
      <c r="D270" s="14"/>
      <c r="E270" s="51"/>
    </row>
    <row r="271">
      <c r="A271" s="13"/>
      <c r="B271" s="13"/>
      <c r="C271" s="13"/>
      <c r="D271" s="14"/>
      <c r="E271" s="51"/>
    </row>
    <row r="272">
      <c r="A272" s="13"/>
      <c r="B272" s="13"/>
      <c r="C272" s="13"/>
      <c r="D272" s="14"/>
      <c r="E272" s="51"/>
    </row>
    <row r="273">
      <c r="A273" s="13"/>
      <c r="B273" s="13"/>
      <c r="C273" s="13"/>
      <c r="D273" s="14"/>
      <c r="E273" s="51"/>
    </row>
    <row r="274">
      <c r="A274" s="13"/>
      <c r="B274" s="13"/>
      <c r="C274" s="13"/>
      <c r="D274" s="14"/>
      <c r="E274" s="51"/>
    </row>
    <row r="275">
      <c r="A275" s="13"/>
      <c r="B275" s="13"/>
      <c r="C275" s="13"/>
      <c r="D275" s="14"/>
      <c r="E275" s="51"/>
    </row>
    <row r="276">
      <c r="A276" s="13"/>
      <c r="B276" s="13"/>
      <c r="C276" s="13"/>
      <c r="D276" s="14"/>
      <c r="E276" s="51"/>
    </row>
    <row r="277">
      <c r="A277" s="13"/>
      <c r="B277" s="13"/>
      <c r="C277" s="13"/>
      <c r="D277" s="14"/>
      <c r="E277" s="51"/>
    </row>
    <row r="278">
      <c r="A278" s="13"/>
      <c r="B278" s="13"/>
      <c r="C278" s="13"/>
      <c r="D278" s="14"/>
      <c r="E278" s="51"/>
    </row>
    <row r="279">
      <c r="A279" s="13"/>
      <c r="B279" s="13"/>
      <c r="C279" s="13"/>
      <c r="D279" s="14"/>
      <c r="E279" s="51"/>
    </row>
    <row r="280">
      <c r="A280" s="13"/>
      <c r="B280" s="13"/>
      <c r="C280" s="13"/>
      <c r="D280" s="14"/>
      <c r="E280" s="51"/>
    </row>
    <row r="281">
      <c r="A281" s="13"/>
      <c r="B281" s="13"/>
      <c r="C281" s="13"/>
      <c r="D281" s="14"/>
      <c r="E281" s="51"/>
    </row>
    <row r="282">
      <c r="A282" s="13"/>
      <c r="B282" s="13"/>
      <c r="C282" s="13"/>
      <c r="D282" s="14"/>
      <c r="E282" s="51"/>
    </row>
    <row r="283">
      <c r="A283" s="13"/>
      <c r="B283" s="13"/>
      <c r="C283" s="13"/>
      <c r="D283" s="14"/>
      <c r="E283" s="51"/>
    </row>
    <row r="284">
      <c r="A284" s="13"/>
      <c r="B284" s="13"/>
      <c r="C284" s="13"/>
      <c r="D284" s="14"/>
      <c r="E284" s="51"/>
    </row>
    <row r="285">
      <c r="A285" s="13"/>
      <c r="B285" s="13"/>
      <c r="C285" s="13"/>
      <c r="D285" s="14"/>
      <c r="E285" s="51"/>
    </row>
    <row r="286">
      <c r="A286" s="13"/>
      <c r="B286" s="13"/>
      <c r="C286" s="13"/>
      <c r="D286" s="14"/>
      <c r="E286" s="51"/>
    </row>
    <row r="287">
      <c r="A287" s="13"/>
      <c r="B287" s="13"/>
      <c r="C287" s="13"/>
      <c r="D287" s="14"/>
      <c r="E287" s="51"/>
    </row>
    <row r="288">
      <c r="A288" s="13"/>
      <c r="B288" s="13"/>
      <c r="C288" s="13"/>
      <c r="D288" s="14"/>
      <c r="E288" s="51"/>
    </row>
    <row r="289">
      <c r="A289" s="13"/>
      <c r="B289" s="13"/>
      <c r="C289" s="13"/>
      <c r="D289" s="14"/>
      <c r="E289" s="51"/>
    </row>
    <row r="290">
      <c r="A290" s="13"/>
      <c r="B290" s="13"/>
      <c r="C290" s="13"/>
      <c r="D290" s="14"/>
      <c r="E290" s="51"/>
    </row>
    <row r="291">
      <c r="A291" s="13"/>
      <c r="B291" s="13"/>
      <c r="C291" s="13"/>
      <c r="D291" s="14"/>
      <c r="E291" s="51"/>
    </row>
    <row r="292">
      <c r="A292" s="13"/>
      <c r="B292" s="13"/>
      <c r="C292" s="13"/>
      <c r="D292" s="14"/>
      <c r="E292" s="51"/>
    </row>
    <row r="293">
      <c r="A293" s="13"/>
      <c r="B293" s="13"/>
      <c r="C293" s="13"/>
      <c r="D293" s="14"/>
      <c r="E293" s="51"/>
    </row>
    <row r="294">
      <c r="A294" s="13"/>
      <c r="B294" s="13"/>
      <c r="C294" s="13"/>
      <c r="D294" s="14"/>
      <c r="E294" s="51"/>
    </row>
    <row r="295">
      <c r="A295" s="13"/>
      <c r="B295" s="13"/>
      <c r="C295" s="13"/>
      <c r="D295" s="14"/>
      <c r="E295" s="51"/>
    </row>
    <row r="296">
      <c r="A296" s="13"/>
      <c r="B296" s="13"/>
      <c r="C296" s="13"/>
      <c r="D296" s="14"/>
      <c r="E296" s="51"/>
    </row>
    <row r="297">
      <c r="A297" s="13"/>
      <c r="B297" s="13"/>
      <c r="C297" s="13"/>
      <c r="D297" s="14"/>
      <c r="E297" s="51"/>
    </row>
    <row r="298">
      <c r="A298" s="13"/>
      <c r="B298" s="13"/>
      <c r="C298" s="13"/>
      <c r="D298" s="14"/>
      <c r="E298" s="51"/>
    </row>
    <row r="299">
      <c r="A299" s="13"/>
      <c r="B299" s="13"/>
      <c r="C299" s="13"/>
      <c r="D299" s="14"/>
      <c r="E299" s="51"/>
    </row>
    <row r="300">
      <c r="A300" s="13"/>
      <c r="B300" s="13"/>
      <c r="C300" s="13"/>
      <c r="D300" s="14"/>
      <c r="E300" s="51"/>
    </row>
    <row r="301">
      <c r="A301" s="13"/>
      <c r="B301" s="13"/>
      <c r="C301" s="13"/>
      <c r="D301" s="14"/>
      <c r="E301" s="51"/>
    </row>
    <row r="302">
      <c r="A302" s="13"/>
      <c r="B302" s="13"/>
      <c r="C302" s="13"/>
      <c r="D302" s="14"/>
      <c r="E302" s="51"/>
    </row>
    <row r="303">
      <c r="A303" s="13"/>
      <c r="B303" s="13"/>
      <c r="C303" s="13"/>
      <c r="D303" s="14"/>
      <c r="E303" s="51"/>
    </row>
    <row r="304">
      <c r="A304" s="13"/>
      <c r="B304" s="13"/>
      <c r="C304" s="13"/>
      <c r="D304" s="14"/>
      <c r="E304" s="51"/>
    </row>
    <row r="305">
      <c r="A305" s="13"/>
      <c r="B305" s="13"/>
      <c r="C305" s="13"/>
      <c r="D305" s="14"/>
      <c r="E305" s="51"/>
    </row>
    <row r="306">
      <c r="A306" s="13"/>
      <c r="B306" s="13"/>
      <c r="C306" s="13"/>
      <c r="D306" s="14"/>
      <c r="E306" s="51"/>
    </row>
    <row r="307">
      <c r="A307" s="13"/>
      <c r="B307" s="13"/>
      <c r="C307" s="13"/>
      <c r="D307" s="14"/>
      <c r="E307" s="51"/>
    </row>
    <row r="308">
      <c r="A308" s="13"/>
      <c r="B308" s="13"/>
      <c r="C308" s="13"/>
      <c r="D308" s="14"/>
      <c r="E308" s="51"/>
    </row>
    <row r="309">
      <c r="A309" s="13"/>
      <c r="B309" s="13"/>
      <c r="C309" s="13"/>
      <c r="D309" s="14"/>
      <c r="E309" s="51"/>
    </row>
    <row r="310">
      <c r="A310" s="13"/>
      <c r="B310" s="13"/>
      <c r="C310" s="13"/>
      <c r="D310" s="14"/>
      <c r="E310" s="51"/>
    </row>
    <row r="311">
      <c r="A311" s="13"/>
      <c r="B311" s="13"/>
      <c r="C311" s="13"/>
      <c r="D311" s="14"/>
      <c r="E311" s="51"/>
    </row>
    <row r="312">
      <c r="A312" s="13"/>
      <c r="B312" s="13"/>
      <c r="C312" s="13"/>
      <c r="D312" s="14"/>
      <c r="E312" s="51"/>
    </row>
    <row r="313">
      <c r="A313" s="13"/>
      <c r="B313" s="13"/>
      <c r="C313" s="13"/>
      <c r="D313" s="14"/>
      <c r="E313" s="51"/>
    </row>
    <row r="314">
      <c r="A314" s="13"/>
      <c r="B314" s="13"/>
      <c r="C314" s="13"/>
      <c r="D314" s="14"/>
      <c r="E314" s="51"/>
    </row>
    <row r="315">
      <c r="A315" s="13"/>
      <c r="B315" s="13"/>
      <c r="C315" s="13"/>
      <c r="D315" s="14"/>
      <c r="E315" s="51"/>
    </row>
    <row r="316">
      <c r="A316" s="13"/>
      <c r="B316" s="13"/>
      <c r="C316" s="13"/>
      <c r="D316" s="14"/>
      <c r="E316" s="51"/>
    </row>
    <row r="317">
      <c r="A317" s="13"/>
      <c r="B317" s="13"/>
      <c r="C317" s="13"/>
      <c r="D317" s="14"/>
      <c r="E317" s="51"/>
    </row>
    <row r="318">
      <c r="A318" s="13"/>
      <c r="B318" s="13"/>
      <c r="C318" s="13"/>
      <c r="D318" s="14"/>
      <c r="E318" s="51"/>
    </row>
    <row r="319">
      <c r="A319" s="13"/>
      <c r="B319" s="13"/>
      <c r="C319" s="13"/>
      <c r="D319" s="14"/>
      <c r="E319" s="51"/>
    </row>
    <row r="320">
      <c r="A320" s="13"/>
      <c r="B320" s="13"/>
      <c r="C320" s="13"/>
      <c r="D320" s="14"/>
      <c r="E320" s="51"/>
    </row>
    <row r="321">
      <c r="A321" s="13"/>
      <c r="B321" s="13"/>
      <c r="C321" s="13"/>
      <c r="D321" s="14"/>
      <c r="E321" s="51"/>
    </row>
    <row r="322">
      <c r="A322" s="13"/>
      <c r="B322" s="13"/>
      <c r="C322" s="13"/>
      <c r="D322" s="14"/>
      <c r="E322" s="51"/>
    </row>
    <row r="323">
      <c r="A323" s="13"/>
      <c r="B323" s="13"/>
      <c r="C323" s="13"/>
      <c r="D323" s="14"/>
      <c r="E323" s="51"/>
    </row>
    <row r="324">
      <c r="A324" s="13"/>
      <c r="B324" s="13"/>
      <c r="C324" s="13"/>
      <c r="D324" s="14"/>
      <c r="E324" s="51"/>
    </row>
    <row r="325">
      <c r="A325" s="13"/>
      <c r="B325" s="13"/>
      <c r="C325" s="13"/>
      <c r="D325" s="14"/>
      <c r="E325" s="51"/>
    </row>
    <row r="326">
      <c r="A326" s="13"/>
      <c r="B326" s="13"/>
      <c r="C326" s="13"/>
      <c r="D326" s="14"/>
      <c r="E326" s="51"/>
    </row>
    <row r="327">
      <c r="A327" s="13"/>
      <c r="B327" s="13"/>
      <c r="C327" s="13"/>
      <c r="D327" s="14"/>
      <c r="E327" s="51"/>
    </row>
    <row r="328">
      <c r="A328" s="13"/>
      <c r="B328" s="13"/>
      <c r="C328" s="13"/>
      <c r="D328" s="14"/>
      <c r="E328" s="51"/>
    </row>
    <row r="329">
      <c r="A329" s="13"/>
      <c r="B329" s="13"/>
      <c r="C329" s="13"/>
      <c r="D329" s="14"/>
      <c r="E329" s="51"/>
    </row>
    <row r="330">
      <c r="A330" s="13"/>
      <c r="B330" s="13"/>
      <c r="C330" s="13"/>
      <c r="D330" s="14"/>
      <c r="E330" s="51"/>
    </row>
    <row r="331">
      <c r="A331" s="13"/>
      <c r="B331" s="13"/>
      <c r="C331" s="13"/>
      <c r="D331" s="14"/>
      <c r="E331" s="51"/>
    </row>
    <row r="332">
      <c r="A332" s="13"/>
      <c r="B332" s="13"/>
      <c r="C332" s="13"/>
      <c r="D332" s="14"/>
      <c r="E332" s="51"/>
    </row>
    <row r="333">
      <c r="A333" s="13"/>
      <c r="B333" s="13"/>
      <c r="C333" s="13"/>
      <c r="D333" s="14"/>
      <c r="E333" s="51"/>
    </row>
    <row r="334">
      <c r="A334" s="13"/>
      <c r="B334" s="13"/>
      <c r="C334" s="13"/>
      <c r="D334" s="14"/>
      <c r="E334" s="51"/>
    </row>
    <row r="335">
      <c r="A335" s="13"/>
      <c r="B335" s="13"/>
      <c r="C335" s="13"/>
      <c r="D335" s="14"/>
      <c r="E335" s="51"/>
    </row>
    <row r="336">
      <c r="A336" s="13"/>
      <c r="B336" s="13"/>
      <c r="C336" s="13"/>
      <c r="D336" s="14"/>
      <c r="E336" s="51"/>
    </row>
    <row r="337">
      <c r="A337" s="13"/>
      <c r="B337" s="13"/>
      <c r="C337" s="13"/>
      <c r="D337" s="14"/>
      <c r="E337" s="51"/>
    </row>
    <row r="338">
      <c r="A338" s="13"/>
      <c r="B338" s="13"/>
      <c r="C338" s="13"/>
      <c r="D338" s="14"/>
      <c r="E338" s="51"/>
    </row>
    <row r="339">
      <c r="A339" s="13"/>
      <c r="B339" s="13"/>
      <c r="C339" s="13"/>
      <c r="D339" s="14"/>
      <c r="E339" s="51"/>
    </row>
    <row r="340">
      <c r="A340" s="13"/>
      <c r="B340" s="13"/>
      <c r="C340" s="13"/>
      <c r="D340" s="14"/>
      <c r="E340" s="51"/>
    </row>
    <row r="341">
      <c r="A341" s="13"/>
      <c r="B341" s="13"/>
      <c r="C341" s="13"/>
      <c r="D341" s="14"/>
      <c r="E341" s="51"/>
    </row>
    <row r="342">
      <c r="A342" s="13"/>
      <c r="B342" s="13"/>
      <c r="C342" s="13"/>
      <c r="D342" s="14"/>
      <c r="E342" s="51"/>
    </row>
    <row r="343">
      <c r="A343" s="13"/>
      <c r="B343" s="13"/>
      <c r="C343" s="13"/>
      <c r="D343" s="14"/>
      <c r="E343" s="51"/>
    </row>
    <row r="344">
      <c r="A344" s="13"/>
      <c r="B344" s="13"/>
      <c r="C344" s="13"/>
      <c r="D344" s="14"/>
      <c r="E344" s="51"/>
    </row>
    <row r="345">
      <c r="A345" s="13"/>
      <c r="B345" s="13"/>
      <c r="C345" s="13"/>
      <c r="D345" s="14"/>
      <c r="E345" s="51"/>
    </row>
    <row r="346">
      <c r="A346" s="13"/>
      <c r="B346" s="13"/>
      <c r="C346" s="13"/>
      <c r="D346" s="14"/>
      <c r="E346" s="51"/>
    </row>
    <row r="347">
      <c r="A347" s="13"/>
      <c r="B347" s="13"/>
      <c r="C347" s="13"/>
      <c r="D347" s="14"/>
      <c r="E347" s="51"/>
    </row>
    <row r="348">
      <c r="A348" s="13"/>
      <c r="B348" s="13"/>
      <c r="C348" s="13"/>
      <c r="D348" s="14"/>
      <c r="E348" s="51"/>
    </row>
    <row r="349">
      <c r="A349" s="13"/>
      <c r="B349" s="13"/>
      <c r="C349" s="13"/>
      <c r="D349" s="14"/>
      <c r="E349" s="51"/>
    </row>
    <row r="350">
      <c r="A350" s="13"/>
      <c r="B350" s="13"/>
      <c r="C350" s="13"/>
      <c r="D350" s="14"/>
      <c r="E350" s="51"/>
    </row>
    <row r="351">
      <c r="A351" s="13"/>
      <c r="B351" s="13"/>
      <c r="C351" s="13"/>
      <c r="D351" s="14"/>
      <c r="E351" s="51"/>
    </row>
    <row r="352">
      <c r="A352" s="13"/>
      <c r="B352" s="13"/>
      <c r="C352" s="13"/>
      <c r="D352" s="14"/>
      <c r="E352" s="51"/>
    </row>
    <row r="353">
      <c r="A353" s="13"/>
      <c r="B353" s="13"/>
      <c r="C353" s="13"/>
      <c r="D353" s="14"/>
      <c r="E353" s="51"/>
    </row>
    <row r="354">
      <c r="A354" s="13"/>
      <c r="B354" s="13"/>
      <c r="C354" s="13"/>
      <c r="D354" s="14"/>
      <c r="E354" s="51"/>
    </row>
    <row r="355">
      <c r="A355" s="13"/>
      <c r="B355" s="13"/>
      <c r="C355" s="13"/>
      <c r="D355" s="14"/>
      <c r="E355" s="51"/>
    </row>
    <row r="356">
      <c r="A356" s="13"/>
      <c r="B356" s="13"/>
      <c r="C356" s="13"/>
      <c r="D356" s="14"/>
      <c r="E356" s="51"/>
    </row>
    <row r="357">
      <c r="A357" s="13"/>
      <c r="B357" s="13"/>
      <c r="C357" s="13"/>
      <c r="D357" s="14"/>
      <c r="E357" s="51"/>
    </row>
    <row r="358">
      <c r="A358" s="13"/>
      <c r="B358" s="13"/>
      <c r="C358" s="13"/>
      <c r="D358" s="14"/>
      <c r="E358" s="51"/>
    </row>
    <row r="359">
      <c r="A359" s="13"/>
      <c r="B359" s="13"/>
      <c r="C359" s="13"/>
      <c r="D359" s="14"/>
      <c r="E359" s="51"/>
    </row>
    <row r="360">
      <c r="A360" s="13"/>
      <c r="B360" s="13"/>
      <c r="C360" s="13"/>
      <c r="D360" s="14"/>
      <c r="E360" s="51"/>
    </row>
    <row r="361">
      <c r="A361" s="13"/>
      <c r="B361" s="13"/>
      <c r="C361" s="13"/>
      <c r="D361" s="14"/>
      <c r="E361" s="51"/>
    </row>
    <row r="362">
      <c r="A362" s="13"/>
      <c r="B362" s="13"/>
      <c r="C362" s="13"/>
      <c r="D362" s="14"/>
      <c r="E362" s="51"/>
    </row>
    <row r="363">
      <c r="A363" s="13"/>
      <c r="B363" s="13"/>
      <c r="C363" s="13"/>
      <c r="D363" s="14"/>
      <c r="E363" s="51"/>
    </row>
    <row r="364">
      <c r="A364" s="13"/>
      <c r="B364" s="13"/>
      <c r="C364" s="13"/>
      <c r="D364" s="14"/>
      <c r="E364" s="51"/>
    </row>
    <row r="365">
      <c r="A365" s="13"/>
      <c r="B365" s="13"/>
      <c r="C365" s="13"/>
      <c r="D365" s="14"/>
      <c r="E365" s="51"/>
    </row>
    <row r="366">
      <c r="A366" s="13"/>
      <c r="B366" s="13"/>
      <c r="C366" s="13"/>
      <c r="D366" s="14"/>
      <c r="E366" s="51"/>
    </row>
    <row r="367">
      <c r="A367" s="13"/>
      <c r="B367" s="13"/>
      <c r="C367" s="13"/>
      <c r="D367" s="14"/>
      <c r="E367" s="51"/>
    </row>
    <row r="368">
      <c r="A368" s="13"/>
      <c r="B368" s="13"/>
      <c r="C368" s="13"/>
      <c r="D368" s="14"/>
      <c r="E368" s="51"/>
    </row>
    <row r="369">
      <c r="A369" s="13"/>
      <c r="B369" s="13"/>
      <c r="C369" s="13"/>
      <c r="D369" s="14"/>
      <c r="E369" s="51"/>
    </row>
    <row r="370">
      <c r="A370" s="13"/>
      <c r="B370" s="13"/>
      <c r="C370" s="13"/>
      <c r="D370" s="14"/>
      <c r="E370" s="51"/>
    </row>
    <row r="371">
      <c r="A371" s="13"/>
      <c r="B371" s="13"/>
      <c r="C371" s="13"/>
      <c r="D371" s="14"/>
      <c r="E371" s="51"/>
    </row>
    <row r="372">
      <c r="A372" s="13"/>
      <c r="B372" s="13"/>
      <c r="C372" s="13"/>
      <c r="D372" s="14"/>
      <c r="E372" s="51"/>
    </row>
    <row r="373">
      <c r="A373" s="13"/>
      <c r="B373" s="13"/>
      <c r="C373" s="13"/>
      <c r="D373" s="14"/>
      <c r="E373" s="51"/>
    </row>
    <row r="374">
      <c r="A374" s="13"/>
      <c r="B374" s="13"/>
      <c r="C374" s="13"/>
      <c r="D374" s="14"/>
      <c r="E374" s="51"/>
    </row>
    <row r="375">
      <c r="A375" s="13"/>
      <c r="B375" s="13"/>
      <c r="C375" s="13"/>
      <c r="D375" s="14"/>
      <c r="E375" s="51"/>
    </row>
    <row r="376">
      <c r="A376" s="13"/>
      <c r="B376" s="13"/>
      <c r="C376" s="13"/>
      <c r="D376" s="14"/>
      <c r="E376" s="51"/>
    </row>
    <row r="377">
      <c r="A377" s="13"/>
      <c r="B377" s="13"/>
      <c r="C377" s="13"/>
      <c r="D377" s="14"/>
      <c r="E377" s="51"/>
    </row>
    <row r="378">
      <c r="A378" s="13"/>
      <c r="B378" s="13"/>
      <c r="C378" s="13"/>
      <c r="D378" s="14"/>
      <c r="E378" s="51"/>
    </row>
    <row r="379">
      <c r="A379" s="13"/>
      <c r="B379" s="13"/>
      <c r="C379" s="13"/>
      <c r="D379" s="14"/>
      <c r="E379" s="51"/>
    </row>
    <row r="380">
      <c r="A380" s="13"/>
      <c r="B380" s="13"/>
      <c r="C380" s="13"/>
      <c r="D380" s="14"/>
      <c r="E380" s="51"/>
    </row>
    <row r="381">
      <c r="A381" s="13"/>
      <c r="B381" s="13"/>
      <c r="C381" s="13"/>
      <c r="D381" s="14"/>
      <c r="E381" s="51"/>
    </row>
    <row r="382">
      <c r="A382" s="13"/>
      <c r="B382" s="13"/>
      <c r="C382" s="13"/>
      <c r="D382" s="14"/>
      <c r="E382" s="51"/>
    </row>
    <row r="383">
      <c r="A383" s="13"/>
      <c r="B383" s="13"/>
      <c r="C383" s="13"/>
      <c r="D383" s="14"/>
      <c r="E383" s="51"/>
    </row>
    <row r="384">
      <c r="A384" s="13"/>
      <c r="B384" s="13"/>
      <c r="C384" s="13"/>
      <c r="D384" s="14"/>
      <c r="E384" s="51"/>
    </row>
    <row r="385">
      <c r="A385" s="13"/>
      <c r="B385" s="13"/>
      <c r="C385" s="13"/>
      <c r="D385" s="14"/>
      <c r="E385" s="51"/>
    </row>
    <row r="386">
      <c r="A386" s="13"/>
      <c r="B386" s="13"/>
      <c r="C386" s="13"/>
      <c r="D386" s="14"/>
      <c r="E386" s="51"/>
    </row>
    <row r="387">
      <c r="A387" s="13"/>
      <c r="B387" s="13"/>
      <c r="C387" s="13"/>
      <c r="D387" s="14"/>
      <c r="E387" s="51"/>
    </row>
    <row r="388">
      <c r="A388" s="13"/>
      <c r="B388" s="13"/>
      <c r="C388" s="13"/>
      <c r="D388" s="14"/>
      <c r="E388" s="51"/>
    </row>
    <row r="389">
      <c r="A389" s="13"/>
      <c r="B389" s="13"/>
      <c r="C389" s="13"/>
      <c r="D389" s="14"/>
      <c r="E389" s="51"/>
    </row>
    <row r="390">
      <c r="A390" s="13"/>
      <c r="B390" s="13"/>
      <c r="C390" s="13"/>
      <c r="D390" s="14"/>
      <c r="E390" s="51"/>
    </row>
    <row r="391">
      <c r="A391" s="13"/>
      <c r="B391" s="13"/>
      <c r="C391" s="13"/>
      <c r="D391" s="14"/>
      <c r="E391" s="51"/>
    </row>
    <row r="392">
      <c r="A392" s="13"/>
      <c r="B392" s="13"/>
      <c r="C392" s="13"/>
      <c r="D392" s="14"/>
      <c r="E392" s="51"/>
    </row>
    <row r="393">
      <c r="A393" s="13"/>
      <c r="B393" s="13"/>
      <c r="C393" s="13"/>
      <c r="D393" s="14"/>
      <c r="E393" s="51"/>
    </row>
    <row r="394">
      <c r="A394" s="13"/>
      <c r="B394" s="13"/>
      <c r="C394" s="13"/>
      <c r="D394" s="14"/>
      <c r="E394" s="51"/>
    </row>
    <row r="395">
      <c r="A395" s="13"/>
      <c r="B395" s="13"/>
      <c r="C395" s="13"/>
      <c r="D395" s="14"/>
      <c r="E395" s="51"/>
    </row>
    <row r="396">
      <c r="A396" s="13"/>
      <c r="B396" s="13"/>
      <c r="C396" s="13"/>
      <c r="D396" s="14"/>
      <c r="E396" s="51"/>
    </row>
    <row r="397">
      <c r="A397" s="13"/>
      <c r="B397" s="13"/>
      <c r="C397" s="13"/>
      <c r="D397" s="14"/>
      <c r="E397" s="51"/>
    </row>
    <row r="398">
      <c r="A398" s="13"/>
      <c r="B398" s="13"/>
      <c r="C398" s="13"/>
      <c r="D398" s="14"/>
      <c r="E398" s="51"/>
    </row>
    <row r="399">
      <c r="A399" s="13"/>
      <c r="B399" s="13"/>
      <c r="C399" s="13"/>
      <c r="D399" s="14"/>
      <c r="E399" s="51"/>
    </row>
    <row r="400">
      <c r="A400" s="13"/>
      <c r="B400" s="13"/>
      <c r="C400" s="13"/>
      <c r="D400" s="14"/>
      <c r="E400" s="51"/>
    </row>
    <row r="401">
      <c r="A401" s="13"/>
      <c r="B401" s="13"/>
      <c r="C401" s="13"/>
      <c r="D401" s="14"/>
      <c r="E401" s="51"/>
    </row>
    <row r="402">
      <c r="A402" s="13"/>
      <c r="B402" s="13"/>
      <c r="C402" s="13"/>
      <c r="D402" s="14"/>
      <c r="E402" s="51"/>
    </row>
    <row r="403">
      <c r="A403" s="13"/>
      <c r="B403" s="13"/>
      <c r="C403" s="13"/>
      <c r="D403" s="14"/>
      <c r="E403" s="51"/>
    </row>
    <row r="404">
      <c r="A404" s="13"/>
      <c r="B404" s="13"/>
      <c r="C404" s="13"/>
      <c r="D404" s="14"/>
      <c r="E404" s="51"/>
    </row>
    <row r="405">
      <c r="A405" s="13"/>
      <c r="B405" s="13"/>
      <c r="C405" s="13"/>
      <c r="D405" s="14"/>
      <c r="E405" s="51"/>
    </row>
    <row r="406">
      <c r="A406" s="13"/>
      <c r="B406" s="13"/>
      <c r="C406" s="13"/>
      <c r="D406" s="14"/>
      <c r="E406" s="51"/>
    </row>
    <row r="407">
      <c r="A407" s="13"/>
      <c r="B407" s="13"/>
      <c r="C407" s="13"/>
      <c r="D407" s="14"/>
      <c r="E407" s="51"/>
    </row>
    <row r="408">
      <c r="A408" s="13"/>
      <c r="B408" s="13"/>
      <c r="C408" s="13"/>
      <c r="D408" s="14"/>
      <c r="E408" s="51"/>
    </row>
    <row r="409">
      <c r="A409" s="13"/>
      <c r="B409" s="13"/>
      <c r="C409" s="13"/>
      <c r="D409" s="14"/>
      <c r="E409" s="51"/>
    </row>
    <row r="410">
      <c r="A410" s="13"/>
      <c r="B410" s="13"/>
      <c r="C410" s="13"/>
      <c r="D410" s="14"/>
      <c r="E410" s="51"/>
    </row>
    <row r="411">
      <c r="A411" s="13"/>
      <c r="B411" s="13"/>
      <c r="C411" s="13"/>
      <c r="D411" s="14"/>
      <c r="E411" s="51"/>
    </row>
    <row r="412">
      <c r="A412" s="13"/>
      <c r="B412" s="13"/>
      <c r="C412" s="13"/>
      <c r="D412" s="14"/>
      <c r="E412" s="51"/>
    </row>
    <row r="413">
      <c r="A413" s="13"/>
      <c r="B413" s="13"/>
      <c r="C413" s="13"/>
      <c r="D413" s="14"/>
      <c r="E413" s="51"/>
    </row>
    <row r="414">
      <c r="A414" s="13"/>
      <c r="B414" s="13"/>
      <c r="C414" s="13"/>
      <c r="D414" s="14"/>
      <c r="E414" s="51"/>
    </row>
    <row r="415">
      <c r="A415" s="13"/>
      <c r="B415" s="13"/>
      <c r="C415" s="13"/>
      <c r="D415" s="14"/>
      <c r="E415" s="51"/>
    </row>
    <row r="416">
      <c r="A416" s="13"/>
      <c r="B416" s="13"/>
      <c r="C416" s="13"/>
      <c r="D416" s="14"/>
      <c r="E416" s="51"/>
    </row>
    <row r="417">
      <c r="A417" s="13"/>
      <c r="B417" s="13"/>
      <c r="C417" s="13"/>
      <c r="D417" s="14"/>
      <c r="E417" s="51"/>
    </row>
    <row r="418">
      <c r="A418" s="13"/>
      <c r="B418" s="13"/>
      <c r="C418" s="13"/>
      <c r="D418" s="14"/>
      <c r="E418" s="51"/>
    </row>
    <row r="419">
      <c r="A419" s="13"/>
      <c r="B419" s="13"/>
      <c r="C419" s="13"/>
      <c r="D419" s="14"/>
      <c r="E419" s="51"/>
    </row>
    <row r="420">
      <c r="A420" s="13"/>
      <c r="B420" s="13"/>
      <c r="C420" s="13"/>
      <c r="D420" s="14"/>
      <c r="E420" s="51"/>
    </row>
    <row r="421">
      <c r="A421" s="13"/>
      <c r="B421" s="13"/>
      <c r="C421" s="13"/>
      <c r="D421" s="14"/>
      <c r="E421" s="51"/>
    </row>
    <row r="422">
      <c r="A422" s="13"/>
      <c r="B422" s="13"/>
      <c r="C422" s="13"/>
      <c r="D422" s="14"/>
      <c r="E422" s="51"/>
    </row>
    <row r="423">
      <c r="A423" s="13"/>
      <c r="B423" s="13"/>
      <c r="C423" s="13"/>
      <c r="D423" s="14"/>
      <c r="E423" s="51"/>
    </row>
    <row r="424">
      <c r="A424" s="13"/>
      <c r="B424" s="13"/>
      <c r="C424" s="13"/>
      <c r="D424" s="14"/>
      <c r="E424" s="51"/>
    </row>
    <row r="425">
      <c r="A425" s="13"/>
      <c r="B425" s="13"/>
      <c r="C425" s="13"/>
      <c r="D425" s="14"/>
      <c r="E425" s="51"/>
    </row>
    <row r="426">
      <c r="A426" s="13"/>
      <c r="B426" s="13"/>
      <c r="C426" s="13"/>
      <c r="D426" s="14"/>
      <c r="E426" s="51"/>
    </row>
    <row r="427">
      <c r="A427" s="13"/>
      <c r="B427" s="13"/>
      <c r="C427" s="13"/>
      <c r="D427" s="14"/>
      <c r="E427" s="51"/>
    </row>
    <row r="428">
      <c r="A428" s="13"/>
      <c r="B428" s="13"/>
      <c r="C428" s="13"/>
      <c r="D428" s="14"/>
      <c r="E428" s="51"/>
    </row>
    <row r="429">
      <c r="A429" s="13"/>
      <c r="B429" s="13"/>
      <c r="C429" s="13"/>
      <c r="D429" s="14"/>
      <c r="E429" s="51"/>
    </row>
    <row r="430">
      <c r="A430" s="13"/>
      <c r="B430" s="13"/>
      <c r="C430" s="13"/>
      <c r="D430" s="14"/>
      <c r="E430" s="51"/>
    </row>
    <row r="431">
      <c r="A431" s="13"/>
      <c r="B431" s="13"/>
      <c r="C431" s="13"/>
      <c r="D431" s="14"/>
      <c r="E431" s="51"/>
    </row>
    <row r="432">
      <c r="A432" s="13"/>
      <c r="B432" s="13"/>
      <c r="C432" s="13"/>
      <c r="D432" s="14"/>
      <c r="E432" s="51"/>
    </row>
    <row r="433">
      <c r="A433" s="13"/>
      <c r="B433" s="13"/>
      <c r="C433" s="13"/>
      <c r="D433" s="14"/>
      <c r="E433" s="51"/>
    </row>
    <row r="434">
      <c r="A434" s="13"/>
      <c r="B434" s="13"/>
      <c r="C434" s="13"/>
      <c r="D434" s="14"/>
      <c r="E434" s="51"/>
    </row>
    <row r="435">
      <c r="A435" s="13"/>
      <c r="B435" s="13"/>
      <c r="C435" s="13"/>
      <c r="D435" s="14"/>
      <c r="E435" s="51"/>
    </row>
    <row r="436">
      <c r="A436" s="13"/>
      <c r="B436" s="13"/>
      <c r="C436" s="13"/>
      <c r="D436" s="14"/>
      <c r="E436" s="51"/>
    </row>
    <row r="437">
      <c r="A437" s="13"/>
      <c r="B437" s="13"/>
      <c r="C437" s="13"/>
      <c r="D437" s="14"/>
      <c r="E437" s="51"/>
    </row>
    <row r="438">
      <c r="A438" s="13"/>
      <c r="B438" s="13"/>
      <c r="C438" s="13"/>
      <c r="D438" s="14"/>
      <c r="E438" s="51"/>
    </row>
    <row r="439">
      <c r="A439" s="13"/>
      <c r="B439" s="13"/>
      <c r="C439" s="13"/>
      <c r="D439" s="14"/>
      <c r="E439" s="51"/>
    </row>
    <row r="440">
      <c r="A440" s="13"/>
      <c r="B440" s="13"/>
      <c r="C440" s="13"/>
      <c r="D440" s="14"/>
      <c r="E440" s="51"/>
    </row>
    <row r="441">
      <c r="A441" s="13"/>
      <c r="B441" s="13"/>
      <c r="C441" s="13"/>
      <c r="D441" s="14"/>
      <c r="E441" s="51"/>
    </row>
    <row r="442">
      <c r="A442" s="13"/>
      <c r="B442" s="13"/>
      <c r="C442" s="13"/>
      <c r="D442" s="14"/>
      <c r="E442" s="51"/>
    </row>
    <row r="443">
      <c r="A443" s="13"/>
      <c r="B443" s="13"/>
      <c r="C443" s="13"/>
      <c r="D443" s="14"/>
      <c r="E443" s="51"/>
    </row>
    <row r="444">
      <c r="A444" s="13"/>
      <c r="B444" s="13"/>
      <c r="C444" s="13"/>
      <c r="D444" s="14"/>
      <c r="E444" s="51"/>
    </row>
    <row r="445">
      <c r="A445" s="13"/>
      <c r="B445" s="13"/>
      <c r="C445" s="13"/>
      <c r="D445" s="14"/>
      <c r="E445" s="51"/>
    </row>
    <row r="446">
      <c r="A446" s="13"/>
      <c r="B446" s="13"/>
      <c r="C446" s="13"/>
      <c r="D446" s="14"/>
      <c r="E446" s="51"/>
    </row>
    <row r="447">
      <c r="A447" s="13"/>
      <c r="B447" s="13"/>
      <c r="C447" s="13"/>
      <c r="D447" s="14"/>
      <c r="E447" s="51"/>
    </row>
    <row r="448">
      <c r="A448" s="13"/>
      <c r="B448" s="13"/>
      <c r="C448" s="13"/>
      <c r="D448" s="14"/>
      <c r="E448" s="51"/>
    </row>
    <row r="449">
      <c r="A449" s="13"/>
      <c r="B449" s="13"/>
      <c r="C449" s="13"/>
      <c r="D449" s="14"/>
      <c r="E449" s="51"/>
    </row>
    <row r="450">
      <c r="A450" s="13"/>
      <c r="B450" s="13"/>
      <c r="C450" s="13"/>
      <c r="D450" s="14"/>
      <c r="E450" s="51"/>
    </row>
    <row r="451">
      <c r="A451" s="13"/>
      <c r="B451" s="13"/>
      <c r="C451" s="13"/>
      <c r="D451" s="14"/>
      <c r="E451" s="51"/>
    </row>
    <row r="452">
      <c r="A452" s="13"/>
      <c r="B452" s="13"/>
      <c r="C452" s="13"/>
      <c r="D452" s="14"/>
      <c r="E452" s="51"/>
    </row>
    <row r="453">
      <c r="A453" s="13"/>
      <c r="B453" s="13"/>
      <c r="C453" s="13"/>
      <c r="D453" s="14"/>
      <c r="E453" s="51"/>
    </row>
    <row r="454">
      <c r="A454" s="13"/>
      <c r="B454" s="13"/>
      <c r="C454" s="13"/>
      <c r="D454" s="14"/>
      <c r="E454" s="51"/>
    </row>
    <row r="455">
      <c r="A455" s="13"/>
      <c r="B455" s="13"/>
      <c r="C455" s="13"/>
      <c r="D455" s="14"/>
      <c r="E455" s="51"/>
    </row>
    <row r="456">
      <c r="A456" s="13"/>
      <c r="B456" s="13"/>
      <c r="C456" s="13"/>
      <c r="D456" s="14"/>
      <c r="E456" s="51"/>
    </row>
    <row r="457">
      <c r="A457" s="13"/>
      <c r="B457" s="13"/>
      <c r="C457" s="13"/>
      <c r="D457" s="14"/>
      <c r="E457" s="51"/>
    </row>
    <row r="458">
      <c r="A458" s="13"/>
      <c r="B458" s="13"/>
      <c r="C458" s="13"/>
      <c r="D458" s="14"/>
      <c r="E458" s="51"/>
    </row>
    <row r="459">
      <c r="A459" s="13"/>
      <c r="B459" s="13"/>
      <c r="C459" s="13"/>
      <c r="D459" s="14"/>
      <c r="E459" s="51"/>
    </row>
    <row r="460">
      <c r="A460" s="13"/>
      <c r="B460" s="13"/>
      <c r="C460" s="13"/>
      <c r="D460" s="14"/>
      <c r="E460" s="51"/>
    </row>
    <row r="461">
      <c r="A461" s="13"/>
      <c r="B461" s="13"/>
      <c r="C461" s="13"/>
      <c r="D461" s="14"/>
      <c r="E461" s="51"/>
    </row>
    <row r="462">
      <c r="A462" s="13"/>
      <c r="B462" s="13"/>
      <c r="C462" s="13"/>
      <c r="D462" s="14"/>
      <c r="E462" s="51"/>
    </row>
    <row r="463">
      <c r="A463" s="13"/>
      <c r="B463" s="13"/>
      <c r="C463" s="13"/>
      <c r="D463" s="14"/>
      <c r="E463" s="51"/>
    </row>
    <row r="464">
      <c r="A464" s="13"/>
      <c r="B464" s="13"/>
      <c r="C464" s="13"/>
      <c r="D464" s="14"/>
      <c r="E464" s="51"/>
    </row>
    <row r="465">
      <c r="A465" s="13"/>
      <c r="B465" s="13"/>
      <c r="C465" s="13"/>
      <c r="D465" s="14"/>
      <c r="E465" s="51"/>
    </row>
    <row r="466">
      <c r="A466" s="13"/>
      <c r="B466" s="13"/>
      <c r="C466" s="13"/>
      <c r="D466" s="14"/>
      <c r="E466" s="51"/>
    </row>
    <row r="467">
      <c r="A467" s="13"/>
      <c r="B467" s="13"/>
      <c r="C467" s="13"/>
      <c r="D467" s="14"/>
      <c r="E467" s="51"/>
    </row>
    <row r="468">
      <c r="A468" s="13"/>
      <c r="B468" s="13"/>
      <c r="C468" s="13"/>
      <c r="D468" s="14"/>
      <c r="E468" s="51"/>
    </row>
    <row r="469">
      <c r="A469" s="13"/>
      <c r="B469" s="13"/>
      <c r="C469" s="13"/>
      <c r="D469" s="14"/>
      <c r="E469" s="51"/>
    </row>
    <row r="470">
      <c r="A470" s="13"/>
      <c r="B470" s="13"/>
      <c r="C470" s="13"/>
      <c r="D470" s="14"/>
      <c r="E470" s="51"/>
    </row>
    <row r="471">
      <c r="A471" s="13"/>
      <c r="B471" s="13"/>
      <c r="C471" s="13"/>
      <c r="D471" s="14"/>
      <c r="E471" s="51"/>
    </row>
    <row r="472">
      <c r="A472" s="13"/>
      <c r="B472" s="13"/>
      <c r="C472" s="13"/>
      <c r="D472" s="14"/>
      <c r="E472" s="51"/>
    </row>
    <row r="473">
      <c r="A473" s="13"/>
      <c r="B473" s="13"/>
      <c r="C473" s="13"/>
      <c r="D473" s="14"/>
      <c r="E473" s="51"/>
    </row>
    <row r="474">
      <c r="A474" s="13"/>
      <c r="B474" s="13"/>
      <c r="C474" s="13"/>
      <c r="D474" s="14"/>
      <c r="E474" s="51"/>
    </row>
    <row r="475">
      <c r="A475" s="13"/>
      <c r="B475" s="13"/>
      <c r="C475" s="13"/>
      <c r="D475" s="14"/>
      <c r="E475" s="51"/>
    </row>
    <row r="476">
      <c r="A476" s="13"/>
      <c r="B476" s="13"/>
      <c r="C476" s="13"/>
      <c r="D476" s="14"/>
      <c r="E476" s="51"/>
    </row>
    <row r="477">
      <c r="A477" s="13"/>
      <c r="B477" s="13"/>
      <c r="C477" s="13"/>
      <c r="D477" s="14"/>
      <c r="E477" s="51"/>
    </row>
    <row r="478">
      <c r="A478" s="13"/>
      <c r="B478" s="13"/>
      <c r="C478" s="13"/>
      <c r="D478" s="14"/>
      <c r="E478" s="51"/>
    </row>
    <row r="479">
      <c r="A479" s="13"/>
      <c r="B479" s="13"/>
      <c r="C479" s="13"/>
      <c r="D479" s="14"/>
      <c r="E479" s="51"/>
    </row>
    <row r="480">
      <c r="A480" s="13"/>
      <c r="B480" s="13"/>
      <c r="C480" s="13"/>
      <c r="D480" s="14"/>
      <c r="E480" s="51"/>
    </row>
    <row r="481">
      <c r="A481" s="13"/>
      <c r="B481" s="13"/>
      <c r="C481" s="13"/>
      <c r="D481" s="14"/>
      <c r="E481" s="51"/>
    </row>
    <row r="482">
      <c r="A482" s="13"/>
      <c r="B482" s="13"/>
      <c r="C482" s="13"/>
      <c r="D482" s="14"/>
      <c r="E482" s="51"/>
    </row>
    <row r="483">
      <c r="A483" s="13"/>
      <c r="B483" s="13"/>
      <c r="C483" s="13"/>
      <c r="D483" s="14"/>
      <c r="E483" s="51"/>
    </row>
    <row r="484">
      <c r="A484" s="13"/>
      <c r="B484" s="13"/>
      <c r="C484" s="13"/>
      <c r="D484" s="14"/>
      <c r="E484" s="51"/>
    </row>
    <row r="485">
      <c r="A485" s="13"/>
      <c r="B485" s="13"/>
      <c r="C485" s="13"/>
      <c r="D485" s="14"/>
      <c r="E485" s="51"/>
    </row>
    <row r="486">
      <c r="A486" s="13"/>
      <c r="B486" s="13"/>
      <c r="C486" s="13"/>
      <c r="D486" s="14"/>
      <c r="E486" s="51"/>
    </row>
    <row r="487">
      <c r="A487" s="13"/>
      <c r="B487" s="13"/>
      <c r="C487" s="13"/>
      <c r="D487" s="14"/>
      <c r="E487" s="51"/>
    </row>
    <row r="488">
      <c r="A488" s="13"/>
      <c r="B488" s="13"/>
      <c r="C488" s="13"/>
      <c r="D488" s="14"/>
      <c r="E488" s="51"/>
    </row>
    <row r="489">
      <c r="A489" s="13"/>
      <c r="B489" s="13"/>
      <c r="C489" s="13"/>
      <c r="D489" s="14"/>
      <c r="E489" s="51"/>
    </row>
    <row r="490">
      <c r="A490" s="13"/>
      <c r="B490" s="13"/>
      <c r="C490" s="13"/>
      <c r="D490" s="14"/>
      <c r="E490" s="51"/>
    </row>
    <row r="491">
      <c r="A491" s="13"/>
      <c r="B491" s="13"/>
      <c r="C491" s="13"/>
      <c r="D491" s="14"/>
      <c r="E491" s="51"/>
    </row>
    <row r="492">
      <c r="A492" s="13"/>
      <c r="B492" s="13"/>
      <c r="C492" s="13"/>
      <c r="D492" s="14"/>
      <c r="E492" s="51"/>
    </row>
    <row r="493">
      <c r="A493" s="13"/>
      <c r="B493" s="13"/>
      <c r="C493" s="13"/>
      <c r="D493" s="14"/>
      <c r="E493" s="51"/>
    </row>
    <row r="494">
      <c r="A494" s="13"/>
      <c r="B494" s="13"/>
      <c r="C494" s="13"/>
      <c r="D494" s="14"/>
      <c r="E494" s="51"/>
    </row>
    <row r="495">
      <c r="A495" s="13"/>
      <c r="B495" s="13"/>
      <c r="C495" s="13"/>
      <c r="D495" s="14"/>
      <c r="E495" s="51"/>
    </row>
    <row r="496">
      <c r="A496" s="13"/>
      <c r="B496" s="13"/>
      <c r="C496" s="13"/>
      <c r="D496" s="14"/>
      <c r="E496" s="51"/>
    </row>
    <row r="497">
      <c r="A497" s="13"/>
      <c r="B497" s="13"/>
      <c r="C497" s="13"/>
      <c r="D497" s="14"/>
      <c r="E497" s="51"/>
    </row>
    <row r="498">
      <c r="A498" s="13"/>
      <c r="B498" s="13"/>
      <c r="C498" s="13"/>
      <c r="D498" s="14"/>
      <c r="E498" s="51"/>
    </row>
    <row r="499">
      <c r="A499" s="13"/>
      <c r="B499" s="13"/>
      <c r="C499" s="13"/>
      <c r="D499" s="14"/>
      <c r="E499" s="51"/>
    </row>
    <row r="500">
      <c r="A500" s="13"/>
      <c r="B500" s="13"/>
      <c r="C500" s="13"/>
      <c r="D500" s="14"/>
      <c r="E500" s="51"/>
    </row>
    <row r="501">
      <c r="A501" s="13"/>
      <c r="B501" s="13"/>
      <c r="C501" s="13"/>
      <c r="D501" s="14"/>
      <c r="E501" s="51"/>
    </row>
    <row r="502">
      <c r="A502" s="13"/>
      <c r="B502" s="13"/>
      <c r="C502" s="13"/>
      <c r="D502" s="14"/>
      <c r="E502" s="51"/>
    </row>
    <row r="503">
      <c r="A503" s="13"/>
      <c r="B503" s="13"/>
      <c r="C503" s="13"/>
      <c r="D503" s="14"/>
      <c r="E503" s="51"/>
    </row>
    <row r="504">
      <c r="A504" s="13"/>
      <c r="B504" s="13"/>
      <c r="C504" s="13"/>
      <c r="D504" s="14"/>
      <c r="E504" s="51"/>
    </row>
    <row r="505">
      <c r="A505" s="13"/>
      <c r="B505" s="13"/>
      <c r="C505" s="13"/>
      <c r="D505" s="14"/>
      <c r="E505" s="51"/>
    </row>
    <row r="506">
      <c r="A506" s="13"/>
      <c r="B506" s="13"/>
      <c r="C506" s="13"/>
      <c r="D506" s="14"/>
      <c r="E506" s="51"/>
    </row>
    <row r="507">
      <c r="A507" s="13"/>
      <c r="B507" s="13"/>
      <c r="C507" s="13"/>
      <c r="D507" s="14"/>
      <c r="E507" s="51"/>
    </row>
    <row r="508">
      <c r="A508" s="13"/>
      <c r="B508" s="13"/>
      <c r="C508" s="13"/>
      <c r="D508" s="14"/>
      <c r="E508" s="51"/>
    </row>
    <row r="509">
      <c r="A509" s="13"/>
      <c r="B509" s="13"/>
      <c r="C509" s="13"/>
      <c r="D509" s="14"/>
      <c r="E509" s="51"/>
    </row>
    <row r="510">
      <c r="A510" s="13"/>
      <c r="B510" s="13"/>
      <c r="C510" s="13"/>
      <c r="D510" s="14"/>
      <c r="E510" s="51"/>
    </row>
    <row r="511">
      <c r="A511" s="13"/>
      <c r="B511" s="13"/>
      <c r="C511" s="13"/>
      <c r="D511" s="14"/>
      <c r="E511" s="51"/>
    </row>
    <row r="512">
      <c r="A512" s="13"/>
      <c r="B512" s="13"/>
      <c r="C512" s="13"/>
      <c r="D512" s="14"/>
      <c r="E512" s="51"/>
    </row>
    <row r="513">
      <c r="A513" s="13"/>
      <c r="B513" s="13"/>
      <c r="C513" s="13"/>
      <c r="D513" s="14"/>
      <c r="E513" s="51"/>
    </row>
    <row r="514">
      <c r="A514" s="13"/>
      <c r="B514" s="13"/>
      <c r="C514" s="13"/>
      <c r="D514" s="14"/>
      <c r="E514" s="51"/>
    </row>
    <row r="515">
      <c r="A515" s="13"/>
      <c r="B515" s="13"/>
      <c r="C515" s="13"/>
      <c r="D515" s="14"/>
      <c r="E515" s="51"/>
    </row>
    <row r="516">
      <c r="A516" s="13"/>
      <c r="B516" s="13"/>
      <c r="C516" s="13"/>
      <c r="D516" s="14"/>
      <c r="E516" s="51"/>
    </row>
    <row r="517">
      <c r="A517" s="13"/>
      <c r="B517" s="13"/>
      <c r="C517" s="13"/>
      <c r="D517" s="14"/>
      <c r="E517" s="51"/>
    </row>
    <row r="518">
      <c r="A518" s="13"/>
      <c r="B518" s="13"/>
      <c r="C518" s="13"/>
      <c r="D518" s="14"/>
      <c r="E518" s="51"/>
    </row>
    <row r="519">
      <c r="A519" s="13"/>
      <c r="B519" s="13"/>
      <c r="C519" s="13"/>
      <c r="D519" s="14"/>
      <c r="E519" s="51"/>
    </row>
    <row r="520">
      <c r="A520" s="13"/>
      <c r="B520" s="13"/>
      <c r="C520" s="13"/>
      <c r="D520" s="14"/>
      <c r="E520" s="51"/>
    </row>
    <row r="521">
      <c r="A521" s="13"/>
      <c r="B521" s="13"/>
      <c r="C521" s="13"/>
      <c r="D521" s="14"/>
      <c r="E521" s="51"/>
    </row>
    <row r="522">
      <c r="A522" s="13"/>
      <c r="B522" s="13"/>
      <c r="C522" s="13"/>
      <c r="D522" s="14"/>
      <c r="E522" s="51"/>
    </row>
    <row r="523">
      <c r="A523" s="13"/>
      <c r="B523" s="13"/>
      <c r="C523" s="13"/>
      <c r="D523" s="14"/>
      <c r="E523" s="51"/>
    </row>
    <row r="524">
      <c r="A524" s="13"/>
      <c r="B524" s="13"/>
      <c r="C524" s="13"/>
      <c r="D524" s="14"/>
      <c r="E524" s="51"/>
    </row>
    <row r="525">
      <c r="A525" s="13"/>
      <c r="B525" s="13"/>
      <c r="C525" s="13"/>
      <c r="D525" s="14"/>
      <c r="E525" s="51"/>
    </row>
    <row r="526">
      <c r="A526" s="13"/>
      <c r="B526" s="13"/>
      <c r="C526" s="13"/>
      <c r="D526" s="14"/>
      <c r="E526" s="51"/>
    </row>
    <row r="527">
      <c r="A527" s="13"/>
      <c r="B527" s="13"/>
      <c r="C527" s="13"/>
      <c r="D527" s="14"/>
      <c r="E527" s="51"/>
    </row>
    <row r="528">
      <c r="A528" s="13"/>
      <c r="B528" s="13"/>
      <c r="C528" s="13"/>
      <c r="D528" s="14"/>
      <c r="E528" s="51"/>
    </row>
    <row r="529">
      <c r="A529" s="13"/>
      <c r="B529" s="13"/>
      <c r="C529" s="13"/>
      <c r="D529" s="14"/>
      <c r="E529" s="51"/>
    </row>
    <row r="530">
      <c r="A530" s="13"/>
      <c r="B530" s="13"/>
      <c r="C530" s="13"/>
      <c r="D530" s="14"/>
      <c r="E530" s="51"/>
    </row>
    <row r="531">
      <c r="A531" s="13"/>
      <c r="B531" s="13"/>
      <c r="C531" s="13"/>
      <c r="D531" s="14"/>
      <c r="E531" s="51"/>
    </row>
    <row r="532">
      <c r="A532" s="13"/>
      <c r="B532" s="13"/>
      <c r="C532" s="13"/>
      <c r="D532" s="14"/>
      <c r="E532" s="51"/>
    </row>
    <row r="533">
      <c r="A533" s="13"/>
      <c r="B533" s="13"/>
      <c r="C533" s="13"/>
      <c r="D533" s="14"/>
      <c r="E533" s="51"/>
    </row>
    <row r="534">
      <c r="A534" s="13"/>
      <c r="B534" s="13"/>
      <c r="C534" s="13"/>
      <c r="D534" s="14"/>
      <c r="E534" s="51"/>
    </row>
    <row r="535">
      <c r="A535" s="13"/>
      <c r="B535" s="13"/>
      <c r="C535" s="13"/>
      <c r="D535" s="14"/>
      <c r="E535" s="51"/>
    </row>
    <row r="536">
      <c r="A536" s="13"/>
      <c r="B536" s="13"/>
      <c r="C536" s="13"/>
      <c r="D536" s="14"/>
      <c r="E536" s="51"/>
    </row>
    <row r="537">
      <c r="A537" s="13"/>
      <c r="B537" s="13"/>
      <c r="C537" s="13"/>
      <c r="D537" s="14"/>
      <c r="E537" s="51"/>
    </row>
    <row r="538">
      <c r="A538" s="13"/>
      <c r="B538" s="13"/>
      <c r="C538" s="13"/>
      <c r="D538" s="14"/>
      <c r="E538" s="51"/>
    </row>
    <row r="539">
      <c r="A539" s="13"/>
      <c r="B539" s="13"/>
      <c r="C539" s="13"/>
      <c r="D539" s="14"/>
      <c r="E539" s="51"/>
    </row>
    <row r="540">
      <c r="A540" s="13"/>
      <c r="B540" s="13"/>
      <c r="C540" s="13"/>
      <c r="D540" s="14"/>
      <c r="E540" s="51"/>
    </row>
    <row r="541">
      <c r="A541" s="13"/>
      <c r="B541" s="13"/>
      <c r="C541" s="13"/>
      <c r="D541" s="14"/>
      <c r="E541" s="51"/>
    </row>
    <row r="542">
      <c r="A542" s="13"/>
      <c r="B542" s="13"/>
      <c r="C542" s="13"/>
      <c r="D542" s="14"/>
      <c r="E542" s="51"/>
    </row>
    <row r="543">
      <c r="A543" s="13"/>
      <c r="B543" s="13"/>
      <c r="C543" s="13"/>
      <c r="D543" s="14"/>
      <c r="E543" s="51"/>
    </row>
    <row r="544">
      <c r="A544" s="13"/>
      <c r="B544" s="13"/>
      <c r="C544" s="13"/>
      <c r="D544" s="14"/>
      <c r="E544" s="51"/>
    </row>
    <row r="545">
      <c r="A545" s="13"/>
      <c r="B545" s="13"/>
      <c r="C545" s="13"/>
      <c r="D545" s="14"/>
      <c r="E545" s="51"/>
    </row>
    <row r="546">
      <c r="A546" s="13"/>
      <c r="B546" s="13"/>
      <c r="C546" s="13"/>
      <c r="D546" s="14"/>
      <c r="E546" s="51"/>
    </row>
    <row r="547">
      <c r="A547" s="13"/>
      <c r="B547" s="13"/>
      <c r="C547" s="13"/>
      <c r="D547" s="14"/>
      <c r="E547" s="51"/>
    </row>
    <row r="548">
      <c r="A548" s="13"/>
      <c r="B548" s="13"/>
      <c r="C548" s="13"/>
      <c r="D548" s="14"/>
      <c r="E548" s="51"/>
    </row>
    <row r="549">
      <c r="A549" s="13"/>
      <c r="B549" s="13"/>
      <c r="C549" s="13"/>
      <c r="D549" s="14"/>
      <c r="E549" s="51"/>
    </row>
    <row r="550">
      <c r="A550" s="13"/>
      <c r="B550" s="13"/>
      <c r="C550" s="13"/>
      <c r="D550" s="14"/>
      <c r="E550" s="51"/>
    </row>
    <row r="551">
      <c r="A551" s="13"/>
      <c r="B551" s="13"/>
      <c r="C551" s="13"/>
      <c r="D551" s="14"/>
      <c r="E551" s="51"/>
    </row>
    <row r="552">
      <c r="A552" s="13"/>
      <c r="B552" s="13"/>
      <c r="C552" s="13"/>
      <c r="D552" s="14"/>
      <c r="E552" s="51"/>
    </row>
    <row r="553">
      <c r="A553" s="13"/>
      <c r="B553" s="13"/>
      <c r="C553" s="13"/>
      <c r="D553" s="14"/>
      <c r="E553" s="51"/>
    </row>
    <row r="554">
      <c r="A554" s="13"/>
      <c r="B554" s="13"/>
      <c r="C554" s="13"/>
      <c r="D554" s="14"/>
      <c r="E554" s="51"/>
    </row>
    <row r="555">
      <c r="A555" s="13"/>
      <c r="B555" s="13"/>
      <c r="C555" s="13"/>
      <c r="D555" s="14"/>
      <c r="E555" s="51"/>
    </row>
    <row r="556">
      <c r="A556" s="13"/>
      <c r="B556" s="13"/>
      <c r="C556" s="13"/>
      <c r="D556" s="14"/>
      <c r="E556" s="51"/>
    </row>
    <row r="557">
      <c r="A557" s="13"/>
      <c r="B557" s="13"/>
      <c r="C557" s="13"/>
      <c r="D557" s="14"/>
      <c r="E557" s="51"/>
    </row>
    <row r="558">
      <c r="A558" s="13"/>
      <c r="B558" s="13"/>
      <c r="C558" s="13"/>
      <c r="D558" s="14"/>
      <c r="E558" s="51"/>
    </row>
    <row r="559">
      <c r="A559" s="13"/>
      <c r="B559" s="13"/>
      <c r="C559" s="13"/>
      <c r="D559" s="14"/>
      <c r="E559" s="51"/>
    </row>
    <row r="560">
      <c r="A560" s="13"/>
      <c r="B560" s="13"/>
      <c r="C560" s="13"/>
      <c r="D560" s="14"/>
      <c r="E560" s="51"/>
    </row>
    <row r="561">
      <c r="A561" s="13"/>
      <c r="B561" s="13"/>
      <c r="C561" s="13"/>
      <c r="D561" s="14"/>
      <c r="E561" s="51"/>
    </row>
    <row r="562">
      <c r="A562" s="13"/>
      <c r="B562" s="13"/>
      <c r="C562" s="13"/>
      <c r="D562" s="14"/>
      <c r="E562" s="51"/>
    </row>
    <row r="563">
      <c r="A563" s="13"/>
      <c r="B563" s="13"/>
      <c r="C563" s="13"/>
      <c r="D563" s="14"/>
      <c r="E563" s="51"/>
    </row>
    <row r="564">
      <c r="A564" s="13"/>
      <c r="B564" s="13"/>
      <c r="C564" s="13"/>
      <c r="D564" s="14"/>
      <c r="E564" s="51"/>
    </row>
    <row r="565">
      <c r="A565" s="13"/>
      <c r="B565" s="13"/>
      <c r="C565" s="13"/>
      <c r="D565" s="14"/>
      <c r="E565" s="51"/>
    </row>
    <row r="566">
      <c r="A566" s="13"/>
      <c r="B566" s="13"/>
      <c r="C566" s="13"/>
      <c r="D566" s="14"/>
      <c r="E566" s="51"/>
    </row>
    <row r="567">
      <c r="A567" s="13"/>
      <c r="B567" s="13"/>
      <c r="C567" s="13"/>
      <c r="D567" s="14"/>
      <c r="E567" s="51"/>
    </row>
    <row r="568">
      <c r="A568" s="13"/>
      <c r="B568" s="13"/>
      <c r="C568" s="13"/>
      <c r="D568" s="14"/>
      <c r="E568" s="51"/>
    </row>
    <row r="569">
      <c r="A569" s="13"/>
      <c r="B569" s="13"/>
      <c r="C569" s="13"/>
      <c r="D569" s="14"/>
      <c r="E569" s="51"/>
    </row>
    <row r="570">
      <c r="A570" s="13"/>
      <c r="B570" s="13"/>
      <c r="C570" s="13"/>
      <c r="D570" s="14"/>
      <c r="E570" s="51"/>
    </row>
    <row r="571">
      <c r="A571" s="13"/>
      <c r="B571" s="13"/>
      <c r="C571" s="13"/>
      <c r="D571" s="14"/>
      <c r="E571" s="51"/>
    </row>
    <row r="572">
      <c r="A572" s="13"/>
      <c r="B572" s="13"/>
      <c r="C572" s="13"/>
      <c r="D572" s="14"/>
      <c r="E572" s="51"/>
    </row>
    <row r="573">
      <c r="A573" s="13"/>
      <c r="B573" s="13"/>
      <c r="C573" s="13"/>
      <c r="D573" s="14"/>
      <c r="E573" s="51"/>
    </row>
    <row r="574">
      <c r="A574" s="13"/>
      <c r="B574" s="13"/>
      <c r="C574" s="13"/>
      <c r="D574" s="14"/>
      <c r="E574" s="51"/>
    </row>
    <row r="575">
      <c r="A575" s="13"/>
      <c r="B575" s="13"/>
      <c r="C575" s="13"/>
      <c r="D575" s="14"/>
      <c r="E575" s="51"/>
    </row>
    <row r="576">
      <c r="A576" s="13"/>
      <c r="B576" s="13"/>
      <c r="C576" s="13"/>
      <c r="D576" s="14"/>
      <c r="E576" s="51"/>
    </row>
    <row r="577">
      <c r="A577" s="13"/>
      <c r="B577" s="13"/>
      <c r="C577" s="13"/>
      <c r="D577" s="14"/>
      <c r="E577" s="51"/>
    </row>
    <row r="578">
      <c r="A578" s="13"/>
      <c r="B578" s="13"/>
      <c r="C578" s="13"/>
      <c r="D578" s="14"/>
      <c r="E578" s="51"/>
    </row>
    <row r="579">
      <c r="A579" s="13"/>
      <c r="B579" s="13"/>
      <c r="C579" s="13"/>
      <c r="D579" s="14"/>
      <c r="E579" s="51"/>
    </row>
    <row r="580">
      <c r="A580" s="13"/>
      <c r="B580" s="13"/>
      <c r="C580" s="13"/>
      <c r="D580" s="14"/>
      <c r="E580" s="51"/>
    </row>
    <row r="581">
      <c r="A581" s="13"/>
      <c r="B581" s="13"/>
      <c r="C581" s="13"/>
      <c r="D581" s="14"/>
      <c r="E581" s="51"/>
    </row>
    <row r="582">
      <c r="A582" s="13"/>
      <c r="B582" s="13"/>
      <c r="C582" s="13"/>
      <c r="D582" s="14"/>
      <c r="E582" s="51"/>
    </row>
    <row r="583">
      <c r="A583" s="13"/>
      <c r="B583" s="13"/>
      <c r="C583" s="13"/>
      <c r="D583" s="14"/>
      <c r="E583" s="51"/>
    </row>
    <row r="584">
      <c r="A584" s="13"/>
      <c r="B584" s="13"/>
      <c r="C584" s="13"/>
      <c r="D584" s="14"/>
      <c r="E584" s="51"/>
    </row>
    <row r="585">
      <c r="A585" s="13"/>
      <c r="B585" s="13"/>
      <c r="C585" s="13"/>
      <c r="D585" s="14"/>
      <c r="E585" s="51"/>
    </row>
    <row r="586">
      <c r="A586" s="13"/>
      <c r="B586" s="13"/>
      <c r="C586" s="13"/>
      <c r="D586" s="14"/>
      <c r="E586" s="51"/>
    </row>
    <row r="587">
      <c r="A587" s="13"/>
      <c r="B587" s="13"/>
      <c r="C587" s="13"/>
      <c r="D587" s="14"/>
      <c r="E587" s="51"/>
    </row>
    <row r="588">
      <c r="A588" s="13"/>
      <c r="B588" s="13"/>
      <c r="C588" s="13"/>
      <c r="D588" s="14"/>
      <c r="E588" s="51"/>
    </row>
    <row r="589">
      <c r="A589" s="13"/>
      <c r="B589" s="13"/>
      <c r="C589" s="13"/>
      <c r="D589" s="14"/>
      <c r="E589" s="51"/>
    </row>
    <row r="590">
      <c r="A590" s="13"/>
      <c r="B590" s="13"/>
      <c r="C590" s="13"/>
      <c r="D590" s="14"/>
      <c r="E590" s="51"/>
    </row>
    <row r="591">
      <c r="A591" s="13"/>
      <c r="B591" s="13"/>
      <c r="C591" s="13"/>
      <c r="D591" s="14"/>
      <c r="E591" s="51"/>
    </row>
    <row r="592">
      <c r="A592" s="13"/>
      <c r="B592" s="13"/>
      <c r="C592" s="13"/>
      <c r="D592" s="14"/>
      <c r="E592" s="51"/>
    </row>
    <row r="593">
      <c r="A593" s="13"/>
      <c r="B593" s="13"/>
      <c r="C593" s="13"/>
      <c r="D593" s="14"/>
      <c r="E593" s="51"/>
    </row>
    <row r="594">
      <c r="A594" s="13"/>
      <c r="B594" s="13"/>
      <c r="C594" s="13"/>
      <c r="D594" s="14"/>
      <c r="E594" s="51"/>
    </row>
    <row r="595">
      <c r="A595" s="13"/>
      <c r="B595" s="13"/>
      <c r="C595" s="13"/>
      <c r="D595" s="14"/>
      <c r="E595" s="51"/>
    </row>
    <row r="596">
      <c r="A596" s="13"/>
      <c r="B596" s="13"/>
      <c r="C596" s="13"/>
      <c r="D596" s="14"/>
      <c r="E596" s="51"/>
    </row>
    <row r="597">
      <c r="A597" s="13"/>
      <c r="B597" s="13"/>
      <c r="C597" s="13"/>
      <c r="D597" s="14"/>
      <c r="E597" s="51"/>
    </row>
    <row r="598">
      <c r="A598" s="13"/>
      <c r="B598" s="13"/>
      <c r="C598" s="13"/>
      <c r="D598" s="14"/>
      <c r="E598" s="51"/>
    </row>
    <row r="599">
      <c r="A599" s="13"/>
      <c r="B599" s="13"/>
      <c r="C599" s="13"/>
      <c r="D599" s="14"/>
      <c r="E599" s="51"/>
    </row>
    <row r="600">
      <c r="A600" s="13"/>
      <c r="B600" s="13"/>
      <c r="C600" s="13"/>
      <c r="D600" s="14"/>
      <c r="E600" s="51"/>
    </row>
    <row r="601">
      <c r="A601" s="13"/>
      <c r="B601" s="13"/>
      <c r="C601" s="13"/>
      <c r="D601" s="14"/>
      <c r="E601" s="51"/>
    </row>
    <row r="602">
      <c r="A602" s="13"/>
      <c r="B602" s="13"/>
      <c r="C602" s="13"/>
      <c r="D602" s="14"/>
      <c r="E602" s="51"/>
    </row>
    <row r="603">
      <c r="A603" s="13"/>
      <c r="B603" s="13"/>
      <c r="C603" s="13"/>
      <c r="D603" s="14"/>
      <c r="E603" s="51"/>
    </row>
    <row r="604">
      <c r="A604" s="13"/>
      <c r="B604" s="13"/>
      <c r="C604" s="13"/>
      <c r="D604" s="14"/>
      <c r="E604" s="51"/>
    </row>
    <row r="605">
      <c r="A605" s="13"/>
      <c r="B605" s="13"/>
      <c r="C605" s="13"/>
      <c r="D605" s="14"/>
      <c r="E605" s="51"/>
    </row>
    <row r="606">
      <c r="A606" s="13"/>
      <c r="B606" s="13"/>
      <c r="C606" s="13"/>
      <c r="D606" s="14"/>
      <c r="E606" s="51"/>
    </row>
    <row r="607">
      <c r="A607" s="13"/>
      <c r="B607" s="13"/>
      <c r="C607" s="13"/>
      <c r="D607" s="14"/>
      <c r="E607" s="51"/>
    </row>
    <row r="608">
      <c r="A608" s="13"/>
      <c r="B608" s="13"/>
      <c r="C608" s="13"/>
      <c r="D608" s="14"/>
      <c r="E608" s="51"/>
    </row>
    <row r="609">
      <c r="A609" s="13"/>
      <c r="B609" s="13"/>
      <c r="C609" s="13"/>
      <c r="D609" s="14"/>
      <c r="E609" s="51"/>
    </row>
    <row r="610">
      <c r="A610" s="13"/>
      <c r="B610" s="13"/>
      <c r="C610" s="13"/>
      <c r="D610" s="14"/>
      <c r="E610" s="51"/>
    </row>
    <row r="611">
      <c r="A611" s="13"/>
      <c r="B611" s="13"/>
      <c r="C611" s="13"/>
      <c r="D611" s="14"/>
      <c r="E611" s="51"/>
    </row>
    <row r="612">
      <c r="A612" s="13"/>
      <c r="B612" s="13"/>
      <c r="C612" s="13"/>
      <c r="D612" s="14"/>
      <c r="E612" s="51"/>
    </row>
    <row r="613">
      <c r="A613" s="13"/>
      <c r="B613" s="13"/>
      <c r="C613" s="13"/>
      <c r="D613" s="14"/>
      <c r="E613" s="51"/>
    </row>
    <row r="614">
      <c r="A614" s="13"/>
      <c r="B614" s="13"/>
      <c r="C614" s="13"/>
      <c r="D614" s="14"/>
      <c r="E614" s="51"/>
    </row>
    <row r="615">
      <c r="A615" s="13"/>
      <c r="B615" s="13"/>
      <c r="C615" s="13"/>
      <c r="D615" s="14"/>
      <c r="E615" s="51"/>
    </row>
    <row r="616">
      <c r="A616" s="13"/>
      <c r="B616" s="13"/>
      <c r="C616" s="13"/>
      <c r="D616" s="14"/>
      <c r="E616" s="51"/>
    </row>
    <row r="617">
      <c r="A617" s="13"/>
      <c r="B617" s="13"/>
      <c r="C617" s="13"/>
      <c r="D617" s="14"/>
      <c r="E617" s="51"/>
    </row>
    <row r="618">
      <c r="A618" s="13"/>
      <c r="B618" s="13"/>
      <c r="C618" s="13"/>
      <c r="D618" s="14"/>
      <c r="E618" s="51"/>
    </row>
    <row r="619">
      <c r="A619" s="13"/>
      <c r="B619" s="13"/>
      <c r="C619" s="13"/>
      <c r="D619" s="14"/>
      <c r="E619" s="51"/>
    </row>
    <row r="620">
      <c r="A620" s="13"/>
      <c r="B620" s="13"/>
      <c r="C620" s="13"/>
      <c r="D620" s="14"/>
      <c r="E620" s="51"/>
    </row>
    <row r="621">
      <c r="A621" s="13"/>
      <c r="B621" s="13"/>
      <c r="C621" s="13"/>
      <c r="D621" s="14"/>
      <c r="E621" s="51"/>
    </row>
    <row r="622">
      <c r="A622" s="13"/>
      <c r="B622" s="13"/>
      <c r="C622" s="13"/>
      <c r="D622" s="14"/>
      <c r="E622" s="51"/>
    </row>
    <row r="623">
      <c r="A623" s="13"/>
      <c r="B623" s="13"/>
      <c r="C623" s="13"/>
      <c r="D623" s="14"/>
      <c r="E623" s="51"/>
    </row>
    <row r="624">
      <c r="A624" s="13"/>
      <c r="B624" s="13"/>
      <c r="C624" s="13"/>
      <c r="D624" s="14"/>
      <c r="E624" s="51"/>
    </row>
    <row r="625">
      <c r="A625" s="13"/>
      <c r="B625" s="13"/>
      <c r="C625" s="13"/>
      <c r="D625" s="14"/>
      <c r="E625" s="51"/>
    </row>
    <row r="626">
      <c r="A626" s="13"/>
      <c r="B626" s="13"/>
      <c r="C626" s="13"/>
      <c r="D626" s="14"/>
      <c r="E626" s="51"/>
    </row>
    <row r="627">
      <c r="A627" s="13"/>
      <c r="B627" s="13"/>
      <c r="C627" s="13"/>
      <c r="D627" s="14"/>
      <c r="E627" s="51"/>
    </row>
    <row r="628">
      <c r="A628" s="13"/>
      <c r="B628" s="13"/>
      <c r="C628" s="13"/>
      <c r="D628" s="14"/>
      <c r="E628" s="51"/>
    </row>
    <row r="629">
      <c r="A629" s="13"/>
      <c r="B629" s="13"/>
      <c r="C629" s="13"/>
      <c r="D629" s="14"/>
      <c r="E629" s="51"/>
    </row>
    <row r="630">
      <c r="A630" s="13"/>
      <c r="B630" s="13"/>
      <c r="C630" s="13"/>
      <c r="D630" s="14"/>
      <c r="E630" s="51"/>
    </row>
    <row r="631">
      <c r="A631" s="13"/>
      <c r="B631" s="13"/>
      <c r="C631" s="13"/>
      <c r="D631" s="14"/>
      <c r="E631" s="51"/>
    </row>
    <row r="632">
      <c r="A632" s="13"/>
      <c r="B632" s="13"/>
      <c r="C632" s="13"/>
      <c r="D632" s="14"/>
      <c r="E632" s="51"/>
    </row>
    <row r="633">
      <c r="A633" s="13"/>
      <c r="B633" s="13"/>
      <c r="C633" s="13"/>
      <c r="D633" s="14"/>
      <c r="E633" s="51"/>
    </row>
    <row r="634">
      <c r="A634" s="13"/>
      <c r="B634" s="13"/>
      <c r="C634" s="13"/>
      <c r="D634" s="14"/>
      <c r="E634" s="51"/>
    </row>
    <row r="635">
      <c r="A635" s="13"/>
      <c r="B635" s="13"/>
      <c r="C635" s="13"/>
      <c r="D635" s="14"/>
      <c r="E635" s="51"/>
    </row>
    <row r="636">
      <c r="A636" s="13"/>
      <c r="B636" s="13"/>
      <c r="C636" s="13"/>
      <c r="D636" s="14"/>
      <c r="E636" s="51"/>
    </row>
    <row r="637">
      <c r="A637" s="13"/>
      <c r="B637" s="13"/>
      <c r="C637" s="13"/>
      <c r="D637" s="14"/>
      <c r="E637" s="51"/>
    </row>
    <row r="638">
      <c r="A638" s="13"/>
      <c r="B638" s="13"/>
      <c r="C638" s="13"/>
      <c r="D638" s="14"/>
      <c r="E638" s="51"/>
    </row>
    <row r="639">
      <c r="A639" s="13"/>
      <c r="B639" s="13"/>
      <c r="C639" s="13"/>
      <c r="D639" s="14"/>
      <c r="E639" s="51"/>
    </row>
    <row r="640">
      <c r="A640" s="13"/>
      <c r="B640" s="13"/>
      <c r="C640" s="13"/>
      <c r="D640" s="14"/>
      <c r="E640" s="51"/>
    </row>
    <row r="641">
      <c r="A641" s="13"/>
      <c r="B641" s="13"/>
      <c r="C641" s="13"/>
      <c r="D641" s="14"/>
      <c r="E641" s="51"/>
    </row>
    <row r="642">
      <c r="A642" s="13"/>
      <c r="B642" s="13"/>
      <c r="C642" s="13"/>
      <c r="D642" s="14"/>
      <c r="E642" s="51"/>
    </row>
    <row r="643">
      <c r="A643" s="13"/>
      <c r="B643" s="13"/>
      <c r="C643" s="13"/>
      <c r="D643" s="14"/>
      <c r="E643" s="51"/>
    </row>
    <row r="644">
      <c r="A644" s="13"/>
      <c r="B644" s="13"/>
      <c r="C644" s="13"/>
      <c r="D644" s="14"/>
      <c r="E644" s="51"/>
    </row>
    <row r="645">
      <c r="A645" s="13"/>
      <c r="B645" s="13"/>
      <c r="C645" s="13"/>
      <c r="D645" s="14"/>
      <c r="E645" s="51"/>
    </row>
    <row r="646">
      <c r="A646" s="13"/>
      <c r="B646" s="13"/>
      <c r="C646" s="13"/>
      <c r="D646" s="14"/>
      <c r="E646" s="51"/>
    </row>
    <row r="647">
      <c r="A647" s="13"/>
      <c r="B647" s="13"/>
      <c r="C647" s="13"/>
      <c r="D647" s="14"/>
      <c r="E647" s="51"/>
    </row>
    <row r="648">
      <c r="A648" s="13"/>
      <c r="B648" s="13"/>
      <c r="C648" s="13"/>
      <c r="D648" s="14"/>
      <c r="E648" s="51"/>
    </row>
    <row r="649">
      <c r="A649" s="13"/>
      <c r="B649" s="13"/>
      <c r="C649" s="13"/>
      <c r="D649" s="14"/>
      <c r="E649" s="51"/>
    </row>
    <row r="650">
      <c r="A650" s="13"/>
      <c r="B650" s="13"/>
      <c r="C650" s="13"/>
      <c r="D650" s="14"/>
      <c r="E650" s="51"/>
    </row>
    <row r="651">
      <c r="A651" s="13"/>
      <c r="B651" s="13"/>
      <c r="C651" s="13"/>
      <c r="D651" s="14"/>
      <c r="E651" s="51"/>
    </row>
    <row r="652">
      <c r="A652" s="13"/>
      <c r="B652" s="13"/>
      <c r="C652" s="13"/>
      <c r="D652" s="14"/>
      <c r="E652" s="51"/>
    </row>
    <row r="653">
      <c r="A653" s="13"/>
      <c r="B653" s="13"/>
      <c r="C653" s="13"/>
      <c r="D653" s="14"/>
      <c r="E653" s="51"/>
    </row>
    <row r="654">
      <c r="A654" s="13"/>
      <c r="B654" s="13"/>
      <c r="C654" s="13"/>
      <c r="D654" s="14"/>
      <c r="E654" s="51"/>
    </row>
    <row r="655">
      <c r="A655" s="13"/>
      <c r="B655" s="13"/>
      <c r="C655" s="13"/>
      <c r="D655" s="14"/>
      <c r="E655" s="51"/>
    </row>
    <row r="656">
      <c r="A656" s="13"/>
      <c r="B656" s="13"/>
      <c r="C656" s="13"/>
      <c r="D656" s="14"/>
      <c r="E656" s="51"/>
    </row>
    <row r="657">
      <c r="A657" s="13"/>
      <c r="B657" s="13"/>
      <c r="C657" s="13"/>
      <c r="D657" s="14"/>
      <c r="E657" s="51"/>
    </row>
    <row r="658">
      <c r="A658" s="13"/>
      <c r="B658" s="13"/>
      <c r="C658" s="13"/>
      <c r="D658" s="14"/>
      <c r="E658" s="51"/>
    </row>
    <row r="659">
      <c r="A659" s="13"/>
      <c r="B659" s="13"/>
      <c r="C659" s="13"/>
      <c r="D659" s="14"/>
      <c r="E659" s="51"/>
    </row>
    <row r="660">
      <c r="A660" s="13"/>
      <c r="B660" s="13"/>
      <c r="C660" s="13"/>
      <c r="D660" s="14"/>
      <c r="E660" s="51"/>
    </row>
    <row r="661">
      <c r="A661" s="13"/>
      <c r="B661" s="13"/>
      <c r="C661" s="13"/>
      <c r="D661" s="14"/>
      <c r="E661" s="51"/>
    </row>
    <row r="662">
      <c r="A662" s="13"/>
      <c r="B662" s="13"/>
      <c r="C662" s="13"/>
      <c r="D662" s="14"/>
      <c r="E662" s="51"/>
    </row>
    <row r="663">
      <c r="A663" s="13"/>
      <c r="B663" s="13"/>
      <c r="C663" s="13"/>
      <c r="D663" s="14"/>
      <c r="E663" s="51"/>
    </row>
    <row r="664">
      <c r="A664" s="13"/>
      <c r="B664" s="13"/>
      <c r="C664" s="13"/>
      <c r="D664" s="14"/>
      <c r="E664" s="51"/>
    </row>
    <row r="665">
      <c r="A665" s="13"/>
      <c r="B665" s="13"/>
      <c r="C665" s="13"/>
      <c r="D665" s="14"/>
      <c r="E665" s="51"/>
    </row>
    <row r="666">
      <c r="A666" s="13"/>
      <c r="B666" s="13"/>
      <c r="C666" s="13"/>
      <c r="D666" s="14"/>
      <c r="E666" s="51"/>
    </row>
    <row r="667">
      <c r="A667" s="13"/>
      <c r="B667" s="13"/>
      <c r="C667" s="13"/>
      <c r="D667" s="14"/>
      <c r="E667" s="51"/>
    </row>
    <row r="668">
      <c r="A668" s="13"/>
      <c r="B668" s="13"/>
      <c r="C668" s="13"/>
      <c r="D668" s="14"/>
      <c r="E668" s="51"/>
    </row>
    <row r="669">
      <c r="A669" s="13"/>
      <c r="B669" s="13"/>
      <c r="C669" s="13"/>
      <c r="D669" s="14"/>
      <c r="E669" s="51"/>
    </row>
    <row r="670">
      <c r="A670" s="13"/>
      <c r="B670" s="13"/>
      <c r="C670" s="13"/>
      <c r="D670" s="14"/>
      <c r="E670" s="51"/>
    </row>
    <row r="671">
      <c r="A671" s="13"/>
      <c r="B671" s="13"/>
      <c r="C671" s="13"/>
      <c r="D671" s="14"/>
      <c r="E671" s="51"/>
    </row>
    <row r="672">
      <c r="A672" s="13"/>
      <c r="B672" s="13"/>
      <c r="C672" s="13"/>
      <c r="D672" s="14"/>
      <c r="E672" s="51"/>
    </row>
    <row r="673">
      <c r="A673" s="13"/>
      <c r="B673" s="13"/>
      <c r="C673" s="13"/>
      <c r="D673" s="14"/>
      <c r="E673" s="51"/>
    </row>
    <row r="674">
      <c r="A674" s="13"/>
      <c r="B674" s="13"/>
      <c r="C674" s="13"/>
      <c r="D674" s="14"/>
      <c r="E674" s="51"/>
    </row>
    <row r="675">
      <c r="A675" s="13"/>
      <c r="B675" s="13"/>
      <c r="C675" s="13"/>
      <c r="D675" s="14"/>
      <c r="E675" s="51"/>
    </row>
    <row r="676">
      <c r="A676" s="13"/>
      <c r="B676" s="13"/>
      <c r="C676" s="13"/>
      <c r="D676" s="14"/>
      <c r="E676" s="51"/>
    </row>
    <row r="677">
      <c r="A677" s="13"/>
      <c r="B677" s="13"/>
      <c r="C677" s="13"/>
      <c r="D677" s="14"/>
      <c r="E677" s="51"/>
    </row>
    <row r="678">
      <c r="A678" s="13"/>
      <c r="B678" s="13"/>
      <c r="C678" s="13"/>
      <c r="D678" s="14"/>
      <c r="E678" s="51"/>
    </row>
    <row r="679">
      <c r="A679" s="13"/>
      <c r="B679" s="13"/>
      <c r="C679" s="13"/>
      <c r="D679" s="14"/>
      <c r="E679" s="51"/>
    </row>
    <row r="680">
      <c r="A680" s="13"/>
      <c r="B680" s="13"/>
      <c r="C680" s="13"/>
      <c r="D680" s="14"/>
      <c r="E680" s="51"/>
    </row>
    <row r="681">
      <c r="A681" s="13"/>
      <c r="B681" s="13"/>
      <c r="C681" s="13"/>
      <c r="D681" s="14"/>
      <c r="E681" s="51"/>
    </row>
    <row r="682">
      <c r="A682" s="13"/>
      <c r="B682" s="13"/>
      <c r="C682" s="13"/>
      <c r="D682" s="14"/>
      <c r="E682" s="51"/>
    </row>
    <row r="683">
      <c r="A683" s="13"/>
      <c r="B683" s="13"/>
      <c r="C683" s="13"/>
      <c r="D683" s="14"/>
      <c r="E683" s="51"/>
    </row>
    <row r="684">
      <c r="A684" s="13"/>
      <c r="B684" s="13"/>
      <c r="C684" s="13"/>
      <c r="D684" s="14"/>
      <c r="E684" s="51"/>
    </row>
    <row r="685">
      <c r="A685" s="13"/>
      <c r="B685" s="13"/>
      <c r="C685" s="13"/>
      <c r="D685" s="14"/>
      <c r="E685" s="51"/>
    </row>
    <row r="686">
      <c r="A686" s="13"/>
      <c r="B686" s="13"/>
      <c r="C686" s="13"/>
      <c r="D686" s="14"/>
      <c r="E686" s="51"/>
    </row>
    <row r="687">
      <c r="A687" s="13"/>
      <c r="B687" s="13"/>
      <c r="C687" s="13"/>
      <c r="D687" s="14"/>
      <c r="E687" s="51"/>
    </row>
    <row r="688">
      <c r="A688" s="13"/>
      <c r="B688" s="13"/>
      <c r="C688" s="13"/>
      <c r="D688" s="14"/>
      <c r="E688" s="51"/>
    </row>
    <row r="689">
      <c r="A689" s="13"/>
      <c r="B689" s="13"/>
      <c r="C689" s="13"/>
      <c r="D689" s="14"/>
      <c r="E689" s="51"/>
    </row>
    <row r="690">
      <c r="A690" s="13"/>
      <c r="B690" s="13"/>
      <c r="C690" s="13"/>
      <c r="D690" s="14"/>
      <c r="E690" s="51"/>
    </row>
    <row r="691">
      <c r="A691" s="13"/>
      <c r="B691" s="13"/>
      <c r="C691" s="13"/>
      <c r="D691" s="14"/>
      <c r="E691" s="51"/>
    </row>
    <row r="692">
      <c r="A692" s="13"/>
      <c r="B692" s="13"/>
      <c r="C692" s="13"/>
      <c r="D692" s="14"/>
      <c r="E692" s="51"/>
    </row>
    <row r="693">
      <c r="A693" s="13"/>
      <c r="B693" s="13"/>
      <c r="C693" s="13"/>
      <c r="D693" s="14"/>
      <c r="E693" s="51"/>
    </row>
    <row r="694">
      <c r="A694" s="13"/>
      <c r="B694" s="13"/>
      <c r="C694" s="13"/>
      <c r="D694" s="14"/>
      <c r="E694" s="51"/>
    </row>
    <row r="695">
      <c r="A695" s="13"/>
      <c r="B695" s="13"/>
      <c r="C695" s="13"/>
      <c r="D695" s="14"/>
      <c r="E695" s="51"/>
    </row>
    <row r="696">
      <c r="A696" s="13"/>
      <c r="B696" s="13"/>
      <c r="C696" s="13"/>
      <c r="D696" s="14"/>
      <c r="E696" s="51"/>
    </row>
    <row r="697">
      <c r="A697" s="13"/>
      <c r="B697" s="13"/>
      <c r="C697" s="13"/>
      <c r="D697" s="14"/>
      <c r="E697" s="51"/>
    </row>
    <row r="698">
      <c r="A698" s="13"/>
      <c r="B698" s="13"/>
      <c r="C698" s="13"/>
      <c r="D698" s="14"/>
      <c r="E698" s="51"/>
    </row>
    <row r="699">
      <c r="A699" s="13"/>
      <c r="B699" s="13"/>
      <c r="C699" s="13"/>
      <c r="D699" s="14"/>
      <c r="E699" s="51"/>
    </row>
    <row r="700">
      <c r="A700" s="13"/>
      <c r="B700" s="13"/>
      <c r="C700" s="13"/>
      <c r="D700" s="14"/>
      <c r="E700" s="51"/>
    </row>
    <row r="701">
      <c r="A701" s="13"/>
      <c r="B701" s="13"/>
      <c r="C701" s="13"/>
      <c r="D701" s="14"/>
      <c r="E701" s="51"/>
    </row>
    <row r="702">
      <c r="A702" s="13"/>
      <c r="B702" s="13"/>
      <c r="C702" s="13"/>
      <c r="D702" s="14"/>
      <c r="E702" s="51"/>
    </row>
    <row r="703">
      <c r="A703" s="13"/>
      <c r="B703" s="13"/>
      <c r="C703" s="13"/>
      <c r="D703" s="14"/>
      <c r="E703" s="51"/>
    </row>
    <row r="704">
      <c r="A704" s="13"/>
      <c r="B704" s="13"/>
      <c r="C704" s="13"/>
      <c r="D704" s="14"/>
      <c r="E704" s="51"/>
    </row>
    <row r="705">
      <c r="A705" s="13"/>
      <c r="B705" s="13"/>
      <c r="C705" s="13"/>
      <c r="D705" s="14"/>
      <c r="E705" s="51"/>
    </row>
    <row r="706">
      <c r="A706" s="13"/>
      <c r="B706" s="13"/>
      <c r="C706" s="13"/>
      <c r="D706" s="14"/>
      <c r="E706" s="51"/>
    </row>
    <row r="707">
      <c r="A707" s="13"/>
      <c r="B707" s="13"/>
      <c r="C707" s="13"/>
      <c r="D707" s="14"/>
      <c r="E707" s="51"/>
    </row>
    <row r="708">
      <c r="A708" s="13"/>
      <c r="B708" s="13"/>
      <c r="C708" s="13"/>
      <c r="D708" s="14"/>
      <c r="E708" s="51"/>
    </row>
    <row r="709">
      <c r="A709" s="13"/>
      <c r="B709" s="13"/>
      <c r="C709" s="13"/>
      <c r="D709" s="14"/>
      <c r="E709" s="51"/>
    </row>
    <row r="710">
      <c r="A710" s="13"/>
      <c r="B710" s="13"/>
      <c r="C710" s="13"/>
      <c r="D710" s="14"/>
      <c r="E710" s="51"/>
    </row>
    <row r="711">
      <c r="A711" s="13"/>
      <c r="B711" s="13"/>
      <c r="C711" s="13"/>
      <c r="D711" s="14"/>
      <c r="E711" s="51"/>
    </row>
    <row r="712">
      <c r="A712" s="13"/>
      <c r="B712" s="13"/>
      <c r="C712" s="13"/>
      <c r="D712" s="14"/>
      <c r="E712" s="51"/>
    </row>
    <row r="713">
      <c r="A713" s="13"/>
      <c r="B713" s="13"/>
      <c r="C713" s="13"/>
      <c r="D713" s="14"/>
      <c r="E713" s="51"/>
    </row>
    <row r="714">
      <c r="A714" s="13"/>
      <c r="B714" s="13"/>
      <c r="C714" s="13"/>
      <c r="D714" s="14"/>
      <c r="E714" s="51"/>
    </row>
    <row r="715">
      <c r="A715" s="13"/>
      <c r="B715" s="13"/>
      <c r="C715" s="13"/>
      <c r="D715" s="14"/>
      <c r="E715" s="51"/>
    </row>
    <row r="716">
      <c r="A716" s="13"/>
      <c r="B716" s="13"/>
      <c r="C716" s="13"/>
      <c r="D716" s="14"/>
      <c r="E716" s="51"/>
    </row>
    <row r="717">
      <c r="A717" s="13"/>
      <c r="B717" s="13"/>
      <c r="C717" s="13"/>
      <c r="D717" s="14"/>
      <c r="E717" s="51"/>
    </row>
    <row r="718">
      <c r="A718" s="13"/>
      <c r="B718" s="13"/>
      <c r="C718" s="13"/>
      <c r="D718" s="14"/>
      <c r="E718" s="51"/>
    </row>
    <row r="719">
      <c r="A719" s="13"/>
      <c r="B719" s="13"/>
      <c r="C719" s="13"/>
      <c r="D719" s="14"/>
      <c r="E719" s="51"/>
    </row>
    <row r="720">
      <c r="A720" s="13"/>
      <c r="B720" s="13"/>
      <c r="C720" s="13"/>
      <c r="D720" s="14"/>
      <c r="E720" s="51"/>
    </row>
    <row r="721">
      <c r="A721" s="13"/>
      <c r="B721" s="13"/>
      <c r="C721" s="13"/>
      <c r="D721" s="14"/>
      <c r="E721" s="51"/>
    </row>
    <row r="722">
      <c r="A722" s="13"/>
      <c r="B722" s="13"/>
      <c r="C722" s="13"/>
      <c r="D722" s="14"/>
      <c r="E722" s="51"/>
    </row>
    <row r="723">
      <c r="A723" s="13"/>
      <c r="B723" s="13"/>
      <c r="C723" s="13"/>
      <c r="D723" s="14"/>
      <c r="E723" s="51"/>
    </row>
    <row r="724">
      <c r="A724" s="13"/>
      <c r="B724" s="13"/>
      <c r="C724" s="13"/>
      <c r="D724" s="14"/>
      <c r="E724" s="51"/>
    </row>
    <row r="725">
      <c r="A725" s="13"/>
      <c r="B725" s="13"/>
      <c r="C725" s="13"/>
      <c r="D725" s="14"/>
      <c r="E725" s="51"/>
    </row>
    <row r="726">
      <c r="A726" s="13"/>
      <c r="B726" s="13"/>
      <c r="C726" s="13"/>
      <c r="D726" s="14"/>
      <c r="E726" s="51"/>
    </row>
    <row r="727">
      <c r="A727" s="13"/>
      <c r="B727" s="13"/>
      <c r="C727" s="13"/>
      <c r="D727" s="14"/>
      <c r="E727" s="51"/>
    </row>
    <row r="728">
      <c r="A728" s="13"/>
      <c r="B728" s="13"/>
      <c r="C728" s="13"/>
      <c r="D728" s="14"/>
      <c r="E728" s="51"/>
    </row>
    <row r="729">
      <c r="A729" s="13"/>
      <c r="B729" s="13"/>
      <c r="C729" s="13"/>
      <c r="D729" s="14"/>
      <c r="E729" s="51"/>
    </row>
    <row r="730">
      <c r="A730" s="13"/>
      <c r="B730" s="13"/>
      <c r="C730" s="13"/>
      <c r="D730" s="14"/>
      <c r="E730" s="51"/>
    </row>
    <row r="731">
      <c r="A731" s="13"/>
      <c r="B731" s="13"/>
      <c r="C731" s="13"/>
      <c r="D731" s="14"/>
      <c r="E731" s="51"/>
    </row>
    <row r="732">
      <c r="A732" s="13"/>
      <c r="B732" s="13"/>
      <c r="C732" s="13"/>
      <c r="D732" s="14"/>
      <c r="E732" s="51"/>
    </row>
    <row r="733">
      <c r="A733" s="13"/>
      <c r="B733" s="13"/>
      <c r="C733" s="13"/>
      <c r="D733" s="14"/>
      <c r="E733" s="51"/>
    </row>
    <row r="734">
      <c r="A734" s="13"/>
      <c r="B734" s="13"/>
      <c r="C734" s="13"/>
      <c r="D734" s="14"/>
      <c r="E734" s="51"/>
    </row>
    <row r="735">
      <c r="A735" s="13"/>
      <c r="B735" s="13"/>
      <c r="C735" s="13"/>
      <c r="D735" s="14"/>
      <c r="E735" s="51"/>
    </row>
    <row r="736">
      <c r="A736" s="13"/>
      <c r="B736" s="13"/>
      <c r="C736" s="13"/>
      <c r="D736" s="14"/>
      <c r="E736" s="51"/>
    </row>
    <row r="737">
      <c r="A737" s="13"/>
      <c r="B737" s="13"/>
      <c r="C737" s="13"/>
      <c r="D737" s="14"/>
      <c r="E737" s="51"/>
    </row>
    <row r="738">
      <c r="A738" s="13"/>
      <c r="B738" s="13"/>
      <c r="C738" s="13"/>
      <c r="D738" s="14"/>
      <c r="E738" s="51"/>
    </row>
    <row r="739">
      <c r="A739" s="13"/>
      <c r="B739" s="13"/>
      <c r="C739" s="13"/>
      <c r="D739" s="14"/>
      <c r="E739" s="51"/>
    </row>
    <row r="740">
      <c r="A740" s="13"/>
      <c r="B740" s="13"/>
      <c r="C740" s="13"/>
      <c r="D740" s="14"/>
      <c r="E740" s="51"/>
    </row>
    <row r="741">
      <c r="A741" s="13"/>
      <c r="B741" s="13"/>
      <c r="C741" s="13"/>
      <c r="D741" s="14"/>
      <c r="E741" s="51"/>
    </row>
    <row r="742">
      <c r="A742" s="13"/>
      <c r="B742" s="13"/>
      <c r="C742" s="13"/>
      <c r="D742" s="14"/>
      <c r="E742" s="51"/>
    </row>
    <row r="743">
      <c r="A743" s="13"/>
      <c r="B743" s="13"/>
      <c r="C743" s="13"/>
      <c r="D743" s="14"/>
      <c r="E743" s="51"/>
    </row>
    <row r="744">
      <c r="A744" s="13"/>
      <c r="B744" s="13"/>
      <c r="C744" s="13"/>
      <c r="D744" s="14"/>
      <c r="E744" s="51"/>
    </row>
    <row r="745">
      <c r="A745" s="13"/>
      <c r="B745" s="13"/>
      <c r="C745" s="13"/>
      <c r="D745" s="14"/>
      <c r="E745" s="51"/>
    </row>
    <row r="746">
      <c r="A746" s="13"/>
      <c r="B746" s="13"/>
      <c r="C746" s="13"/>
      <c r="D746" s="14"/>
      <c r="E746" s="51"/>
    </row>
    <row r="747">
      <c r="A747" s="13"/>
      <c r="B747" s="13"/>
      <c r="C747" s="13"/>
      <c r="D747" s="14"/>
      <c r="E747" s="51"/>
    </row>
    <row r="748">
      <c r="A748" s="13"/>
      <c r="B748" s="13"/>
      <c r="C748" s="13"/>
      <c r="D748" s="14"/>
      <c r="E748" s="51"/>
    </row>
    <row r="749">
      <c r="A749" s="13"/>
      <c r="B749" s="13"/>
      <c r="C749" s="13"/>
      <c r="D749" s="14"/>
      <c r="E749" s="51"/>
    </row>
    <row r="750">
      <c r="A750" s="13"/>
      <c r="B750" s="13"/>
      <c r="C750" s="13"/>
      <c r="D750" s="14"/>
      <c r="E750" s="51"/>
    </row>
    <row r="751">
      <c r="A751" s="13"/>
      <c r="B751" s="13"/>
      <c r="C751" s="13"/>
      <c r="D751" s="14"/>
      <c r="E751" s="51"/>
    </row>
    <row r="752">
      <c r="A752" s="13"/>
      <c r="B752" s="13"/>
      <c r="C752" s="13"/>
      <c r="D752" s="14"/>
      <c r="E752" s="51"/>
    </row>
    <row r="753">
      <c r="A753" s="13"/>
      <c r="B753" s="13"/>
      <c r="C753" s="13"/>
      <c r="D753" s="14"/>
      <c r="E753" s="51"/>
    </row>
    <row r="754">
      <c r="A754" s="13"/>
      <c r="B754" s="13"/>
      <c r="C754" s="13"/>
      <c r="D754" s="14"/>
      <c r="E754" s="51"/>
    </row>
    <row r="755">
      <c r="A755" s="13"/>
      <c r="B755" s="13"/>
      <c r="C755" s="13"/>
      <c r="D755" s="14"/>
      <c r="E755" s="51"/>
    </row>
    <row r="756">
      <c r="A756" s="13"/>
      <c r="B756" s="13"/>
      <c r="C756" s="13"/>
      <c r="D756" s="14"/>
      <c r="E756" s="51"/>
    </row>
    <row r="757">
      <c r="A757" s="13"/>
      <c r="B757" s="13"/>
      <c r="C757" s="13"/>
      <c r="D757" s="14"/>
      <c r="E757" s="51"/>
    </row>
    <row r="758">
      <c r="A758" s="13"/>
      <c r="B758" s="13"/>
      <c r="C758" s="13"/>
      <c r="D758" s="14"/>
      <c r="E758" s="51"/>
    </row>
    <row r="759">
      <c r="A759" s="13"/>
      <c r="B759" s="13"/>
      <c r="C759" s="13"/>
      <c r="D759" s="14"/>
      <c r="E759" s="51"/>
    </row>
    <row r="760">
      <c r="A760" s="13"/>
      <c r="B760" s="13"/>
      <c r="C760" s="13"/>
      <c r="D760" s="14"/>
      <c r="E760" s="51"/>
    </row>
    <row r="761">
      <c r="A761" s="13"/>
      <c r="B761" s="13"/>
      <c r="C761" s="13"/>
      <c r="D761" s="14"/>
      <c r="E761" s="51"/>
    </row>
    <row r="762">
      <c r="A762" s="13"/>
      <c r="B762" s="13"/>
      <c r="C762" s="13"/>
      <c r="D762" s="14"/>
      <c r="E762" s="51"/>
    </row>
    <row r="763">
      <c r="A763" s="13"/>
      <c r="B763" s="13"/>
      <c r="C763" s="13"/>
      <c r="D763" s="14"/>
      <c r="E763" s="51"/>
    </row>
    <row r="764">
      <c r="A764" s="13"/>
      <c r="B764" s="13"/>
      <c r="C764" s="13"/>
      <c r="D764" s="14"/>
      <c r="E764" s="51"/>
    </row>
    <row r="765">
      <c r="A765" s="13"/>
      <c r="B765" s="13"/>
      <c r="C765" s="13"/>
      <c r="D765" s="14"/>
      <c r="E765" s="51"/>
    </row>
    <row r="766">
      <c r="A766" s="13"/>
      <c r="B766" s="13"/>
      <c r="C766" s="13"/>
      <c r="D766" s="14"/>
      <c r="E766" s="51"/>
    </row>
    <row r="767">
      <c r="A767" s="13"/>
      <c r="B767" s="13"/>
      <c r="C767" s="13"/>
      <c r="D767" s="14"/>
      <c r="E767" s="51"/>
    </row>
    <row r="768">
      <c r="A768" s="13"/>
      <c r="B768" s="13"/>
      <c r="C768" s="13"/>
      <c r="D768" s="14"/>
      <c r="E768" s="51"/>
    </row>
    <row r="769">
      <c r="A769" s="13"/>
      <c r="B769" s="13"/>
      <c r="C769" s="13"/>
      <c r="D769" s="14"/>
      <c r="E769" s="51"/>
    </row>
    <row r="770">
      <c r="A770" s="13"/>
      <c r="B770" s="13"/>
      <c r="C770" s="13"/>
      <c r="D770" s="14"/>
      <c r="E770" s="51"/>
    </row>
    <row r="771">
      <c r="A771" s="13"/>
      <c r="B771" s="13"/>
      <c r="C771" s="13"/>
      <c r="D771" s="14"/>
      <c r="E771" s="51"/>
    </row>
    <row r="772">
      <c r="A772" s="13"/>
      <c r="B772" s="13"/>
      <c r="C772" s="13"/>
      <c r="D772" s="14"/>
      <c r="E772" s="51"/>
    </row>
    <row r="773">
      <c r="A773" s="13"/>
      <c r="B773" s="13"/>
      <c r="C773" s="13"/>
      <c r="D773" s="14"/>
      <c r="E773" s="51"/>
    </row>
    <row r="774">
      <c r="A774" s="13"/>
      <c r="B774" s="13"/>
      <c r="C774" s="13"/>
      <c r="D774" s="14"/>
      <c r="E774" s="51"/>
    </row>
    <row r="775">
      <c r="A775" s="13"/>
      <c r="B775" s="13"/>
      <c r="C775" s="13"/>
      <c r="D775" s="14"/>
      <c r="E775" s="51"/>
    </row>
    <row r="776">
      <c r="A776" s="13"/>
      <c r="B776" s="13"/>
      <c r="C776" s="13"/>
      <c r="D776" s="14"/>
      <c r="E776" s="51"/>
    </row>
    <row r="777">
      <c r="A777" s="13"/>
      <c r="B777" s="13"/>
      <c r="C777" s="13"/>
      <c r="D777" s="14"/>
      <c r="E777" s="51"/>
    </row>
    <row r="778">
      <c r="A778" s="13"/>
      <c r="B778" s="13"/>
      <c r="C778" s="13"/>
      <c r="D778" s="14"/>
      <c r="E778" s="51"/>
    </row>
    <row r="779">
      <c r="A779" s="13"/>
      <c r="B779" s="13"/>
      <c r="C779" s="13"/>
      <c r="D779" s="14"/>
      <c r="E779" s="51"/>
    </row>
    <row r="780">
      <c r="A780" s="13"/>
      <c r="B780" s="13"/>
      <c r="C780" s="13"/>
      <c r="D780" s="14"/>
      <c r="E780" s="51"/>
    </row>
    <row r="781">
      <c r="A781" s="13"/>
      <c r="B781" s="13"/>
      <c r="C781" s="13"/>
      <c r="D781" s="14"/>
      <c r="E781" s="51"/>
    </row>
    <row r="782">
      <c r="A782" s="13"/>
      <c r="B782" s="13"/>
      <c r="C782" s="13"/>
      <c r="D782" s="14"/>
      <c r="E782" s="51"/>
    </row>
    <row r="783">
      <c r="A783" s="13"/>
      <c r="B783" s="13"/>
      <c r="C783" s="13"/>
      <c r="D783" s="14"/>
      <c r="E783" s="51"/>
    </row>
    <row r="784">
      <c r="A784" s="13"/>
      <c r="B784" s="13"/>
      <c r="C784" s="13"/>
      <c r="D784" s="14"/>
      <c r="E784" s="51"/>
    </row>
    <row r="785">
      <c r="A785" s="13"/>
      <c r="B785" s="13"/>
      <c r="C785" s="13"/>
      <c r="D785" s="14"/>
      <c r="E785" s="51"/>
    </row>
    <row r="786">
      <c r="A786" s="13"/>
      <c r="B786" s="13"/>
      <c r="C786" s="13"/>
      <c r="D786" s="14"/>
      <c r="E786" s="51"/>
    </row>
    <row r="787">
      <c r="A787" s="13"/>
      <c r="B787" s="13"/>
      <c r="C787" s="13"/>
      <c r="D787" s="14"/>
      <c r="E787" s="51"/>
    </row>
    <row r="788">
      <c r="A788" s="13"/>
      <c r="B788" s="13"/>
      <c r="C788" s="13"/>
      <c r="D788" s="14"/>
      <c r="E788" s="51"/>
    </row>
    <row r="789">
      <c r="A789" s="13"/>
      <c r="B789" s="13"/>
      <c r="C789" s="13"/>
      <c r="D789" s="14"/>
      <c r="E789" s="51"/>
    </row>
    <row r="790">
      <c r="A790" s="13"/>
      <c r="B790" s="13"/>
      <c r="C790" s="13"/>
      <c r="D790" s="14"/>
      <c r="E790" s="51"/>
    </row>
    <row r="791">
      <c r="A791" s="13"/>
      <c r="B791" s="13"/>
      <c r="C791" s="13"/>
      <c r="D791" s="14"/>
      <c r="E791" s="51"/>
    </row>
    <row r="792">
      <c r="A792" s="13"/>
      <c r="B792" s="13"/>
      <c r="C792" s="13"/>
      <c r="D792" s="14"/>
      <c r="E792" s="51"/>
    </row>
    <row r="793">
      <c r="A793" s="13"/>
      <c r="B793" s="13"/>
      <c r="C793" s="13"/>
      <c r="D793" s="14"/>
      <c r="E793" s="51"/>
    </row>
    <row r="794">
      <c r="A794" s="13"/>
      <c r="B794" s="13"/>
      <c r="C794" s="13"/>
      <c r="D794" s="14"/>
      <c r="E794" s="51"/>
    </row>
    <row r="795">
      <c r="A795" s="13"/>
      <c r="B795" s="13"/>
      <c r="C795" s="13"/>
      <c r="D795" s="14"/>
      <c r="E795" s="51"/>
    </row>
    <row r="796">
      <c r="A796" s="13"/>
      <c r="B796" s="13"/>
      <c r="C796" s="13"/>
      <c r="D796" s="14"/>
      <c r="E796" s="51"/>
    </row>
    <row r="797">
      <c r="A797" s="13"/>
      <c r="B797" s="13"/>
      <c r="C797" s="13"/>
      <c r="D797" s="14"/>
      <c r="E797" s="51"/>
    </row>
    <row r="798">
      <c r="A798" s="13"/>
      <c r="B798" s="13"/>
      <c r="C798" s="13"/>
      <c r="D798" s="14"/>
      <c r="E798" s="51"/>
    </row>
    <row r="799">
      <c r="A799" s="13"/>
      <c r="B799" s="13"/>
      <c r="C799" s="13"/>
      <c r="D799" s="14"/>
      <c r="E799" s="51"/>
    </row>
    <row r="800">
      <c r="A800" s="13"/>
      <c r="B800" s="13"/>
      <c r="C800" s="13"/>
      <c r="D800" s="14"/>
      <c r="E800" s="51"/>
    </row>
    <row r="801">
      <c r="A801" s="13"/>
      <c r="B801" s="13"/>
      <c r="C801" s="13"/>
      <c r="D801" s="14"/>
      <c r="E801" s="51"/>
    </row>
    <row r="802">
      <c r="A802" s="13"/>
      <c r="B802" s="13"/>
      <c r="C802" s="13"/>
      <c r="D802" s="14"/>
      <c r="E802" s="51"/>
    </row>
    <row r="803">
      <c r="A803" s="13"/>
      <c r="B803" s="13"/>
      <c r="C803" s="13"/>
      <c r="D803" s="14"/>
      <c r="E803" s="51"/>
    </row>
    <row r="804">
      <c r="A804" s="13"/>
      <c r="B804" s="13"/>
      <c r="C804" s="13"/>
      <c r="D804" s="14"/>
      <c r="E804" s="51"/>
    </row>
    <row r="805">
      <c r="A805" s="13"/>
      <c r="B805" s="13"/>
      <c r="C805" s="13"/>
      <c r="D805" s="14"/>
      <c r="E805" s="51"/>
    </row>
    <row r="806">
      <c r="A806" s="13"/>
      <c r="B806" s="13"/>
      <c r="C806" s="13"/>
      <c r="D806" s="14"/>
      <c r="E806" s="51"/>
    </row>
    <row r="807">
      <c r="A807" s="13"/>
      <c r="B807" s="13"/>
      <c r="C807" s="13"/>
      <c r="D807" s="14"/>
      <c r="E807" s="51"/>
    </row>
    <row r="808">
      <c r="A808" s="13"/>
      <c r="B808" s="13"/>
      <c r="C808" s="13"/>
      <c r="D808" s="14"/>
      <c r="E808" s="51"/>
    </row>
    <row r="809">
      <c r="A809" s="13"/>
      <c r="B809" s="13"/>
      <c r="C809" s="13"/>
      <c r="D809" s="14"/>
      <c r="E809" s="51"/>
    </row>
    <row r="810">
      <c r="A810" s="13"/>
      <c r="B810" s="13"/>
      <c r="C810" s="13"/>
      <c r="D810" s="14"/>
      <c r="E810" s="51"/>
    </row>
    <row r="811">
      <c r="A811" s="13"/>
      <c r="B811" s="13"/>
      <c r="C811" s="13"/>
      <c r="D811" s="14"/>
      <c r="E811" s="51"/>
    </row>
    <row r="812">
      <c r="A812" s="13"/>
      <c r="B812" s="13"/>
      <c r="C812" s="13"/>
      <c r="D812" s="14"/>
      <c r="E812" s="51"/>
    </row>
    <row r="813">
      <c r="A813" s="13"/>
      <c r="B813" s="13"/>
      <c r="C813" s="13"/>
      <c r="D813" s="14"/>
      <c r="E813" s="51"/>
    </row>
    <row r="814">
      <c r="A814" s="13"/>
      <c r="B814" s="13"/>
      <c r="C814" s="13"/>
      <c r="D814" s="14"/>
      <c r="E814" s="51"/>
    </row>
    <row r="815">
      <c r="A815" s="13"/>
      <c r="B815" s="13"/>
      <c r="C815" s="13"/>
      <c r="D815" s="14"/>
      <c r="E815" s="51"/>
    </row>
    <row r="816">
      <c r="A816" s="13"/>
      <c r="B816" s="13"/>
      <c r="C816" s="13"/>
      <c r="D816" s="14"/>
      <c r="E816" s="51"/>
    </row>
    <row r="817">
      <c r="A817" s="13"/>
      <c r="B817" s="13"/>
      <c r="C817" s="13"/>
      <c r="D817" s="14"/>
      <c r="E817" s="51"/>
    </row>
    <row r="818">
      <c r="A818" s="13"/>
      <c r="B818" s="13"/>
      <c r="C818" s="13"/>
      <c r="D818" s="14"/>
      <c r="E818" s="51"/>
    </row>
    <row r="819">
      <c r="A819" s="13"/>
      <c r="B819" s="13"/>
      <c r="C819" s="13"/>
      <c r="D819" s="14"/>
      <c r="E819" s="51"/>
    </row>
    <row r="820">
      <c r="A820" s="13"/>
      <c r="B820" s="13"/>
      <c r="C820" s="13"/>
      <c r="D820" s="14"/>
      <c r="E820" s="51"/>
    </row>
    <row r="821">
      <c r="A821" s="13"/>
      <c r="B821" s="13"/>
      <c r="C821" s="13"/>
      <c r="D821" s="14"/>
      <c r="E821" s="51"/>
    </row>
    <row r="822">
      <c r="A822" s="13"/>
      <c r="B822" s="13"/>
      <c r="C822" s="13"/>
      <c r="D822" s="14"/>
      <c r="E822" s="51"/>
    </row>
    <row r="823">
      <c r="A823" s="13"/>
      <c r="B823" s="13"/>
      <c r="C823" s="13"/>
      <c r="D823" s="14"/>
      <c r="E823" s="51"/>
    </row>
    <row r="824">
      <c r="A824" s="13"/>
      <c r="B824" s="13"/>
      <c r="C824" s="13"/>
      <c r="D824" s="14"/>
      <c r="E824" s="51"/>
    </row>
    <row r="825">
      <c r="A825" s="13"/>
      <c r="B825" s="13"/>
      <c r="C825" s="13"/>
      <c r="D825" s="14"/>
      <c r="E825" s="51"/>
    </row>
    <row r="826">
      <c r="A826" s="13"/>
      <c r="B826" s="13"/>
      <c r="C826" s="13"/>
      <c r="D826" s="14"/>
      <c r="E826" s="51"/>
    </row>
    <row r="827">
      <c r="A827" s="13"/>
      <c r="B827" s="13"/>
      <c r="C827" s="13"/>
      <c r="D827" s="14"/>
      <c r="E827" s="51"/>
    </row>
    <row r="828">
      <c r="A828" s="13"/>
      <c r="B828" s="13"/>
      <c r="C828" s="13"/>
      <c r="D828" s="14"/>
      <c r="E828" s="51"/>
    </row>
    <row r="829">
      <c r="A829" s="13"/>
      <c r="B829" s="13"/>
      <c r="C829" s="13"/>
      <c r="D829" s="14"/>
      <c r="E829" s="51"/>
    </row>
    <row r="830">
      <c r="A830" s="13"/>
      <c r="B830" s="13"/>
      <c r="C830" s="13"/>
      <c r="D830" s="14"/>
      <c r="E830" s="51"/>
    </row>
    <row r="831">
      <c r="A831" s="13"/>
      <c r="B831" s="13"/>
      <c r="C831" s="13"/>
      <c r="D831" s="14"/>
      <c r="E831" s="51"/>
    </row>
    <row r="832">
      <c r="A832" s="13"/>
      <c r="B832" s="13"/>
      <c r="C832" s="13"/>
      <c r="D832" s="14"/>
      <c r="E832" s="51"/>
    </row>
    <row r="833">
      <c r="A833" s="13"/>
      <c r="B833" s="13"/>
      <c r="C833" s="13"/>
      <c r="D833" s="14"/>
      <c r="E833" s="51"/>
    </row>
    <row r="834">
      <c r="A834" s="13"/>
      <c r="B834" s="13"/>
      <c r="C834" s="13"/>
      <c r="D834" s="14"/>
      <c r="E834" s="51"/>
    </row>
    <row r="835">
      <c r="A835" s="13"/>
      <c r="B835" s="13"/>
      <c r="C835" s="13"/>
      <c r="D835" s="14"/>
      <c r="E835" s="51"/>
    </row>
    <row r="836">
      <c r="A836" s="13"/>
      <c r="B836" s="13"/>
      <c r="C836" s="13"/>
      <c r="D836" s="14"/>
      <c r="E836" s="51"/>
    </row>
    <row r="837">
      <c r="A837" s="13"/>
      <c r="B837" s="13"/>
      <c r="C837" s="13"/>
      <c r="D837" s="14"/>
      <c r="E837" s="51"/>
    </row>
    <row r="838">
      <c r="A838" s="13"/>
      <c r="B838" s="13"/>
      <c r="C838" s="13"/>
      <c r="D838" s="14"/>
      <c r="E838" s="51"/>
    </row>
    <row r="839">
      <c r="A839" s="13"/>
      <c r="B839" s="13"/>
      <c r="C839" s="13"/>
      <c r="D839" s="14"/>
      <c r="E839" s="51"/>
    </row>
    <row r="840">
      <c r="A840" s="13"/>
      <c r="B840" s="13"/>
      <c r="C840" s="13"/>
      <c r="D840" s="14"/>
      <c r="E840" s="51"/>
    </row>
    <row r="841">
      <c r="A841" s="13"/>
      <c r="B841" s="13"/>
      <c r="C841" s="13"/>
      <c r="D841" s="14"/>
      <c r="E841" s="51"/>
    </row>
    <row r="842">
      <c r="A842" s="13"/>
      <c r="B842" s="13"/>
      <c r="C842" s="13"/>
      <c r="D842" s="14"/>
      <c r="E842" s="51"/>
    </row>
    <row r="843">
      <c r="A843" s="13"/>
      <c r="B843" s="13"/>
      <c r="C843" s="13"/>
      <c r="D843" s="14"/>
      <c r="E843" s="51"/>
    </row>
    <row r="844">
      <c r="A844" s="13"/>
      <c r="B844" s="13"/>
      <c r="C844" s="13"/>
      <c r="D844" s="14"/>
      <c r="E844" s="51"/>
    </row>
    <row r="845">
      <c r="A845" s="13"/>
      <c r="B845" s="13"/>
      <c r="C845" s="13"/>
      <c r="D845" s="14"/>
      <c r="E845" s="51"/>
    </row>
    <row r="846">
      <c r="A846" s="13"/>
      <c r="B846" s="13"/>
      <c r="C846" s="13"/>
      <c r="D846" s="14"/>
      <c r="E846" s="51"/>
    </row>
    <row r="847">
      <c r="A847" s="13"/>
      <c r="B847" s="13"/>
      <c r="C847" s="13"/>
      <c r="D847" s="14"/>
      <c r="E847" s="51"/>
    </row>
    <row r="848">
      <c r="A848" s="13"/>
      <c r="B848" s="13"/>
      <c r="C848" s="13"/>
      <c r="D848" s="14"/>
      <c r="E848" s="51"/>
    </row>
    <row r="849">
      <c r="A849" s="13"/>
      <c r="B849" s="13"/>
      <c r="C849" s="13"/>
      <c r="D849" s="14"/>
      <c r="E849" s="51"/>
    </row>
    <row r="850">
      <c r="A850" s="13"/>
      <c r="B850" s="13"/>
      <c r="C850" s="13"/>
      <c r="D850" s="14"/>
      <c r="E850" s="51"/>
    </row>
    <row r="851">
      <c r="A851" s="13"/>
      <c r="B851" s="13"/>
      <c r="C851" s="13"/>
      <c r="D851" s="14"/>
      <c r="E851" s="51"/>
    </row>
    <row r="852">
      <c r="A852" s="13"/>
      <c r="B852" s="13"/>
      <c r="C852" s="13"/>
      <c r="D852" s="14"/>
      <c r="E852" s="51"/>
    </row>
    <row r="853">
      <c r="A853" s="13"/>
      <c r="B853" s="13"/>
      <c r="C853" s="13"/>
      <c r="D853" s="14"/>
      <c r="E853" s="51"/>
    </row>
    <row r="854">
      <c r="A854" s="13"/>
      <c r="B854" s="13"/>
      <c r="C854" s="13"/>
      <c r="D854" s="14"/>
      <c r="E854" s="51"/>
    </row>
    <row r="855">
      <c r="A855" s="13"/>
      <c r="B855" s="13"/>
      <c r="C855" s="13"/>
      <c r="D855" s="14"/>
      <c r="E855" s="51"/>
    </row>
    <row r="856">
      <c r="A856" s="13"/>
      <c r="B856" s="13"/>
      <c r="C856" s="13"/>
      <c r="D856" s="14"/>
      <c r="E856" s="51"/>
    </row>
    <row r="857">
      <c r="A857" s="13"/>
      <c r="B857" s="13"/>
      <c r="C857" s="13"/>
      <c r="D857" s="14"/>
      <c r="E857" s="51"/>
    </row>
    <row r="858">
      <c r="A858" s="13"/>
      <c r="B858" s="13"/>
      <c r="C858" s="13"/>
      <c r="D858" s="14"/>
      <c r="E858" s="51"/>
    </row>
    <row r="859">
      <c r="A859" s="13"/>
      <c r="B859" s="13"/>
      <c r="C859" s="13"/>
      <c r="D859" s="14"/>
      <c r="E859" s="51"/>
    </row>
    <row r="860">
      <c r="A860" s="13"/>
      <c r="B860" s="13"/>
      <c r="C860" s="13"/>
      <c r="D860" s="14"/>
      <c r="E860" s="51"/>
    </row>
    <row r="861">
      <c r="A861" s="13"/>
      <c r="B861" s="13"/>
      <c r="C861" s="13"/>
      <c r="D861" s="14"/>
      <c r="E861" s="51"/>
    </row>
    <row r="862">
      <c r="A862" s="13"/>
      <c r="B862" s="13"/>
      <c r="C862" s="13"/>
      <c r="D862" s="14"/>
      <c r="E862" s="51"/>
    </row>
    <row r="863">
      <c r="A863" s="13"/>
      <c r="B863" s="13"/>
      <c r="C863" s="13"/>
      <c r="D863" s="14"/>
      <c r="E863" s="51"/>
    </row>
    <row r="864">
      <c r="A864" s="13"/>
      <c r="B864" s="13"/>
      <c r="C864" s="13"/>
      <c r="D864" s="14"/>
      <c r="E864" s="51"/>
    </row>
    <row r="865">
      <c r="A865" s="13"/>
      <c r="B865" s="13"/>
      <c r="C865" s="13"/>
      <c r="D865" s="14"/>
      <c r="E865" s="51"/>
    </row>
    <row r="866">
      <c r="A866" s="13"/>
      <c r="B866" s="13"/>
      <c r="C866" s="13"/>
      <c r="D866" s="14"/>
      <c r="E866" s="51"/>
    </row>
    <row r="867">
      <c r="A867" s="13"/>
      <c r="B867" s="13"/>
      <c r="C867" s="13"/>
      <c r="D867" s="14"/>
      <c r="E867" s="51"/>
    </row>
    <row r="868">
      <c r="A868" s="13"/>
      <c r="B868" s="13"/>
      <c r="C868" s="13"/>
      <c r="D868" s="14"/>
      <c r="E868" s="51"/>
    </row>
    <row r="869">
      <c r="A869" s="13"/>
      <c r="B869" s="13"/>
      <c r="C869" s="13"/>
      <c r="D869" s="14"/>
      <c r="E869" s="51"/>
    </row>
    <row r="870">
      <c r="A870" s="13"/>
      <c r="B870" s="13"/>
      <c r="C870" s="13"/>
      <c r="D870" s="14"/>
      <c r="E870" s="51"/>
    </row>
    <row r="871">
      <c r="A871" s="13"/>
      <c r="B871" s="13"/>
      <c r="C871" s="13"/>
      <c r="D871" s="14"/>
      <c r="E871" s="51"/>
    </row>
    <row r="872">
      <c r="A872" s="13"/>
      <c r="B872" s="13"/>
      <c r="C872" s="13"/>
      <c r="D872" s="14"/>
      <c r="E872" s="51"/>
    </row>
    <row r="873">
      <c r="A873" s="13"/>
      <c r="B873" s="13"/>
      <c r="C873" s="13"/>
      <c r="D873" s="14"/>
      <c r="E873" s="51"/>
    </row>
    <row r="874">
      <c r="A874" s="13"/>
      <c r="B874" s="13"/>
      <c r="C874" s="13"/>
      <c r="D874" s="14"/>
      <c r="E874" s="51"/>
    </row>
    <row r="875">
      <c r="A875" s="13"/>
      <c r="B875" s="13"/>
      <c r="C875" s="13"/>
      <c r="D875" s="14"/>
      <c r="E875" s="51"/>
    </row>
    <row r="876">
      <c r="A876" s="13"/>
      <c r="B876" s="13"/>
      <c r="C876" s="13"/>
      <c r="D876" s="14"/>
      <c r="E876" s="51"/>
    </row>
    <row r="877">
      <c r="A877" s="13"/>
      <c r="B877" s="13"/>
      <c r="C877" s="13"/>
      <c r="D877" s="14"/>
      <c r="E877" s="51"/>
    </row>
    <row r="878">
      <c r="A878" s="13"/>
      <c r="B878" s="13"/>
      <c r="C878" s="13"/>
      <c r="D878" s="14"/>
      <c r="E878" s="51"/>
    </row>
    <row r="879">
      <c r="A879" s="13"/>
      <c r="B879" s="13"/>
      <c r="C879" s="13"/>
      <c r="D879" s="14"/>
      <c r="E879" s="51"/>
    </row>
    <row r="880">
      <c r="A880" s="13"/>
      <c r="B880" s="13"/>
      <c r="C880" s="13"/>
      <c r="D880" s="14"/>
      <c r="E880" s="51"/>
    </row>
    <row r="881">
      <c r="A881" s="13"/>
      <c r="B881" s="13"/>
      <c r="C881" s="13"/>
      <c r="D881" s="14"/>
      <c r="E881" s="51"/>
    </row>
    <row r="882">
      <c r="A882" s="13"/>
      <c r="B882" s="13"/>
      <c r="C882" s="13"/>
      <c r="D882" s="14"/>
      <c r="E882" s="51"/>
    </row>
    <row r="883">
      <c r="A883" s="13"/>
      <c r="B883" s="13"/>
      <c r="C883" s="13"/>
      <c r="D883" s="14"/>
      <c r="E883" s="51"/>
    </row>
    <row r="884">
      <c r="A884" s="13"/>
      <c r="B884" s="13"/>
      <c r="C884" s="13"/>
      <c r="D884" s="14"/>
      <c r="E884" s="51"/>
    </row>
    <row r="885">
      <c r="A885" s="13"/>
      <c r="B885" s="13"/>
      <c r="C885" s="13"/>
      <c r="D885" s="14"/>
      <c r="E885" s="51"/>
    </row>
    <row r="886">
      <c r="A886" s="13"/>
      <c r="B886" s="13"/>
      <c r="C886" s="13"/>
      <c r="D886" s="14"/>
      <c r="E886" s="51"/>
    </row>
    <row r="887">
      <c r="A887" s="13"/>
      <c r="B887" s="13"/>
      <c r="C887" s="13"/>
      <c r="D887" s="14"/>
      <c r="E887" s="51"/>
    </row>
    <row r="888">
      <c r="A888" s="13"/>
      <c r="B888" s="13"/>
      <c r="C888" s="13"/>
      <c r="D888" s="14"/>
      <c r="E888" s="51"/>
    </row>
    <row r="889">
      <c r="A889" s="13"/>
      <c r="B889" s="13"/>
      <c r="C889" s="13"/>
      <c r="D889" s="14"/>
      <c r="E889" s="51"/>
    </row>
    <row r="890">
      <c r="A890" s="13"/>
      <c r="B890" s="13"/>
      <c r="C890" s="13"/>
      <c r="D890" s="14"/>
      <c r="E890" s="51"/>
    </row>
    <row r="891">
      <c r="A891" s="13"/>
      <c r="B891" s="13"/>
      <c r="C891" s="13"/>
      <c r="D891" s="14"/>
      <c r="E891" s="51"/>
    </row>
    <row r="892">
      <c r="A892" s="13"/>
      <c r="B892" s="13"/>
      <c r="C892" s="13"/>
      <c r="D892" s="14"/>
      <c r="E892" s="51"/>
    </row>
    <row r="893">
      <c r="A893" s="13"/>
      <c r="B893" s="13"/>
      <c r="C893" s="13"/>
      <c r="D893" s="14"/>
      <c r="E893" s="51"/>
    </row>
    <row r="894">
      <c r="A894" s="13"/>
      <c r="B894" s="13"/>
      <c r="C894" s="13"/>
      <c r="D894" s="14"/>
      <c r="E894" s="51"/>
    </row>
    <row r="895">
      <c r="A895" s="13"/>
      <c r="B895" s="13"/>
      <c r="C895" s="13"/>
      <c r="D895" s="14"/>
      <c r="E895" s="51"/>
    </row>
    <row r="896">
      <c r="A896" s="13"/>
      <c r="B896" s="13"/>
      <c r="C896" s="13"/>
      <c r="D896" s="14"/>
      <c r="E896" s="51"/>
    </row>
    <row r="897">
      <c r="A897" s="13"/>
      <c r="B897" s="13"/>
      <c r="C897" s="13"/>
      <c r="D897" s="14"/>
      <c r="E897" s="51"/>
    </row>
    <row r="898">
      <c r="A898" s="13"/>
      <c r="B898" s="13"/>
      <c r="C898" s="13"/>
      <c r="D898" s="14"/>
      <c r="E898" s="51"/>
    </row>
    <row r="899">
      <c r="A899" s="13"/>
      <c r="B899" s="13"/>
      <c r="C899" s="13"/>
      <c r="D899" s="14"/>
      <c r="E899" s="51"/>
    </row>
    <row r="900">
      <c r="A900" s="13"/>
      <c r="B900" s="13"/>
      <c r="C900" s="13"/>
      <c r="D900" s="14"/>
      <c r="E900" s="51"/>
    </row>
    <row r="901">
      <c r="A901" s="13"/>
      <c r="B901" s="13"/>
      <c r="C901" s="13"/>
      <c r="D901" s="14"/>
      <c r="E901" s="51"/>
    </row>
    <row r="902">
      <c r="A902" s="13"/>
      <c r="B902" s="13"/>
      <c r="C902" s="13"/>
      <c r="D902" s="14"/>
      <c r="E902" s="51"/>
    </row>
    <row r="903">
      <c r="A903" s="13"/>
      <c r="B903" s="13"/>
      <c r="C903" s="13"/>
      <c r="D903" s="14"/>
      <c r="E903" s="51"/>
    </row>
    <row r="904">
      <c r="A904" s="13"/>
      <c r="B904" s="13"/>
      <c r="C904" s="13"/>
      <c r="D904" s="14"/>
      <c r="E904" s="51"/>
    </row>
    <row r="905">
      <c r="A905" s="13"/>
      <c r="B905" s="13"/>
      <c r="C905" s="13"/>
      <c r="D905" s="14"/>
      <c r="E905" s="51"/>
    </row>
    <row r="906">
      <c r="A906" s="13"/>
      <c r="B906" s="13"/>
      <c r="C906" s="13"/>
      <c r="D906" s="14"/>
      <c r="E906" s="51"/>
    </row>
    <row r="907">
      <c r="A907" s="13"/>
      <c r="B907" s="13"/>
      <c r="C907" s="13"/>
      <c r="D907" s="14"/>
      <c r="E907" s="51"/>
    </row>
    <row r="908">
      <c r="A908" s="13"/>
      <c r="B908" s="13"/>
      <c r="C908" s="13"/>
      <c r="D908" s="14"/>
      <c r="E908" s="51"/>
    </row>
    <row r="909">
      <c r="A909" s="13"/>
      <c r="B909" s="13"/>
      <c r="C909" s="13"/>
      <c r="D909" s="14"/>
      <c r="E909" s="51"/>
    </row>
    <row r="910">
      <c r="A910" s="13"/>
      <c r="B910" s="13"/>
      <c r="C910" s="13"/>
      <c r="D910" s="14"/>
      <c r="E910" s="51"/>
    </row>
    <row r="911">
      <c r="A911" s="13"/>
      <c r="B911" s="13"/>
      <c r="C911" s="13"/>
      <c r="D911" s="14"/>
      <c r="E911" s="51"/>
    </row>
    <row r="912">
      <c r="A912" s="13"/>
      <c r="B912" s="13"/>
      <c r="C912" s="13"/>
      <c r="D912" s="14"/>
      <c r="E912" s="51"/>
    </row>
    <row r="913">
      <c r="A913" s="13"/>
      <c r="B913" s="13"/>
      <c r="C913" s="13"/>
      <c r="D913" s="14"/>
      <c r="E913" s="51"/>
    </row>
    <row r="914">
      <c r="A914" s="13"/>
      <c r="B914" s="13"/>
      <c r="C914" s="13"/>
      <c r="D914" s="14"/>
      <c r="E914" s="51"/>
    </row>
    <row r="915">
      <c r="A915" s="13"/>
      <c r="B915" s="13"/>
      <c r="C915" s="13"/>
      <c r="D915" s="14"/>
      <c r="E915" s="51"/>
    </row>
    <row r="916">
      <c r="A916" s="13"/>
      <c r="B916" s="13"/>
      <c r="C916" s="13"/>
      <c r="D916" s="14"/>
      <c r="E916" s="51"/>
    </row>
    <row r="917">
      <c r="A917" s="13"/>
      <c r="B917" s="13"/>
      <c r="C917" s="13"/>
      <c r="D917" s="14"/>
      <c r="E917" s="51"/>
    </row>
    <row r="918">
      <c r="A918" s="13"/>
      <c r="B918" s="13"/>
      <c r="C918" s="13"/>
      <c r="D918" s="14"/>
      <c r="E918" s="51"/>
    </row>
    <row r="919">
      <c r="A919" s="13"/>
      <c r="B919" s="13"/>
      <c r="C919" s="13"/>
      <c r="D919" s="14"/>
      <c r="E919" s="51"/>
    </row>
    <row r="920">
      <c r="A920" s="13"/>
      <c r="B920" s="13"/>
      <c r="C920" s="13"/>
      <c r="D920" s="14"/>
      <c r="E920" s="51"/>
    </row>
    <row r="921">
      <c r="A921" s="13"/>
      <c r="B921" s="13"/>
      <c r="C921" s="13"/>
      <c r="D921" s="14"/>
      <c r="E921" s="51"/>
    </row>
    <row r="922">
      <c r="A922" s="13"/>
      <c r="B922" s="13"/>
      <c r="C922" s="13"/>
      <c r="D922" s="14"/>
      <c r="E922" s="51"/>
    </row>
    <row r="923">
      <c r="A923" s="13"/>
      <c r="B923" s="13"/>
      <c r="C923" s="13"/>
      <c r="D923" s="14"/>
      <c r="E923" s="51"/>
    </row>
    <row r="924">
      <c r="A924" s="13"/>
      <c r="B924" s="13"/>
      <c r="C924" s="13"/>
      <c r="D924" s="14"/>
      <c r="E924" s="51"/>
    </row>
    <row r="925">
      <c r="A925" s="13"/>
      <c r="B925" s="13"/>
      <c r="C925" s="13"/>
      <c r="D925" s="14"/>
      <c r="E925" s="51"/>
    </row>
    <row r="926">
      <c r="A926" s="13"/>
      <c r="B926" s="13"/>
      <c r="C926" s="13"/>
      <c r="D926" s="14"/>
      <c r="E926" s="51"/>
    </row>
    <row r="927">
      <c r="A927" s="13"/>
      <c r="B927" s="13"/>
      <c r="C927" s="13"/>
      <c r="D927" s="14"/>
      <c r="E927" s="51"/>
    </row>
    <row r="928">
      <c r="A928" s="13"/>
      <c r="B928" s="13"/>
      <c r="C928" s="13"/>
      <c r="D928" s="14"/>
      <c r="E928" s="51"/>
    </row>
    <row r="929">
      <c r="A929" s="13"/>
      <c r="B929" s="13"/>
      <c r="C929" s="13"/>
      <c r="D929" s="14"/>
      <c r="E929" s="51"/>
    </row>
    <row r="930">
      <c r="A930" s="13"/>
      <c r="B930" s="13"/>
      <c r="C930" s="13"/>
      <c r="D930" s="14"/>
      <c r="E930" s="51"/>
    </row>
    <row r="931">
      <c r="A931" s="13"/>
      <c r="B931" s="13"/>
      <c r="C931" s="13"/>
      <c r="D931" s="14"/>
      <c r="E931" s="51"/>
    </row>
    <row r="932">
      <c r="A932" s="13"/>
      <c r="B932" s="13"/>
      <c r="C932" s="13"/>
      <c r="D932" s="14"/>
      <c r="E932" s="51"/>
    </row>
    <row r="933">
      <c r="A933" s="13"/>
      <c r="B933" s="13"/>
      <c r="C933" s="13"/>
      <c r="D933" s="14"/>
      <c r="E933" s="51"/>
    </row>
    <row r="934">
      <c r="A934" s="13"/>
      <c r="B934" s="13"/>
      <c r="C934" s="13"/>
      <c r="D934" s="14"/>
      <c r="E934" s="51"/>
    </row>
    <row r="935">
      <c r="A935" s="13"/>
      <c r="B935" s="13"/>
      <c r="C935" s="13"/>
      <c r="D935" s="14"/>
      <c r="E935" s="51"/>
    </row>
    <row r="936">
      <c r="A936" s="13"/>
      <c r="B936" s="13"/>
      <c r="C936" s="13"/>
      <c r="D936" s="14"/>
      <c r="E936" s="51"/>
    </row>
    <row r="937">
      <c r="A937" s="13"/>
      <c r="B937" s="13"/>
      <c r="C937" s="13"/>
      <c r="D937" s="14"/>
      <c r="E937" s="51"/>
    </row>
    <row r="938">
      <c r="A938" s="13"/>
      <c r="B938" s="13"/>
      <c r="C938" s="13"/>
      <c r="D938" s="14"/>
      <c r="E938" s="51"/>
    </row>
    <row r="939">
      <c r="A939" s="13"/>
      <c r="B939" s="13"/>
      <c r="C939" s="13"/>
      <c r="D939" s="14"/>
      <c r="E939" s="51"/>
    </row>
    <row r="940">
      <c r="A940" s="13"/>
      <c r="B940" s="13"/>
      <c r="C940" s="13"/>
      <c r="D940" s="14"/>
      <c r="E940" s="51"/>
    </row>
    <row r="941">
      <c r="A941" s="13"/>
      <c r="B941" s="13"/>
      <c r="C941" s="13"/>
      <c r="D941" s="14"/>
      <c r="E941" s="14"/>
    </row>
    <row r="942">
      <c r="A942" s="13"/>
      <c r="B942" s="13"/>
      <c r="C942" s="13"/>
      <c r="D942" s="14"/>
      <c r="E942" s="14"/>
    </row>
    <row r="943">
      <c r="A943" s="13"/>
      <c r="B943" s="13"/>
      <c r="C943" s="13"/>
      <c r="D943" s="14"/>
      <c r="E943" s="14"/>
    </row>
    <row r="944">
      <c r="A944" s="13"/>
      <c r="B944" s="13"/>
      <c r="C944" s="13"/>
      <c r="D944" s="14"/>
      <c r="E944" s="14"/>
    </row>
    <row r="945">
      <c r="A945" s="13"/>
      <c r="B945" s="13"/>
      <c r="C945" s="13"/>
      <c r="D945" s="14"/>
      <c r="E945" s="14"/>
    </row>
    <row r="946">
      <c r="A946" s="13"/>
      <c r="B946" s="13"/>
      <c r="C946" s="13"/>
      <c r="D946" s="14"/>
      <c r="E946" s="14"/>
    </row>
    <row r="947">
      <c r="A947" s="13"/>
      <c r="B947" s="13"/>
      <c r="C947" s="13"/>
      <c r="D947" s="14"/>
      <c r="E947" s="14"/>
    </row>
    <row r="948">
      <c r="A948" s="13"/>
      <c r="B948" s="13"/>
      <c r="C948" s="13"/>
      <c r="D948" s="14"/>
      <c r="E948" s="14"/>
    </row>
    <row r="949">
      <c r="A949" s="13"/>
      <c r="B949" s="13"/>
      <c r="C949" s="13"/>
      <c r="D949" s="14"/>
      <c r="E949" s="14"/>
    </row>
    <row r="950">
      <c r="A950" s="13"/>
      <c r="B950" s="13"/>
      <c r="C950" s="13"/>
      <c r="D950" s="14"/>
      <c r="E950" s="14"/>
    </row>
    <row r="951">
      <c r="A951" s="13"/>
      <c r="B951" s="13"/>
      <c r="C951" s="13"/>
      <c r="D951" s="14"/>
      <c r="E951" s="14"/>
    </row>
    <row r="952">
      <c r="A952" s="13"/>
      <c r="B952" s="13"/>
      <c r="C952" s="13"/>
      <c r="D952" s="14"/>
      <c r="E952" s="14"/>
    </row>
    <row r="953">
      <c r="A953" s="13"/>
      <c r="B953" s="13"/>
      <c r="C953" s="13"/>
      <c r="D953" s="14"/>
      <c r="E953" s="14"/>
    </row>
    <row r="954">
      <c r="A954" s="13"/>
      <c r="B954" s="13"/>
      <c r="C954" s="13"/>
      <c r="D954" s="14"/>
      <c r="E954" s="14"/>
    </row>
    <row r="955">
      <c r="A955" s="13"/>
      <c r="B955" s="13"/>
      <c r="C955" s="13"/>
      <c r="D955" s="14"/>
      <c r="E955" s="14"/>
    </row>
    <row r="956">
      <c r="A956" s="13"/>
      <c r="B956" s="13"/>
      <c r="C956" s="13"/>
      <c r="D956" s="14"/>
      <c r="E956" s="14"/>
    </row>
    <row r="957">
      <c r="A957" s="13"/>
      <c r="B957" s="13"/>
      <c r="C957" s="13"/>
      <c r="D957" s="14"/>
      <c r="E957" s="14"/>
    </row>
    <row r="958">
      <c r="A958" s="13"/>
      <c r="B958" s="13"/>
      <c r="C958" s="13"/>
      <c r="D958" s="14"/>
      <c r="E958" s="14"/>
    </row>
    <row r="959">
      <c r="A959" s="13"/>
      <c r="B959" s="13"/>
      <c r="C959" s="13"/>
      <c r="D959" s="14"/>
      <c r="E959" s="14"/>
    </row>
    <row r="960">
      <c r="A960" s="13"/>
      <c r="B960" s="13"/>
      <c r="C960" s="13"/>
      <c r="D960" s="14"/>
      <c r="E960" s="14"/>
    </row>
    <row r="961">
      <c r="A961" s="13"/>
      <c r="B961" s="13"/>
      <c r="C961" s="13"/>
      <c r="D961" s="14"/>
      <c r="E961" s="14"/>
    </row>
    <row r="962">
      <c r="A962" s="13"/>
      <c r="B962" s="13"/>
      <c r="C962" s="13"/>
      <c r="D962" s="14"/>
      <c r="E962" s="14"/>
    </row>
    <row r="963">
      <c r="A963" s="13"/>
      <c r="B963" s="13"/>
      <c r="C963" s="13"/>
      <c r="D963" s="14"/>
      <c r="E963" s="14"/>
    </row>
    <row r="964">
      <c r="A964" s="13"/>
      <c r="B964" s="13"/>
      <c r="C964" s="13"/>
      <c r="D964" s="14"/>
      <c r="E964" s="14"/>
    </row>
    <row r="965">
      <c r="A965" s="13"/>
      <c r="B965" s="13"/>
      <c r="C965" s="13"/>
      <c r="D965" s="14"/>
      <c r="E965" s="14"/>
    </row>
    <row r="966">
      <c r="A966" s="13"/>
      <c r="B966" s="13"/>
      <c r="C966" s="13"/>
      <c r="D966" s="14"/>
      <c r="E966" s="14"/>
    </row>
    <row r="967">
      <c r="A967" s="13"/>
      <c r="B967" s="13"/>
      <c r="C967" s="13"/>
      <c r="D967" s="14"/>
      <c r="E967" s="14"/>
    </row>
    <row r="968">
      <c r="A968" s="13"/>
      <c r="B968" s="13"/>
      <c r="C968" s="13"/>
      <c r="D968" s="14"/>
      <c r="E968" s="14"/>
    </row>
    <row r="969">
      <c r="A969" s="13"/>
      <c r="B969" s="13"/>
      <c r="C969" s="13"/>
      <c r="D969" s="14"/>
      <c r="E969" s="14"/>
    </row>
    <row r="970">
      <c r="A970" s="13"/>
      <c r="B970" s="13"/>
      <c r="C970" s="13"/>
      <c r="D970" s="14"/>
      <c r="E970" s="14"/>
    </row>
    <row r="971">
      <c r="A971" s="13"/>
      <c r="B971" s="13"/>
      <c r="C971" s="13"/>
      <c r="D971" s="14"/>
      <c r="E971" s="14"/>
    </row>
    <row r="972">
      <c r="A972" s="13"/>
      <c r="B972" s="13"/>
      <c r="C972" s="13"/>
      <c r="D972" s="14"/>
      <c r="E972" s="14"/>
    </row>
    <row r="973">
      <c r="A973" s="13"/>
      <c r="B973" s="13"/>
      <c r="C973" s="13"/>
      <c r="D973" s="14"/>
      <c r="E973" s="14"/>
    </row>
    <row r="974">
      <c r="A974" s="13"/>
      <c r="B974" s="13"/>
      <c r="C974" s="13"/>
      <c r="D974" s="14"/>
      <c r="E974" s="14"/>
    </row>
    <row r="975">
      <c r="A975" s="13"/>
      <c r="B975" s="13"/>
      <c r="C975" s="13"/>
      <c r="D975" s="14"/>
      <c r="E975" s="14"/>
    </row>
    <row r="976">
      <c r="A976" s="13"/>
      <c r="B976" s="13"/>
      <c r="C976" s="13"/>
      <c r="D976" s="14"/>
      <c r="E976" s="14"/>
    </row>
    <row r="977">
      <c r="A977" s="13"/>
      <c r="B977" s="13"/>
      <c r="C977" s="13"/>
      <c r="D977" s="14"/>
      <c r="E977" s="14"/>
    </row>
    <row r="978">
      <c r="A978" s="13"/>
      <c r="B978" s="13"/>
      <c r="C978" s="13"/>
      <c r="D978" s="14"/>
      <c r="E978" s="14"/>
    </row>
  </sheetData>
  <hyperlinks>
    <hyperlink r:id="rId1" ref="B22"/>
    <hyperlink r:id="rId2" ref="B23"/>
    <hyperlink r:id="rId3" ref="B24"/>
    <hyperlink r:id="rId4" ref="B25"/>
    <hyperlink r:id="rId5" ref="B26"/>
    <hyperlink r:id="rId6" ref="B27"/>
    <hyperlink r:id="rId7" ref="B28"/>
    <hyperlink r:id="rId8" ref="B29"/>
    <hyperlink r:id="rId9" ref="B30"/>
    <hyperlink r:id="rId10" ref="B31"/>
    <hyperlink r:id="rId11" ref="B32"/>
    <hyperlink r:id="rId12" ref="B33"/>
    <hyperlink r:id="rId13" ref="B34"/>
    <hyperlink r:id="rId14" ref="B35"/>
    <hyperlink r:id="rId15" ref="B36"/>
    <hyperlink r:id="rId16" ref="B37"/>
    <hyperlink r:id="rId17" ref="B38"/>
    <hyperlink r:id="rId18" ref="B39"/>
    <hyperlink r:id="rId19" ref="B40"/>
    <hyperlink r:id="rId20" ref="B41"/>
    <hyperlink r:id="rId21" ref="B42"/>
    <hyperlink r:id="rId22" ref="B43"/>
    <hyperlink r:id="rId23" ref="B44"/>
    <hyperlink r:id="rId24" ref="B45"/>
    <hyperlink r:id="rId25" ref="B46"/>
  </hyperlinks>
  <drawing r:id="rId26"/>
</worksheet>
</file>