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externalLinks/externalLink2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2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plas-03\Documents\Dropbox\Personal\Banco Mundial\Data\Data collection\"/>
    </mc:Choice>
  </mc:AlternateContent>
  <workbookProtection workbookPassword="C58B" lockStructure="1"/>
  <bookViews>
    <workbookView xWindow="0" yWindow="0" windowWidth="19200" windowHeight="6470" activeTab="1"/>
  </bookViews>
  <sheets>
    <sheet name="REPORT act" sheetId="12" r:id="rId1"/>
    <sheet name="COFOG " sheetId="1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xlnm.Print_Area" localSheetId="1">'COFOG '!$A$2:$AW$29</definedName>
    <definedName name="_xlnm.Print_Area" localSheetId="0">'REPORT act'!$A$64:$Y$89</definedName>
  </definedNames>
  <calcPr calcId="181029"/>
  <fileRecoveryPr autoRecover="0"/>
</workbook>
</file>

<file path=xl/calcChain.xml><?xml version="1.0" encoding="utf-8"?>
<calcChain xmlns="http://schemas.openxmlformats.org/spreadsheetml/2006/main">
  <c r="AW28" i="14" l="1"/>
  <c r="AV29" i="14"/>
  <c r="AT29" i="14"/>
  <c r="E10" i="14"/>
  <c r="I10" i="14"/>
  <c r="L10" i="14"/>
  <c r="L29" i="14"/>
  <c r="N10" i="14"/>
  <c r="O10" i="14"/>
  <c r="P10" i="14"/>
  <c r="R10" i="14"/>
  <c r="S10" i="14"/>
  <c r="T10" i="14"/>
  <c r="V10" i="14"/>
  <c r="W10" i="14"/>
  <c r="X10" i="14"/>
  <c r="X29" i="14"/>
  <c r="Z10" i="14"/>
  <c r="AB10" i="14"/>
  <c r="AD10" i="14"/>
  <c r="AE10" i="14"/>
  <c r="AF10" i="14"/>
  <c r="AH10" i="14"/>
  <c r="AI10" i="14"/>
  <c r="AI29" i="14"/>
  <c r="AJ10" i="14"/>
  <c r="E11" i="14"/>
  <c r="I11" i="14"/>
  <c r="M11" i="14"/>
  <c r="Q11" i="14"/>
  <c r="U11" i="14"/>
  <c r="Y11" i="14"/>
  <c r="AC11" i="14"/>
  <c r="AG11" i="14"/>
  <c r="AK11" i="14"/>
  <c r="E12" i="14"/>
  <c r="I12" i="14"/>
  <c r="L12" i="14"/>
  <c r="N12" i="14"/>
  <c r="O12" i="14"/>
  <c r="P12" i="14"/>
  <c r="R12" i="14"/>
  <c r="S12" i="14"/>
  <c r="T12" i="14"/>
  <c r="V12" i="14"/>
  <c r="W12" i="14"/>
  <c r="Z12" i="14"/>
  <c r="AB12" i="14"/>
  <c r="AD12" i="14"/>
  <c r="AE12" i="14"/>
  <c r="AF12" i="14"/>
  <c r="AH12" i="14"/>
  <c r="AI12" i="14"/>
  <c r="AJ12" i="14"/>
  <c r="E13" i="14"/>
  <c r="I13" i="14"/>
  <c r="M13" i="14"/>
  <c r="Q13" i="14"/>
  <c r="U13" i="14"/>
  <c r="Y13" i="14"/>
  <c r="AC13" i="14"/>
  <c r="AG13" i="14"/>
  <c r="AK13" i="14"/>
  <c r="E14" i="14"/>
  <c r="I14" i="14"/>
  <c r="M14" i="14"/>
  <c r="L14" i="14"/>
  <c r="N14" i="14"/>
  <c r="O14" i="14"/>
  <c r="P14" i="14"/>
  <c r="R14" i="14"/>
  <c r="S14" i="14"/>
  <c r="T14" i="14"/>
  <c r="V14" i="14"/>
  <c r="W14" i="14"/>
  <c r="Z14" i="14"/>
  <c r="AB14" i="14"/>
  <c r="AD14" i="14"/>
  <c r="AE14" i="14"/>
  <c r="AF14" i="14"/>
  <c r="AH14" i="14"/>
  <c r="AI14" i="14"/>
  <c r="AJ14" i="14"/>
  <c r="E15" i="14"/>
  <c r="I15" i="14"/>
  <c r="M15" i="14"/>
  <c r="Q15" i="14"/>
  <c r="U15" i="14"/>
  <c r="AK15" i="14"/>
  <c r="E16" i="14"/>
  <c r="I16" i="14"/>
  <c r="L16" i="14"/>
  <c r="M16" i="14"/>
  <c r="N16" i="14"/>
  <c r="O16" i="14"/>
  <c r="P16" i="14"/>
  <c r="R16" i="14"/>
  <c r="S16" i="14"/>
  <c r="V16" i="14"/>
  <c r="W16" i="14"/>
  <c r="Z16" i="14"/>
  <c r="AD16" i="14"/>
  <c r="AE16" i="14"/>
  <c r="AE29" i="14"/>
  <c r="AH16" i="14"/>
  <c r="AI16" i="14"/>
  <c r="E17" i="14"/>
  <c r="I17" i="14"/>
  <c r="M17" i="14"/>
  <c r="Q17" i="14"/>
  <c r="U17" i="14"/>
  <c r="Y17" i="14"/>
  <c r="AC17" i="14"/>
  <c r="AG17" i="14"/>
  <c r="AK17" i="14"/>
  <c r="E18" i="14"/>
  <c r="I18" i="14"/>
  <c r="M18" i="14"/>
  <c r="L18" i="14"/>
  <c r="N18" i="14"/>
  <c r="O18" i="14"/>
  <c r="P18" i="14"/>
  <c r="R18" i="14"/>
  <c r="S18" i="14"/>
  <c r="S29" i="14"/>
  <c r="T18" i="14"/>
  <c r="V18" i="14"/>
  <c r="W18" i="14"/>
  <c r="Z18" i="14"/>
  <c r="AB18" i="14"/>
  <c r="AD18" i="14"/>
  <c r="AE18" i="14"/>
  <c r="AH18" i="14"/>
  <c r="AI18" i="14"/>
  <c r="AJ18" i="14"/>
  <c r="E19" i="14"/>
  <c r="I19" i="14"/>
  <c r="M19" i="14"/>
  <c r="Q19" i="14"/>
  <c r="U19" i="14"/>
  <c r="Y19" i="14"/>
  <c r="AC19" i="14"/>
  <c r="AG19" i="14"/>
  <c r="AK19" i="14"/>
  <c r="E20" i="14"/>
  <c r="I20" i="14"/>
  <c r="M20" i="14"/>
  <c r="Q20" i="14"/>
  <c r="U20" i="14"/>
  <c r="L20" i="14"/>
  <c r="N20" i="14"/>
  <c r="O20" i="14"/>
  <c r="R20" i="14"/>
  <c r="S20" i="14"/>
  <c r="V20" i="14"/>
  <c r="W20" i="14"/>
  <c r="Z20" i="14"/>
  <c r="AD20" i="14"/>
  <c r="AD29" i="14"/>
  <c r="AE20" i="14"/>
  <c r="AF20" i="14"/>
  <c r="AH20" i="14"/>
  <c r="AI20" i="14"/>
  <c r="AJ20" i="14"/>
  <c r="E21" i="14"/>
  <c r="I21" i="14"/>
  <c r="M21" i="14"/>
  <c r="Q21" i="14"/>
  <c r="U21" i="14"/>
  <c r="Y21" i="14"/>
  <c r="AC21" i="14"/>
  <c r="AG21" i="14"/>
  <c r="AK21" i="14"/>
  <c r="E22" i="14"/>
  <c r="I22" i="14"/>
  <c r="L22" i="14"/>
  <c r="N22" i="14"/>
  <c r="R22" i="14"/>
  <c r="V22" i="14"/>
  <c r="Z22" i="14"/>
  <c r="AD22" i="14"/>
  <c r="AE22" i="14"/>
  <c r="AF22" i="14"/>
  <c r="AH22" i="14"/>
  <c r="E23" i="14"/>
  <c r="I23" i="14"/>
  <c r="M23" i="14"/>
  <c r="Q23" i="14"/>
  <c r="U23" i="14"/>
  <c r="Y23" i="14"/>
  <c r="AC23" i="14"/>
  <c r="AG23" i="14"/>
  <c r="AK23" i="14"/>
  <c r="E24" i="14"/>
  <c r="I24" i="14"/>
  <c r="M24" i="14"/>
  <c r="Q24" i="14"/>
  <c r="U24" i="14"/>
  <c r="Y24" i="14"/>
  <c r="AC24" i="14"/>
  <c r="AG24" i="14"/>
  <c r="AK24" i="14"/>
  <c r="AO24" i="14"/>
  <c r="AS24" i="14"/>
  <c r="AW24" i="14"/>
  <c r="L24" i="14"/>
  <c r="O24" i="14"/>
  <c r="S24" i="14"/>
  <c r="W24" i="14"/>
  <c r="AI24" i="14"/>
  <c r="E25" i="14"/>
  <c r="I25" i="14"/>
  <c r="M25" i="14"/>
  <c r="Q25" i="14"/>
  <c r="U25" i="14"/>
  <c r="Y25" i="14"/>
  <c r="AC25" i="14"/>
  <c r="AG25" i="14"/>
  <c r="AK25" i="14"/>
  <c r="E26" i="14"/>
  <c r="I26" i="14"/>
  <c r="L26" i="14"/>
  <c r="N26" i="14"/>
  <c r="O26" i="14"/>
  <c r="P26" i="14"/>
  <c r="R26" i="14"/>
  <c r="S26" i="14"/>
  <c r="T26" i="14"/>
  <c r="V26" i="14"/>
  <c r="W26" i="14"/>
  <c r="X26" i="14"/>
  <c r="Z26" i="14"/>
  <c r="AB26" i="14"/>
  <c r="AD26" i="14"/>
  <c r="AE26" i="14"/>
  <c r="AF26" i="14"/>
  <c r="AH26" i="14"/>
  <c r="AI26" i="14"/>
  <c r="AJ26" i="14"/>
  <c r="E27" i="14"/>
  <c r="I27" i="14"/>
  <c r="M27" i="14"/>
  <c r="Q27" i="14"/>
  <c r="U27" i="14"/>
  <c r="Y27" i="14"/>
  <c r="AC27" i="14"/>
  <c r="AG27" i="14"/>
  <c r="AK27" i="14"/>
  <c r="E28" i="14"/>
  <c r="I28" i="14"/>
  <c r="M28" i="14"/>
  <c r="L28" i="14"/>
  <c r="N28" i="14"/>
  <c r="O28" i="14"/>
  <c r="P28" i="14"/>
  <c r="R28" i="14"/>
  <c r="S28" i="14"/>
  <c r="T28" i="14"/>
  <c r="V28" i="14"/>
  <c r="W28" i="14"/>
  <c r="X28" i="14"/>
  <c r="AB28" i="14"/>
  <c r="AD28" i="14"/>
  <c r="AE28" i="14"/>
  <c r="AF28" i="14"/>
  <c r="AH28" i="14"/>
  <c r="AI28" i="14"/>
  <c r="AJ28" i="14"/>
  <c r="AP28" i="14"/>
  <c r="AP29" i="14"/>
  <c r="B29" i="14"/>
  <c r="C29" i="14"/>
  <c r="D29" i="14"/>
  <c r="E29" i="14"/>
  <c r="F29" i="14"/>
  <c r="G29" i="14"/>
  <c r="H29" i="14"/>
  <c r="J29" i="14"/>
  <c r="K29" i="14"/>
  <c r="AA29" i="14"/>
  <c r="AJ29" i="14"/>
  <c r="AL29" i="14"/>
  <c r="AM29" i="14"/>
  <c r="AN29" i="14"/>
  <c r="AQ29" i="14"/>
  <c r="AR29" i="14"/>
  <c r="AU29" i="14"/>
  <c r="C13" i="12"/>
  <c r="E13" i="12"/>
  <c r="D13" i="12"/>
  <c r="F13" i="12"/>
  <c r="H13" i="12"/>
  <c r="J13" i="12"/>
  <c r="L13" i="12"/>
  <c r="N13" i="12"/>
  <c r="P13" i="12"/>
  <c r="R13" i="12"/>
  <c r="T13" i="12"/>
  <c r="V13" i="12"/>
  <c r="V23" i="12"/>
  <c r="V32" i="12"/>
  <c r="X13" i="12"/>
  <c r="C14" i="12"/>
  <c r="E14" i="12"/>
  <c r="G14" i="12"/>
  <c r="I14" i="12"/>
  <c r="K14" i="12"/>
  <c r="M14" i="12"/>
  <c r="D14" i="12"/>
  <c r="F14" i="12"/>
  <c r="H14" i="12"/>
  <c r="J14" i="12"/>
  <c r="J23" i="12"/>
  <c r="J32" i="12"/>
  <c r="L14" i="12"/>
  <c r="N14" i="12"/>
  <c r="P14" i="12"/>
  <c r="P23" i="12"/>
  <c r="R14" i="12"/>
  <c r="T14" i="12"/>
  <c r="V14" i="12"/>
  <c r="X14" i="12"/>
  <c r="X23" i="12"/>
  <c r="X32" i="12"/>
  <c r="X51" i="12"/>
  <c r="X62" i="12"/>
  <c r="C15" i="12"/>
  <c r="D15" i="12"/>
  <c r="F15" i="12"/>
  <c r="H15" i="12"/>
  <c r="J15" i="12"/>
  <c r="L15" i="12"/>
  <c r="N15" i="12"/>
  <c r="P15" i="12"/>
  <c r="P32" i="12"/>
  <c r="R15" i="12"/>
  <c r="T15" i="12"/>
  <c r="V15" i="12"/>
  <c r="X15" i="12"/>
  <c r="C16" i="12"/>
  <c r="D16" i="12"/>
  <c r="E16" i="12"/>
  <c r="F16" i="12"/>
  <c r="G16" i="12"/>
  <c r="I16" i="12"/>
  <c r="K16" i="12"/>
  <c r="M16" i="12"/>
  <c r="O16" i="12"/>
  <c r="Q16" i="12"/>
  <c r="S16" i="12"/>
  <c r="U16" i="12"/>
  <c r="W16" i="12"/>
  <c r="Y16" i="12"/>
  <c r="H16" i="12"/>
  <c r="J16" i="12"/>
  <c r="L16" i="12"/>
  <c r="N16" i="12"/>
  <c r="P16" i="12"/>
  <c r="R16" i="12"/>
  <c r="T16" i="12"/>
  <c r="V16" i="12"/>
  <c r="X16" i="12"/>
  <c r="C17" i="12"/>
  <c r="E17" i="12"/>
  <c r="D17" i="12"/>
  <c r="F17" i="12"/>
  <c r="H17" i="12"/>
  <c r="J17" i="12"/>
  <c r="L17" i="12"/>
  <c r="N17" i="12"/>
  <c r="P17" i="12"/>
  <c r="R17" i="12"/>
  <c r="T17" i="12"/>
  <c r="V17" i="12"/>
  <c r="X17" i="12"/>
  <c r="C18" i="12"/>
  <c r="E18" i="12"/>
  <c r="D18" i="12"/>
  <c r="F18" i="12"/>
  <c r="H18" i="12"/>
  <c r="J18" i="12"/>
  <c r="L18" i="12"/>
  <c r="N18" i="12"/>
  <c r="P18" i="12"/>
  <c r="R18" i="12"/>
  <c r="T18" i="12"/>
  <c r="V18" i="12"/>
  <c r="X18" i="12"/>
  <c r="C19" i="12"/>
  <c r="D19" i="12"/>
  <c r="E19" i="12"/>
  <c r="F19" i="12"/>
  <c r="H19" i="12"/>
  <c r="J19" i="12"/>
  <c r="L19" i="12"/>
  <c r="N19" i="12"/>
  <c r="P19" i="12"/>
  <c r="R19" i="12"/>
  <c r="R23" i="12"/>
  <c r="R32" i="12"/>
  <c r="T19" i="12"/>
  <c r="V19" i="12"/>
  <c r="X19" i="12"/>
  <c r="C20" i="12"/>
  <c r="E20" i="12"/>
  <c r="D20" i="12"/>
  <c r="F20" i="12"/>
  <c r="G20" i="12"/>
  <c r="I20" i="12"/>
  <c r="K20" i="12"/>
  <c r="M20" i="12"/>
  <c r="O20" i="12"/>
  <c r="Q20" i="12"/>
  <c r="S20" i="12"/>
  <c r="U20" i="12"/>
  <c r="W20" i="12"/>
  <c r="Y20" i="12"/>
  <c r="H20" i="12"/>
  <c r="J20" i="12"/>
  <c r="L20" i="12"/>
  <c r="N20" i="12"/>
  <c r="P20" i="12"/>
  <c r="R20" i="12"/>
  <c r="T20" i="12"/>
  <c r="V20" i="12"/>
  <c r="X20" i="12"/>
  <c r="C21" i="12"/>
  <c r="E21" i="12"/>
  <c r="D21" i="12"/>
  <c r="F21" i="12"/>
  <c r="H21" i="12"/>
  <c r="J21" i="12"/>
  <c r="L21" i="12"/>
  <c r="N21" i="12"/>
  <c r="P21" i="12"/>
  <c r="R21" i="12"/>
  <c r="T21" i="12"/>
  <c r="V21" i="12"/>
  <c r="X21" i="12"/>
  <c r="C22" i="12"/>
  <c r="E22" i="12"/>
  <c r="G22" i="12"/>
  <c r="I22" i="12"/>
  <c r="K22" i="12"/>
  <c r="M22" i="12"/>
  <c r="O22" i="12"/>
  <c r="Q22" i="12"/>
  <c r="S22" i="12"/>
  <c r="U22" i="12"/>
  <c r="W22" i="12"/>
  <c r="Y22" i="12"/>
  <c r="D22" i="12"/>
  <c r="F22" i="12"/>
  <c r="H22" i="12"/>
  <c r="J22" i="12"/>
  <c r="L22" i="12"/>
  <c r="N22" i="12"/>
  <c r="P22" i="12"/>
  <c r="R22" i="12"/>
  <c r="T22" i="12"/>
  <c r="V22" i="12"/>
  <c r="X22" i="12"/>
  <c r="B23" i="12"/>
  <c r="C23" i="12"/>
  <c r="C26" i="12"/>
  <c r="E26" i="12"/>
  <c r="F26" i="12"/>
  <c r="H26" i="12"/>
  <c r="L26" i="12"/>
  <c r="L30" i="12"/>
  <c r="N26" i="12"/>
  <c r="N30" i="12"/>
  <c r="P26" i="12"/>
  <c r="R26" i="12"/>
  <c r="R30" i="12"/>
  <c r="T26" i="12"/>
  <c r="T30" i="12"/>
  <c r="V26" i="12"/>
  <c r="V30" i="12"/>
  <c r="X26" i="12"/>
  <c r="E27" i="12"/>
  <c r="F27" i="12"/>
  <c r="G27" i="12"/>
  <c r="I27" i="12"/>
  <c r="K27" i="12"/>
  <c r="M27" i="12"/>
  <c r="O27" i="12"/>
  <c r="Q27" i="12"/>
  <c r="S27" i="12"/>
  <c r="U27" i="12"/>
  <c r="W27" i="12"/>
  <c r="Y27" i="12"/>
  <c r="N27" i="12"/>
  <c r="P27" i="12"/>
  <c r="R27" i="12"/>
  <c r="T27" i="12"/>
  <c r="V27" i="12"/>
  <c r="X27" i="12"/>
  <c r="E28" i="12"/>
  <c r="G28" i="12"/>
  <c r="I28" i="12"/>
  <c r="K28" i="12"/>
  <c r="M28" i="12"/>
  <c r="O28" i="12"/>
  <c r="Q28" i="12"/>
  <c r="S28" i="12"/>
  <c r="U28" i="12"/>
  <c r="W28" i="12"/>
  <c r="Y28" i="12"/>
  <c r="E29" i="12"/>
  <c r="G29" i="12"/>
  <c r="I29" i="12"/>
  <c r="H29" i="12"/>
  <c r="J29" i="12"/>
  <c r="K29" i="12"/>
  <c r="M29" i="12"/>
  <c r="L29" i="12"/>
  <c r="N29" i="12"/>
  <c r="O29" i="12"/>
  <c r="Q29" i="12"/>
  <c r="P29" i="12"/>
  <c r="R29" i="12"/>
  <c r="S29" i="12"/>
  <c r="U29" i="12"/>
  <c r="W29" i="12"/>
  <c r="Y29" i="12"/>
  <c r="T29" i="12"/>
  <c r="V29" i="12"/>
  <c r="X29" i="12"/>
  <c r="B30" i="12"/>
  <c r="C30" i="12"/>
  <c r="D30" i="12"/>
  <c r="F30" i="12"/>
  <c r="H30" i="12"/>
  <c r="J30" i="12"/>
  <c r="P30" i="12"/>
  <c r="X30" i="12"/>
  <c r="B32" i="12"/>
  <c r="C41" i="12"/>
  <c r="E41" i="12"/>
  <c r="F41" i="12"/>
  <c r="G41" i="12"/>
  <c r="I41" i="12"/>
  <c r="K41" i="12"/>
  <c r="M41" i="12"/>
  <c r="H41" i="12"/>
  <c r="H49" i="12"/>
  <c r="J41" i="12"/>
  <c r="L41" i="12"/>
  <c r="N41" i="12"/>
  <c r="P41" i="12"/>
  <c r="R41" i="12"/>
  <c r="T41" i="12"/>
  <c r="V41" i="12"/>
  <c r="X41" i="12"/>
  <c r="C42" i="12"/>
  <c r="D42" i="12"/>
  <c r="F42" i="12"/>
  <c r="H42" i="12"/>
  <c r="J42" i="12"/>
  <c r="L42" i="12"/>
  <c r="N42" i="12"/>
  <c r="P42" i="12"/>
  <c r="P49" i="12"/>
  <c r="R42" i="12"/>
  <c r="T42" i="12"/>
  <c r="V42" i="12"/>
  <c r="AA42" i="12"/>
  <c r="AB42" i="12"/>
  <c r="E43" i="12"/>
  <c r="F43" i="12"/>
  <c r="G43" i="12"/>
  <c r="I43" i="12"/>
  <c r="K43" i="12"/>
  <c r="M43" i="12"/>
  <c r="O43" i="12"/>
  <c r="Q43" i="12"/>
  <c r="S43" i="12"/>
  <c r="U43" i="12"/>
  <c r="W43" i="12"/>
  <c r="Y43" i="12"/>
  <c r="H43" i="12"/>
  <c r="J43" i="12"/>
  <c r="L43" i="12"/>
  <c r="N43" i="12"/>
  <c r="P43" i="12"/>
  <c r="R43" i="12"/>
  <c r="T43" i="12"/>
  <c r="V43" i="12"/>
  <c r="X43" i="12"/>
  <c r="C44" i="12"/>
  <c r="D44" i="12"/>
  <c r="F44" i="12"/>
  <c r="N44" i="12"/>
  <c r="P44" i="12"/>
  <c r="R44" i="12"/>
  <c r="T44" i="12"/>
  <c r="V44" i="12"/>
  <c r="C45" i="12"/>
  <c r="E45" i="12"/>
  <c r="G45" i="12"/>
  <c r="I45" i="12"/>
  <c r="K45" i="12"/>
  <c r="M45" i="12"/>
  <c r="O45" i="12"/>
  <c r="Q45" i="12"/>
  <c r="S45" i="12"/>
  <c r="U45" i="12"/>
  <c r="W45" i="12"/>
  <c r="Y45" i="12"/>
  <c r="D45" i="12"/>
  <c r="F45" i="12"/>
  <c r="H45" i="12"/>
  <c r="J45" i="12"/>
  <c r="L45" i="12"/>
  <c r="N45" i="12"/>
  <c r="R45" i="12"/>
  <c r="T45" i="12"/>
  <c r="V45" i="12"/>
  <c r="X45" i="12"/>
  <c r="X49" i="12"/>
  <c r="D46" i="12"/>
  <c r="E46" i="12"/>
  <c r="F46" i="12"/>
  <c r="F49" i="12"/>
  <c r="H46" i="12"/>
  <c r="J46" i="12"/>
  <c r="L46" i="12"/>
  <c r="N46" i="12"/>
  <c r="P46" i="12"/>
  <c r="R46" i="12"/>
  <c r="T46" i="12"/>
  <c r="V46" i="12"/>
  <c r="X46" i="12"/>
  <c r="AA44" i="12"/>
  <c r="C47" i="12"/>
  <c r="D47" i="12"/>
  <c r="E47" i="12"/>
  <c r="G47" i="12"/>
  <c r="F47" i="12"/>
  <c r="H47" i="12"/>
  <c r="J47" i="12"/>
  <c r="L47" i="12"/>
  <c r="N47" i="12"/>
  <c r="P47" i="12"/>
  <c r="R47" i="12"/>
  <c r="T47" i="12"/>
  <c r="V47" i="12"/>
  <c r="X47" i="12"/>
  <c r="C48" i="12"/>
  <c r="D48" i="12"/>
  <c r="E48" i="12"/>
  <c r="G48" i="12"/>
  <c r="I48" i="12"/>
  <c r="K48" i="12"/>
  <c r="M48" i="12"/>
  <c r="O48" i="12"/>
  <c r="Q48" i="12"/>
  <c r="S48" i="12"/>
  <c r="U48" i="12"/>
  <c r="W48" i="12"/>
  <c r="Y48" i="12"/>
  <c r="F48" i="12"/>
  <c r="H48" i="12"/>
  <c r="J48" i="12"/>
  <c r="L48" i="12"/>
  <c r="L49" i="12"/>
  <c r="N48" i="12"/>
  <c r="P48" i="12"/>
  <c r="R48" i="12"/>
  <c r="R49" i="12"/>
  <c r="T48" i="12"/>
  <c r="V48" i="12"/>
  <c r="X48" i="12"/>
  <c r="AA48" i="12"/>
  <c r="B49" i="12"/>
  <c r="AA50" i="12"/>
  <c r="B51" i="12"/>
  <c r="B62" i="12"/>
  <c r="B75" i="12"/>
  <c r="B53" i="12"/>
  <c r="D53" i="12"/>
  <c r="F53" i="12"/>
  <c r="H53" i="12"/>
  <c r="L53" i="12"/>
  <c r="N53" i="12"/>
  <c r="R53" i="12"/>
  <c r="C54" i="12"/>
  <c r="C53" i="12"/>
  <c r="C61" i="12"/>
  <c r="D54" i="12"/>
  <c r="E54" i="12"/>
  <c r="F54" i="12"/>
  <c r="H54" i="12"/>
  <c r="J54" i="12"/>
  <c r="J53" i="12"/>
  <c r="L54" i="12"/>
  <c r="N54" i="12"/>
  <c r="P54" i="12"/>
  <c r="P53" i="12"/>
  <c r="R54" i="12"/>
  <c r="T54" i="12"/>
  <c r="V54" i="12"/>
  <c r="V53" i="12"/>
  <c r="X54" i="12"/>
  <c r="X53" i="12"/>
  <c r="AA46" i="12"/>
  <c r="E55" i="12"/>
  <c r="F55" i="12"/>
  <c r="G55" i="12"/>
  <c r="I55" i="12"/>
  <c r="K55" i="12"/>
  <c r="M55" i="12"/>
  <c r="O55" i="12"/>
  <c r="Q55" i="12"/>
  <c r="S55" i="12"/>
  <c r="U55" i="12"/>
  <c r="W55" i="12"/>
  <c r="Y55" i="12"/>
  <c r="H55" i="12"/>
  <c r="J55" i="12"/>
  <c r="L55" i="12"/>
  <c r="N55" i="12"/>
  <c r="P55" i="12"/>
  <c r="R55" i="12"/>
  <c r="T55" i="12"/>
  <c r="T53" i="12"/>
  <c r="V55" i="12"/>
  <c r="X55" i="12"/>
  <c r="B56" i="12"/>
  <c r="B61" i="12"/>
  <c r="X56" i="12"/>
  <c r="C57" i="12"/>
  <c r="E57" i="12"/>
  <c r="C56" i="12"/>
  <c r="D57" i="12"/>
  <c r="F57" i="12"/>
  <c r="H57" i="12"/>
  <c r="H56" i="12"/>
  <c r="J57" i="12"/>
  <c r="L57" i="12"/>
  <c r="L56" i="12"/>
  <c r="N57" i="12"/>
  <c r="P57" i="12"/>
  <c r="P56" i="12"/>
  <c r="P61" i="12"/>
  <c r="R57" i="12"/>
  <c r="T57" i="12"/>
  <c r="V57" i="12"/>
  <c r="X57" i="12"/>
  <c r="AA45" i="12"/>
  <c r="B58" i="12"/>
  <c r="C58" i="12"/>
  <c r="E58" i="12"/>
  <c r="D58" i="12"/>
  <c r="D56" i="12"/>
  <c r="F58" i="12"/>
  <c r="H58" i="12"/>
  <c r="J58" i="12"/>
  <c r="J56" i="12"/>
  <c r="L58" i="12"/>
  <c r="N58" i="12"/>
  <c r="P58" i="12"/>
  <c r="R58" i="12"/>
  <c r="T58" i="12"/>
  <c r="T56" i="12"/>
  <c r="V58" i="12"/>
  <c r="X58" i="12"/>
  <c r="C59" i="12"/>
  <c r="D59" i="12"/>
  <c r="F59" i="12"/>
  <c r="H59" i="12"/>
  <c r="J59" i="12"/>
  <c r="L59" i="12"/>
  <c r="N59" i="12"/>
  <c r="P59" i="12"/>
  <c r="R59" i="12"/>
  <c r="T59" i="12"/>
  <c r="V59" i="12"/>
  <c r="X59" i="12"/>
  <c r="C60" i="12"/>
  <c r="D60" i="12"/>
  <c r="E60" i="12"/>
  <c r="G60" i="12"/>
  <c r="I60" i="12"/>
  <c r="K60" i="12"/>
  <c r="M60" i="12"/>
  <c r="O60" i="12"/>
  <c r="Q60" i="12"/>
  <c r="S60" i="12"/>
  <c r="U60" i="12"/>
  <c r="W60" i="12"/>
  <c r="Y60" i="12"/>
  <c r="F60" i="12"/>
  <c r="J60" i="12"/>
  <c r="N60" i="12"/>
  <c r="P60" i="12"/>
  <c r="R60" i="12"/>
  <c r="T60" i="12"/>
  <c r="V60" i="12"/>
  <c r="X60" i="12"/>
  <c r="C70" i="12"/>
  <c r="D70" i="12"/>
  <c r="D73" i="12"/>
  <c r="F70" i="12"/>
  <c r="F73" i="12"/>
  <c r="H70" i="12"/>
  <c r="J70" i="12"/>
  <c r="J73" i="12"/>
  <c r="L70" i="12"/>
  <c r="N70" i="12"/>
  <c r="N73" i="12"/>
  <c r="P70" i="12"/>
  <c r="R70" i="12"/>
  <c r="R73" i="12"/>
  <c r="T70" i="12"/>
  <c r="V70" i="12"/>
  <c r="V73" i="12"/>
  <c r="X70" i="12"/>
  <c r="C71" i="12"/>
  <c r="D71" i="12"/>
  <c r="E71" i="12"/>
  <c r="G71" i="12"/>
  <c r="I71" i="12"/>
  <c r="K71" i="12"/>
  <c r="M71" i="12"/>
  <c r="O71" i="12"/>
  <c r="Q71" i="12"/>
  <c r="S71" i="12"/>
  <c r="F71" i="12"/>
  <c r="H71" i="12"/>
  <c r="H73" i="12"/>
  <c r="J71" i="12"/>
  <c r="L71" i="12"/>
  <c r="N71" i="12"/>
  <c r="P71" i="12"/>
  <c r="R71" i="12"/>
  <c r="T71" i="12"/>
  <c r="T73" i="12"/>
  <c r="V71" i="12"/>
  <c r="X71" i="12"/>
  <c r="B72" i="12"/>
  <c r="C72" i="12"/>
  <c r="C73" i="12"/>
  <c r="D72" i="12"/>
  <c r="E72" i="12"/>
  <c r="G72" i="12"/>
  <c r="F72" i="12"/>
  <c r="H72" i="12"/>
  <c r="I72" i="12"/>
  <c r="K72" i="12"/>
  <c r="M72" i="12"/>
  <c r="O72" i="12"/>
  <c r="Q72" i="12"/>
  <c r="S72" i="12"/>
  <c r="U72" i="12"/>
  <c r="W72" i="12"/>
  <c r="Y72" i="12"/>
  <c r="J72" i="12"/>
  <c r="L72" i="12"/>
  <c r="N72" i="12"/>
  <c r="P72" i="12"/>
  <c r="R72" i="12"/>
  <c r="T72" i="12"/>
  <c r="V72" i="12"/>
  <c r="X72" i="12"/>
  <c r="B73" i="12"/>
  <c r="L73" i="12"/>
  <c r="M10" i="14"/>
  <c r="Q10" i="14"/>
  <c r="U10" i="14"/>
  <c r="Y10" i="14"/>
  <c r="AC10" i="14"/>
  <c r="Q18" i="14"/>
  <c r="U18" i="14"/>
  <c r="Y18" i="14"/>
  <c r="AC18" i="14"/>
  <c r="AG18" i="14"/>
  <c r="AK18" i="14"/>
  <c r="AO18" i="14"/>
  <c r="AS18" i="14"/>
  <c r="AW18" i="14"/>
  <c r="Q28" i="14"/>
  <c r="U28" i="14"/>
  <c r="Y28" i="14"/>
  <c r="AC28" i="14"/>
  <c r="AG28" i="14"/>
  <c r="AK28" i="14"/>
  <c r="AO28" i="14"/>
  <c r="M26" i="14"/>
  <c r="Q26" i="14"/>
  <c r="U26" i="14"/>
  <c r="Y26" i="14"/>
  <c r="AC26" i="14"/>
  <c r="AG26" i="14"/>
  <c r="AK26" i="14"/>
  <c r="AO26" i="14"/>
  <c r="AS26" i="14"/>
  <c r="AW26" i="14"/>
  <c r="M22" i="14"/>
  <c r="Q22" i="14"/>
  <c r="U22" i="14"/>
  <c r="Y22" i="14"/>
  <c r="AC22" i="14"/>
  <c r="AG22" i="14"/>
  <c r="AK22" i="14"/>
  <c r="AO22" i="14"/>
  <c r="AS22" i="14"/>
  <c r="AW22" i="14"/>
  <c r="X61" i="12"/>
  <c r="T49" i="12"/>
  <c r="T61" i="12"/>
  <c r="G13" i="12"/>
  <c r="T23" i="12"/>
  <c r="T32" i="12"/>
  <c r="T51" i="12"/>
  <c r="T62" i="12"/>
  <c r="T75" i="12"/>
  <c r="L23" i="12"/>
  <c r="L32" i="12"/>
  <c r="L51" i="12"/>
  <c r="E15" i="12"/>
  <c r="E23" i="12"/>
  <c r="D23" i="12"/>
  <c r="D32" i="12"/>
  <c r="N23" i="12"/>
  <c r="N32" i="12"/>
  <c r="G17" i="12"/>
  <c r="I17" i="12"/>
  <c r="K17" i="12"/>
  <c r="M17" i="12"/>
  <c r="O17" i="12"/>
  <c r="Q17" i="12"/>
  <c r="S17" i="12"/>
  <c r="U17" i="12"/>
  <c r="W17" i="12"/>
  <c r="Y17" i="12"/>
  <c r="AF29" i="14"/>
  <c r="G15" i="12"/>
  <c r="I15" i="12"/>
  <c r="K15" i="12"/>
  <c r="M15" i="12"/>
  <c r="O15" i="12"/>
  <c r="Q15" i="12"/>
  <c r="S15" i="12"/>
  <c r="U15" i="12"/>
  <c r="W15" i="12"/>
  <c r="Y15" i="12"/>
  <c r="I13" i="12"/>
  <c r="K13" i="12"/>
  <c r="M13" i="12"/>
  <c r="O13" i="12"/>
  <c r="O14" i="12"/>
  <c r="Q14" i="12"/>
  <c r="S14" i="12"/>
  <c r="U14" i="12"/>
  <c r="W14" i="12"/>
  <c r="Y14" i="12"/>
  <c r="AG10" i="14"/>
  <c r="R51" i="12"/>
  <c r="V51" i="12"/>
  <c r="Q13" i="12"/>
  <c r="E53" i="12"/>
  <c r="G54" i="12"/>
  <c r="D61" i="12"/>
  <c r="Z29" i="14"/>
  <c r="P73" i="12"/>
  <c r="C32" i="12"/>
  <c r="P51" i="12"/>
  <c r="P62" i="12"/>
  <c r="P75" i="12"/>
  <c r="N29" i="14"/>
  <c r="U71" i="12"/>
  <c r="W71" i="12"/>
  <c r="Y71" i="12"/>
  <c r="E70" i="12"/>
  <c r="V56" i="12"/>
  <c r="V49" i="12"/>
  <c r="J49" i="12"/>
  <c r="J51" i="12"/>
  <c r="J62" i="12"/>
  <c r="J75" i="12"/>
  <c r="G21" i="12"/>
  <c r="I21" i="12"/>
  <c r="K21" i="12"/>
  <c r="M21" i="12"/>
  <c r="O21" i="12"/>
  <c r="Q21" i="12"/>
  <c r="S21" i="12"/>
  <c r="U21" i="12"/>
  <c r="W21" i="12"/>
  <c r="Y21" i="12"/>
  <c r="H23" i="12"/>
  <c r="H32" i="12"/>
  <c r="H51" i="12"/>
  <c r="H62" i="12"/>
  <c r="H75" i="12"/>
  <c r="M12" i="14"/>
  <c r="I29" i="14"/>
  <c r="V29" i="14"/>
  <c r="E59" i="12"/>
  <c r="G59" i="12"/>
  <c r="I59" i="12"/>
  <c r="K59" i="12"/>
  <c r="M59" i="12"/>
  <c r="O59" i="12"/>
  <c r="Q59" i="12"/>
  <c r="S59" i="12"/>
  <c r="U59" i="12"/>
  <c r="W59" i="12"/>
  <c r="Y59" i="12"/>
  <c r="V61" i="12"/>
  <c r="J61" i="12"/>
  <c r="N61" i="12"/>
  <c r="AB50" i="12"/>
  <c r="G46" i="12"/>
  <c r="I46" i="12"/>
  <c r="K46" i="12"/>
  <c r="M46" i="12"/>
  <c r="O46" i="12"/>
  <c r="Q46" i="12"/>
  <c r="S46" i="12"/>
  <c r="U46" i="12"/>
  <c r="W46" i="12"/>
  <c r="Y46" i="12"/>
  <c r="G18" i="12"/>
  <c r="I18" i="12"/>
  <c r="K18" i="12"/>
  <c r="M18" i="12"/>
  <c r="O18" i="12"/>
  <c r="Q18" i="12"/>
  <c r="S18" i="12"/>
  <c r="U18" i="12"/>
  <c r="W18" i="12"/>
  <c r="Y18" i="12"/>
  <c r="F23" i="12"/>
  <c r="F32" i="12"/>
  <c r="F51" i="12"/>
  <c r="F62" i="12"/>
  <c r="F75" i="12"/>
  <c r="T29" i="14"/>
  <c r="E44" i="12"/>
  <c r="G44" i="12"/>
  <c r="I44" i="12"/>
  <c r="K44" i="12"/>
  <c r="M44" i="12"/>
  <c r="O44" i="12"/>
  <c r="Q44" i="12"/>
  <c r="S44" i="12"/>
  <c r="U44" i="12"/>
  <c r="W44" i="12"/>
  <c r="Y44" i="12"/>
  <c r="C49" i="12"/>
  <c r="X73" i="12"/>
  <c r="X75" i="12"/>
  <c r="R56" i="12"/>
  <c r="R61" i="12"/>
  <c r="L61" i="12"/>
  <c r="L62" i="12"/>
  <c r="L75" i="12"/>
  <c r="O41" i="12"/>
  <c r="AH29" i="14"/>
  <c r="W29" i="14"/>
  <c r="Q14" i="14"/>
  <c r="U14" i="14"/>
  <c r="Y14" i="14"/>
  <c r="AC14" i="14"/>
  <c r="AG14" i="14"/>
  <c r="AK14" i="14"/>
  <c r="AO14" i="14"/>
  <c r="AS14" i="14"/>
  <c r="AW14" i="14"/>
  <c r="G58" i="12"/>
  <c r="I58" i="12"/>
  <c r="K58" i="12"/>
  <c r="M58" i="12"/>
  <c r="O58" i="12"/>
  <c r="Q58" i="12"/>
  <c r="S58" i="12"/>
  <c r="U58" i="12"/>
  <c r="W58" i="12"/>
  <c r="Y58" i="12"/>
  <c r="F56" i="12"/>
  <c r="F61" i="12"/>
  <c r="G57" i="12"/>
  <c r="E56" i="12"/>
  <c r="H61" i="12"/>
  <c r="E42" i="12"/>
  <c r="D49" i="12"/>
  <c r="D51" i="12"/>
  <c r="D62" i="12"/>
  <c r="D75" i="12"/>
  <c r="Y20" i="14"/>
  <c r="AC20" i="14"/>
  <c r="AG20" i="14"/>
  <c r="AK20" i="14"/>
  <c r="AO20" i="14"/>
  <c r="AS20" i="14"/>
  <c r="AW20" i="14"/>
  <c r="Q16" i="14"/>
  <c r="U16" i="14"/>
  <c r="Y16" i="14"/>
  <c r="AC16" i="14"/>
  <c r="AG16" i="14"/>
  <c r="AK16" i="14"/>
  <c r="AO16" i="14"/>
  <c r="AS16" i="14"/>
  <c r="AW16" i="14"/>
  <c r="R29" i="14"/>
  <c r="N56" i="12"/>
  <c r="I47" i="12"/>
  <c r="K47" i="12"/>
  <c r="M47" i="12"/>
  <c r="O47" i="12"/>
  <c r="Q47" i="12"/>
  <c r="S47" i="12"/>
  <c r="U47" i="12"/>
  <c r="W47" i="12"/>
  <c r="Y47" i="12"/>
  <c r="N49" i="12"/>
  <c r="N51" i="12"/>
  <c r="N62" i="12"/>
  <c r="N75" i="12"/>
  <c r="G26" i="12"/>
  <c r="E30" i="12"/>
  <c r="E32" i="12"/>
  <c r="G19" i="12"/>
  <c r="I19" i="12"/>
  <c r="K19" i="12"/>
  <c r="M19" i="12"/>
  <c r="O19" i="12"/>
  <c r="Q19" i="12"/>
  <c r="S19" i="12"/>
  <c r="U19" i="12"/>
  <c r="W19" i="12"/>
  <c r="Y19" i="12"/>
  <c r="AB29" i="14"/>
  <c r="O29" i="14"/>
  <c r="P29" i="14"/>
  <c r="AA43" i="12"/>
  <c r="AA47" i="12"/>
  <c r="AA49" i="12"/>
  <c r="E73" i="12"/>
  <c r="G70" i="12"/>
  <c r="S13" i="12"/>
  <c r="Q23" i="12"/>
  <c r="Q12" i="14"/>
  <c r="M29" i="14"/>
  <c r="V62" i="12"/>
  <c r="V75" i="12"/>
  <c r="G53" i="12"/>
  <c r="G61" i="12"/>
  <c r="I54" i="12"/>
  <c r="Q41" i="12"/>
  <c r="E61" i="12"/>
  <c r="G30" i="12"/>
  <c r="I26" i="12"/>
  <c r="C51" i="12"/>
  <c r="C62" i="12"/>
  <c r="C75" i="12"/>
  <c r="AK10" i="14"/>
  <c r="G42" i="12"/>
  <c r="E49" i="12"/>
  <c r="E51" i="12"/>
  <c r="E62" i="12"/>
  <c r="E75" i="12"/>
  <c r="I57" i="12"/>
  <c r="G56" i="12"/>
  <c r="M23" i="12"/>
  <c r="R62" i="12"/>
  <c r="R75" i="12"/>
  <c r="G23" i="12"/>
  <c r="O23" i="12"/>
  <c r="U12" i="14"/>
  <c r="Q29" i="14"/>
  <c r="I30" i="12"/>
  <c r="K26" i="12"/>
  <c r="S23" i="12"/>
  <c r="U13" i="12"/>
  <c r="K57" i="12"/>
  <c r="I56" i="12"/>
  <c r="I42" i="12"/>
  <c r="G49" i="12"/>
  <c r="S41" i="12"/>
  <c r="G73" i="12"/>
  <c r="I70" i="12"/>
  <c r="I23" i="12"/>
  <c r="G32" i="12"/>
  <c r="AO10" i="14"/>
  <c r="I53" i="12"/>
  <c r="I61" i="12"/>
  <c r="K54" i="12"/>
  <c r="W13" i="12"/>
  <c r="U23" i="12"/>
  <c r="M26" i="12"/>
  <c r="K30" i="12"/>
  <c r="AS10" i="14"/>
  <c r="K42" i="12"/>
  <c r="I49" i="12"/>
  <c r="K53" i="12"/>
  <c r="M54" i="12"/>
  <c r="U41" i="12"/>
  <c r="G51" i="12"/>
  <c r="G62" i="12"/>
  <c r="G75" i="12"/>
  <c r="K23" i="12"/>
  <c r="K32" i="12"/>
  <c r="I32" i="12"/>
  <c r="I51" i="12"/>
  <c r="I62" i="12"/>
  <c r="I75" i="12"/>
  <c r="I73" i="12"/>
  <c r="K70" i="12"/>
  <c r="M57" i="12"/>
  <c r="K56" i="12"/>
  <c r="Y12" i="14"/>
  <c r="U29" i="14"/>
  <c r="M42" i="12"/>
  <c r="K49" i="12"/>
  <c r="AW10" i="14"/>
  <c r="K51" i="12"/>
  <c r="K62" i="12"/>
  <c r="K75" i="12"/>
  <c r="AC12" i="14"/>
  <c r="Y29" i="14"/>
  <c r="Y31" i="14"/>
  <c r="M53" i="12"/>
  <c r="M61" i="12"/>
  <c r="O54" i="12"/>
  <c r="K61" i="12"/>
  <c r="W41" i="12"/>
  <c r="O57" i="12"/>
  <c r="M56" i="12"/>
  <c r="O26" i="12"/>
  <c r="M30" i="12"/>
  <c r="M32" i="12"/>
  <c r="M70" i="12"/>
  <c r="K73" i="12"/>
  <c r="W23" i="12"/>
  <c r="Y13" i="12"/>
  <c r="Y23" i="12"/>
  <c r="AG12" i="14"/>
  <c r="AC29" i="14"/>
  <c r="Q26" i="12"/>
  <c r="O30" i="12"/>
  <c r="O32" i="12"/>
  <c r="O56" i="12"/>
  <c r="Q57" i="12"/>
  <c r="Y41" i="12"/>
  <c r="M73" i="12"/>
  <c r="O70" i="12"/>
  <c r="Q54" i="12"/>
  <c r="O53" i="12"/>
  <c r="O61" i="12"/>
  <c r="O42" i="12"/>
  <c r="M49" i="12"/>
  <c r="M51" i="12"/>
  <c r="M62" i="12"/>
  <c r="M75" i="12"/>
  <c r="O73" i="12"/>
  <c r="Q70" i="12"/>
  <c r="Q30" i="12"/>
  <c r="Q32" i="12"/>
  <c r="S26" i="12"/>
  <c r="Q56" i="12"/>
  <c r="S57" i="12"/>
  <c r="S54" i="12"/>
  <c r="Q53" i="12"/>
  <c r="Q42" i="12"/>
  <c r="O49" i="12"/>
  <c r="O51" i="12"/>
  <c r="O62" i="12"/>
  <c r="O75" i="12"/>
  <c r="AK12" i="14"/>
  <c r="AG29" i="14"/>
  <c r="U26" i="12"/>
  <c r="S30" i="12"/>
  <c r="S32" i="12"/>
  <c r="S53" i="12"/>
  <c r="S61" i="12"/>
  <c r="U54" i="12"/>
  <c r="Q73" i="12"/>
  <c r="S70" i="12"/>
  <c r="AO12" i="14"/>
  <c r="AK29" i="14"/>
  <c r="S42" i="12"/>
  <c r="Q49" i="12"/>
  <c r="S56" i="12"/>
  <c r="U57" i="12"/>
  <c r="Q51" i="12"/>
  <c r="Q61" i="12"/>
  <c r="AS12" i="14"/>
  <c r="AO29" i="14"/>
  <c r="S73" i="12"/>
  <c r="U70" i="12"/>
  <c r="Q62" i="12"/>
  <c r="Q75" i="12"/>
  <c r="W57" i="12"/>
  <c r="U56" i="12"/>
  <c r="W54" i="12"/>
  <c r="U53" i="12"/>
  <c r="U42" i="12"/>
  <c r="S49" i="12"/>
  <c r="S51" i="12"/>
  <c r="S62" i="12"/>
  <c r="S75" i="12"/>
  <c r="U30" i="12"/>
  <c r="U32" i="12"/>
  <c r="W26" i="12"/>
  <c r="Y57" i="12"/>
  <c r="Y56" i="12"/>
  <c r="W56" i="12"/>
  <c r="W30" i="12"/>
  <c r="W32" i="12"/>
  <c r="Y26" i="12"/>
  <c r="Y30" i="12"/>
  <c r="Y32" i="12"/>
  <c r="W42" i="12"/>
  <c r="U49" i="12"/>
  <c r="U51" i="12"/>
  <c r="U62" i="12"/>
  <c r="U75" i="12"/>
  <c r="U73" i="12"/>
  <c r="W70" i="12"/>
  <c r="U61" i="12"/>
  <c r="W53" i="12"/>
  <c r="W61" i="12"/>
  <c r="Y54" i="12"/>
  <c r="Y53" i="12"/>
  <c r="Y61" i="12"/>
  <c r="AW12" i="14"/>
  <c r="AW29" i="14"/>
  <c r="AS29" i="14"/>
  <c r="Y42" i="12"/>
  <c r="Y49" i="12"/>
  <c r="W49" i="12"/>
  <c r="W51" i="12"/>
  <c r="W62" i="12"/>
  <c r="W75" i="12"/>
  <c r="Y51" i="12"/>
  <c r="Y62" i="12"/>
  <c r="Y70" i="12"/>
  <c r="Y73" i="12"/>
  <c r="W73" i="12"/>
  <c r="Y75" i="12"/>
</calcChain>
</file>

<file path=xl/sharedStrings.xml><?xml version="1.0" encoding="utf-8"?>
<sst xmlns="http://schemas.openxmlformats.org/spreadsheetml/2006/main" count="369" uniqueCount="105">
  <si>
    <t>Le' m</t>
  </si>
  <si>
    <t>Domestic Revenue Collection</t>
  </si>
  <si>
    <t>Income Tax</t>
  </si>
  <si>
    <t>Customs and Excise</t>
  </si>
  <si>
    <t>Mineral Resources</t>
  </si>
  <si>
    <t>Fisheries</t>
  </si>
  <si>
    <t>Other Departments</t>
  </si>
  <si>
    <t>Total Domestic Revenue</t>
  </si>
  <si>
    <t>Grants Receipts (Direct Grant Budgetary Support)</t>
  </si>
  <si>
    <t>HIPC Debt Relief Assistance</t>
  </si>
  <si>
    <t>Total Grant Receipts</t>
  </si>
  <si>
    <t>OPERATING EXPENSES</t>
  </si>
  <si>
    <t>Wages, Salaries and Employee Benefits</t>
  </si>
  <si>
    <t>Non-Salary, Non-Interest Recurrent Expenditure</t>
  </si>
  <si>
    <t>o/w: National Revenue Authority</t>
  </si>
  <si>
    <t>Domestic Development Expenditures</t>
  </si>
  <si>
    <t>Total Operating Expenses</t>
  </si>
  <si>
    <t>Finance Costs</t>
  </si>
  <si>
    <t>Domestic Interest</t>
  </si>
  <si>
    <t>Foreign Interest</t>
  </si>
  <si>
    <t>Arrears Payments</t>
  </si>
  <si>
    <t>Domestic Suppliers</t>
  </si>
  <si>
    <t>Wages Arrears</t>
  </si>
  <si>
    <t>Cheques payable</t>
  </si>
  <si>
    <t>Financing Items</t>
  </si>
  <si>
    <t xml:space="preserve">    Net movement in treasury bills and treasury bearer bonds</t>
  </si>
  <si>
    <t>Loan Amortization</t>
  </si>
  <si>
    <t>Total Financing</t>
  </si>
  <si>
    <t>Others</t>
  </si>
  <si>
    <t xml:space="preserve">    Ways &amp; Means</t>
  </si>
  <si>
    <t>PUBLIC NOTICE</t>
  </si>
  <si>
    <t>Budget for the year</t>
  </si>
  <si>
    <t>BY ORDER</t>
  </si>
  <si>
    <t>STATEMENT OF FISCAL OPERATIONS (CONSOLIDATED FUND)</t>
  </si>
  <si>
    <t>Other Grants Received- External Donors</t>
  </si>
  <si>
    <t>Total Non-Operating Activities</t>
  </si>
  <si>
    <t>Net Cashflows from Operating Activities</t>
  </si>
  <si>
    <t>Net Cashflows from  Activities</t>
  </si>
  <si>
    <t>Increase/ (Decrease) in Bank Balances during the period</t>
  </si>
  <si>
    <t>Total Receipts</t>
  </si>
  <si>
    <t xml:space="preserve"> </t>
  </si>
  <si>
    <t>Goods and Services Tax</t>
  </si>
  <si>
    <t xml:space="preserve"> Global Fund Salary Support</t>
  </si>
  <si>
    <t xml:space="preserve"> Other Projects </t>
  </si>
  <si>
    <t xml:space="preserve">  Personnel Expenditure (Including Wages Arrears)</t>
  </si>
  <si>
    <t xml:space="preserve">   Other Charges (Including Project Arrears)</t>
  </si>
  <si>
    <t xml:space="preserve">  Domestic Development</t>
  </si>
  <si>
    <t>PAYMENTS/EXPENDITURE</t>
  </si>
  <si>
    <t>Operating Account</t>
  </si>
  <si>
    <t>Education Services</t>
  </si>
  <si>
    <t>Defence</t>
  </si>
  <si>
    <t>Economic Affairs</t>
  </si>
  <si>
    <t>General Public Services</t>
  </si>
  <si>
    <t>Total Payments/Expenditure</t>
  </si>
  <si>
    <t xml:space="preserve">Road User Charges </t>
  </si>
  <si>
    <t>Petroleum Products Excise Duty</t>
  </si>
  <si>
    <t>Health Services</t>
  </si>
  <si>
    <t>Social Security and Welfare</t>
  </si>
  <si>
    <t>Public Order and Safety</t>
  </si>
  <si>
    <t>Recreation, Culture and Safety</t>
  </si>
  <si>
    <t>Housing Communities Amenities</t>
  </si>
  <si>
    <t xml:space="preserve">JANUARY </t>
  </si>
  <si>
    <t>TSA Revenue (Excluding Road Fund)</t>
  </si>
  <si>
    <t xml:space="preserve">    Transfer to Road Fund</t>
  </si>
  <si>
    <t xml:space="preserve">    TSA Expenditure</t>
  </si>
  <si>
    <t>Environmental Protection</t>
  </si>
  <si>
    <t>Accountant General</t>
  </si>
  <si>
    <t>Richard S Williams</t>
  </si>
  <si>
    <t>Transfers to Tertiary Educational Institutions</t>
  </si>
  <si>
    <t>Actuals for 2021</t>
  </si>
  <si>
    <t>Jan 21 - Dec 21</t>
  </si>
  <si>
    <t>Jan-Feb</t>
  </si>
  <si>
    <t>FEBRUARY</t>
  </si>
  <si>
    <t>Jan-Mar</t>
  </si>
  <si>
    <t>Jan-April</t>
  </si>
  <si>
    <t>o/w: Transfers to Local Councils</t>
  </si>
  <si>
    <t>Jan-Apr</t>
  </si>
  <si>
    <t>Jan-May</t>
  </si>
  <si>
    <t xml:space="preserve">Privatisation Receipt </t>
  </si>
  <si>
    <t>MAY</t>
  </si>
  <si>
    <t>MARCH</t>
  </si>
  <si>
    <t>Jan-June</t>
  </si>
  <si>
    <t>JUNE</t>
  </si>
  <si>
    <t>APRIL</t>
  </si>
  <si>
    <t>Jan-July</t>
  </si>
  <si>
    <t>.</t>
  </si>
  <si>
    <t>Jan-Aug</t>
  </si>
  <si>
    <t>Jan-Sept</t>
  </si>
  <si>
    <t>SEPTEMBER</t>
  </si>
  <si>
    <t>AUGUST</t>
  </si>
  <si>
    <t>Jan-August</t>
  </si>
  <si>
    <t>Jan-Oct</t>
  </si>
  <si>
    <t>OCTOBER</t>
  </si>
  <si>
    <t>Jan-Nov</t>
  </si>
  <si>
    <t>Jan-Dec</t>
  </si>
  <si>
    <t>In accordance with Section 66(1) of the Public Financial Management Act, 2016 a Statement of Receipts into and Payments out of the Consolidated Fund for the month of December, 2021  as compared with Budgetary Estimates for the year is hereby published.</t>
  </si>
  <si>
    <t>for the month ended 31 December 2021</t>
  </si>
  <si>
    <t>DECEMBER</t>
  </si>
  <si>
    <t>FUNCTIONAL CLASSIFICATION OF EXPENDITURE AND ITEMS FOR THE MONTH OF DECEMBER, 2021</t>
  </si>
  <si>
    <t>NSNI</t>
  </si>
  <si>
    <t>RF</t>
  </si>
  <si>
    <t>TSA</t>
  </si>
  <si>
    <t>DO ARR</t>
  </si>
  <si>
    <t>INT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</si>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</sst>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71" formatCode="_-* #,##0.00_-;\-* #,##0.00_-;_-* &quot;-&quot;??_-;_-@_-"/>
    <numFmt numFmtId="192" formatCode="_-* #,##0_-;\-* #,##0_-;_-* &quot;-&quot;??_-;_-@_-"/>
    <numFmt numFmtId="193" formatCode="_(* #,##0_);_(* \(#,##0\);_(* &quot;-&quot;??_);_(@_)"/>
    <numFmt numFmtId="194" formatCode="_-* #,##0.0_-;\-* #,##0.0_-;_-* &quot;-&quot;??_-;_-@_-"/>
    <numFmt numFmtId="207" formatCode="#,##0,,_);\(#,##0,,\)"/>
    <numFmt numFmtId="222" formatCode="_ * #,##0_ ;_ * \-#,##0_ ;_ * &quot;-&quot;??_ ;_ @_ "/>
  </numFmts>
  <fonts count="22">
    <font>
      <sz val="10"/>
      <name val="Arial"/>
    </font>
    <font>
      <sz val="10"/>
      <name val="Arial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9"/>
      <name val="Arial"/>
      <family val="2"/>
    </font>
    <font>
      <sz val="10"/>
      <color indexed="8"/>
      <name val="Arial"/>
      <family val="2"/>
    </font>
    <font>
      <i/>
      <sz val="12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 Unicode MS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171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1" fillId="0" borderId="0">
      <alignment vertical="top"/>
    </xf>
  </cellStyleXfs>
  <cellXfs count="226">
    <xf numFmtId="0" fontId="0" fillId="0" borderId="0" xfId="0"/>
    <xf numFmtId="0" fontId="4" fillId="0" borderId="0" xfId="0" applyFont="1"/>
    <xf numFmtId="0" fontId="2" fillId="0" borderId="0" xfId="0" applyFont="1"/>
    <xf numFmtId="0" fontId="2" fillId="0" borderId="0" xfId="0" applyFont="1" applyBorder="1"/>
    <xf numFmtId="0" fontId="2" fillId="0" borderId="0" xfId="0" applyFont="1" applyAlignment="1">
      <alignment horizontal="left"/>
    </xf>
    <xf numFmtId="0" fontId="14" fillId="0" borderId="0" xfId="0" applyFont="1"/>
    <xf numFmtId="171" fontId="14" fillId="0" borderId="0" xfId="1" applyFont="1"/>
    <xf numFmtId="193" fontId="15" fillId="0" borderId="0" xfId="0" applyNumberFormat="1" applyFont="1" applyBorder="1"/>
    <xf numFmtId="0" fontId="14" fillId="0" borderId="0" xfId="0" applyFont="1" applyFill="1"/>
    <xf numFmtId="193" fontId="15" fillId="0" borderId="0" xfId="0" applyNumberFormat="1" applyFont="1" applyFill="1" applyBorder="1"/>
    <xf numFmtId="193" fontId="14" fillId="0" borderId="0" xfId="0" applyNumberFormat="1" applyFont="1" applyFill="1" applyBorder="1"/>
    <xf numFmtId="193" fontId="16" fillId="0" borderId="0" xfId="1" applyNumberFormat="1" applyFont="1" applyFill="1" applyBorder="1"/>
    <xf numFmtId="0" fontId="14" fillId="0" borderId="0" xfId="0" applyFont="1" applyFill="1" applyBorder="1"/>
    <xf numFmtId="0" fontId="9" fillId="0" borderId="0" xfId="0" applyFont="1" applyBorder="1"/>
    <xf numFmtId="192" fontId="15" fillId="0" borderId="0" xfId="1" applyNumberFormat="1" applyFont="1" applyBorder="1"/>
    <xf numFmtId="0" fontId="14" fillId="0" borderId="0" xfId="0" applyFont="1" applyBorder="1"/>
    <xf numFmtId="192" fontId="14" fillId="0" borderId="0" xfId="1" applyNumberFormat="1" applyFont="1" applyBorder="1"/>
    <xf numFmtId="193" fontId="14" fillId="0" borderId="0" xfId="0" applyNumberFormat="1" applyFont="1" applyBorder="1"/>
    <xf numFmtId="4" fontId="17" fillId="0" borderId="0" xfId="0" applyNumberFormat="1" applyFont="1" applyBorder="1" applyAlignment="1">
      <alignment vertical="center"/>
    </xf>
    <xf numFmtId="192" fontId="14" fillId="0" borderId="0" xfId="0" applyNumberFormat="1" applyFont="1" applyBorder="1"/>
    <xf numFmtId="192" fontId="4" fillId="0" borderId="1" xfId="2" applyNumberFormat="1" applyFont="1" applyBorder="1" applyAlignment="1">
      <alignment horizontal="center" wrapText="1"/>
    </xf>
    <xf numFmtId="192" fontId="4" fillId="0" borderId="1" xfId="2" applyNumberFormat="1" applyFont="1" applyFill="1" applyBorder="1" applyAlignment="1">
      <alignment horizontal="center" wrapText="1"/>
    </xf>
    <xf numFmtId="0" fontId="4" fillId="0" borderId="1" xfId="4" applyFont="1" applyBorder="1" applyAlignment="1">
      <alignment horizontal="center" wrapText="1"/>
    </xf>
    <xf numFmtId="0" fontId="4" fillId="0" borderId="2" xfId="4" applyFont="1" applyBorder="1" applyAlignment="1">
      <alignment horizontal="center"/>
    </xf>
    <xf numFmtId="0" fontId="4" fillId="0" borderId="2" xfId="4" applyFont="1" applyFill="1" applyBorder="1" applyAlignment="1">
      <alignment horizontal="center"/>
    </xf>
    <xf numFmtId="0" fontId="18" fillId="0" borderId="3" xfId="0" applyFont="1" applyBorder="1"/>
    <xf numFmtId="0" fontId="18" fillId="0" borderId="3" xfId="0" applyFont="1" applyFill="1" applyBorder="1"/>
    <xf numFmtId="0" fontId="18" fillId="0" borderId="4" xfId="0" applyFont="1" applyBorder="1"/>
    <xf numFmtId="0" fontId="18" fillId="0" borderId="4" xfId="0" applyFont="1" applyFill="1" applyBorder="1"/>
    <xf numFmtId="193" fontId="19" fillId="0" borderId="4" xfId="2" applyNumberFormat="1" applyFont="1" applyBorder="1"/>
    <xf numFmtId="193" fontId="19" fillId="0" borderId="4" xfId="2" applyNumberFormat="1" applyFont="1" applyFill="1" applyBorder="1"/>
    <xf numFmtId="193" fontId="19" fillId="0" borderId="4" xfId="1" applyNumberFormat="1" applyFont="1" applyBorder="1"/>
    <xf numFmtId="0" fontId="19" fillId="0" borderId="4" xfId="0" applyFont="1" applyBorder="1"/>
    <xf numFmtId="0" fontId="19" fillId="0" borderId="4" xfId="0" applyFont="1" applyFill="1" applyBorder="1"/>
    <xf numFmtId="193" fontId="19" fillId="0" borderId="4" xfId="1" applyNumberFormat="1" applyFont="1" applyFill="1" applyBorder="1"/>
    <xf numFmtId="193" fontId="19" fillId="0" borderId="2" xfId="1" applyNumberFormat="1" applyFont="1" applyFill="1" applyBorder="1"/>
    <xf numFmtId="193" fontId="19" fillId="0" borderId="2" xfId="1" applyNumberFormat="1" applyFont="1" applyBorder="1"/>
    <xf numFmtId="0" fontId="8" fillId="0" borderId="1" xfId="0" quotePrefix="1" applyFont="1" applyFill="1" applyBorder="1" applyAlignment="1">
      <alignment horizontal="center" vertical="center" wrapText="1"/>
    </xf>
    <xf numFmtId="17" fontId="8" fillId="0" borderId="1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right"/>
    </xf>
    <xf numFmtId="0" fontId="9" fillId="0" borderId="4" xfId="0" applyFont="1" applyFill="1" applyBorder="1"/>
    <xf numFmtId="193" fontId="9" fillId="0" borderId="4" xfId="1" applyNumberFormat="1" applyFont="1" applyFill="1" applyBorder="1"/>
    <xf numFmtId="193" fontId="9" fillId="0" borderId="5" xfId="1" applyNumberFormat="1" applyFont="1" applyFill="1" applyBorder="1"/>
    <xf numFmtId="193" fontId="9" fillId="0" borderId="5" xfId="0" applyNumberFormat="1" applyFont="1" applyFill="1" applyBorder="1"/>
    <xf numFmtId="193" fontId="8" fillId="0" borderId="1" xfId="1" applyNumberFormat="1" applyFont="1" applyFill="1" applyBorder="1"/>
    <xf numFmtId="193" fontId="8" fillId="0" borderId="3" xfId="1" applyNumberFormat="1" applyFont="1" applyFill="1" applyBorder="1"/>
    <xf numFmtId="193" fontId="8" fillId="0" borderId="6" xfId="1" applyNumberFormat="1" applyFont="1" applyFill="1" applyBorder="1"/>
    <xf numFmtId="193" fontId="8" fillId="0" borderId="7" xfId="1" applyNumberFormat="1" applyFont="1" applyFill="1" applyBorder="1"/>
    <xf numFmtId="193" fontId="8" fillId="0" borderId="4" xfId="1" applyNumberFormat="1" applyFont="1" applyFill="1" applyBorder="1"/>
    <xf numFmtId="193" fontId="9" fillId="0" borderId="7" xfId="1" applyNumberFormat="1" applyFont="1" applyFill="1" applyBorder="1"/>
    <xf numFmtId="193" fontId="8" fillId="0" borderId="0" xfId="1" applyNumberFormat="1" applyFont="1" applyFill="1" applyBorder="1"/>
    <xf numFmtId="193" fontId="8" fillId="0" borderId="2" xfId="1" applyNumberFormat="1" applyFont="1" applyFill="1" applyBorder="1"/>
    <xf numFmtId="193" fontId="8" fillId="0" borderId="8" xfId="1" applyNumberFormat="1" applyFont="1" applyFill="1" applyBorder="1"/>
    <xf numFmtId="0" fontId="9" fillId="0" borderId="8" xfId="0" applyFont="1" applyFill="1" applyBorder="1"/>
    <xf numFmtId="0" fontId="9" fillId="0" borderId="9" xfId="0" applyFont="1" applyFill="1" applyBorder="1"/>
    <xf numFmtId="193" fontId="8" fillId="0" borderId="10" xfId="1" applyNumberFormat="1" applyFont="1" applyFill="1" applyBorder="1"/>
    <xf numFmtId="193" fontId="8" fillId="0" borderId="5" xfId="1" applyNumberFormat="1" applyFont="1" applyFill="1" applyBorder="1"/>
    <xf numFmtId="0" fontId="9" fillId="0" borderId="0" xfId="0" applyFont="1" applyFill="1" applyBorder="1"/>
    <xf numFmtId="0" fontId="9" fillId="0" borderId="11" xfId="0" applyFont="1" applyFill="1" applyBorder="1"/>
    <xf numFmtId="0" fontId="9" fillId="0" borderId="10" xfId="0" applyFont="1" applyFill="1" applyBorder="1"/>
    <xf numFmtId="0" fontId="7" fillId="0" borderId="0" xfId="0" applyFont="1" applyFill="1" applyBorder="1"/>
    <xf numFmtId="193" fontId="6" fillId="0" borderId="0" xfId="1" applyNumberFormat="1" applyFont="1" applyFill="1" applyBorder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17" fontId="4" fillId="0" borderId="1" xfId="4" applyNumberFormat="1" applyFont="1" applyBorder="1" applyAlignment="1">
      <alignment horizontal="center" wrapText="1"/>
    </xf>
    <xf numFmtId="193" fontId="12" fillId="0" borderId="4" xfId="1" applyNumberFormat="1" applyFont="1" applyFill="1" applyBorder="1"/>
    <xf numFmtId="207" fontId="12" fillId="0" borderId="4" xfId="1" applyNumberFormat="1" applyFont="1" applyFill="1" applyBorder="1"/>
    <xf numFmtId="193" fontId="19" fillId="0" borderId="2" xfId="2" applyNumberFormat="1" applyFont="1" applyFill="1" applyBorder="1"/>
    <xf numFmtId="37" fontId="12" fillId="0" borderId="4" xfId="1" applyNumberFormat="1" applyFont="1" applyFill="1" applyBorder="1"/>
    <xf numFmtId="0" fontId="8" fillId="0" borderId="12" xfId="0" applyFont="1" applyBorder="1"/>
    <xf numFmtId="0" fontId="9" fillId="0" borderId="13" xfId="0" applyFont="1" applyFill="1" applyBorder="1"/>
    <xf numFmtId="0" fontId="2" fillId="0" borderId="13" xfId="0" applyFont="1" applyBorder="1"/>
    <xf numFmtId="0" fontId="9" fillId="0" borderId="14" xfId="0" applyFont="1" applyBorder="1"/>
    <xf numFmtId="0" fontId="2" fillId="0" borderId="15" xfId="0" applyFont="1" applyBorder="1"/>
    <xf numFmtId="0" fontId="9" fillId="0" borderId="14" xfId="0" applyFont="1" applyBorder="1" applyAlignment="1">
      <alignment horizontal="justify"/>
    </xf>
    <xf numFmtId="0" fontId="9" fillId="0" borderId="0" xfId="0" applyFont="1" applyFill="1" applyBorder="1" applyAlignment="1"/>
    <xf numFmtId="0" fontId="9" fillId="0" borderId="16" xfId="0" applyFont="1" applyBorder="1"/>
    <xf numFmtId="0" fontId="9" fillId="0" borderId="17" xfId="0" applyFont="1" applyBorder="1"/>
    <xf numFmtId="17" fontId="8" fillId="0" borderId="18" xfId="0" applyNumberFormat="1" applyFont="1" applyFill="1" applyBorder="1" applyAlignment="1">
      <alignment horizontal="center" vertical="center" wrapText="1"/>
    </xf>
    <xf numFmtId="0" fontId="9" fillId="0" borderId="19" xfId="0" applyFont="1" applyBorder="1"/>
    <xf numFmtId="0" fontId="8" fillId="0" borderId="20" xfId="0" applyFont="1" applyFill="1" applyBorder="1" applyAlignment="1">
      <alignment horizontal="center"/>
    </xf>
    <xf numFmtId="0" fontId="8" fillId="0" borderId="19" xfId="0" applyFont="1" applyBorder="1"/>
    <xf numFmtId="0" fontId="8" fillId="0" borderId="21" xfId="0" applyFont="1" applyFill="1" applyBorder="1" applyAlignment="1">
      <alignment horizontal="right"/>
    </xf>
    <xf numFmtId="0" fontId="9" fillId="0" borderId="21" xfId="0" applyFont="1" applyFill="1" applyBorder="1"/>
    <xf numFmtId="193" fontId="9" fillId="0" borderId="15" xfId="1" applyNumberFormat="1" applyFont="1" applyFill="1" applyBorder="1"/>
    <xf numFmtId="0" fontId="9" fillId="0" borderId="19" xfId="0" applyFont="1" applyBorder="1" applyAlignment="1">
      <alignment horizontal="left" indent="1"/>
    </xf>
    <xf numFmtId="0" fontId="9" fillId="0" borderId="19" xfId="0" quotePrefix="1" applyFont="1" applyBorder="1" applyAlignment="1">
      <alignment horizontal="left" indent="1"/>
    </xf>
    <xf numFmtId="0" fontId="9" fillId="0" borderId="19" xfId="0" applyFont="1" applyFill="1" applyBorder="1" applyAlignment="1">
      <alignment horizontal="left" indent="1"/>
    </xf>
    <xf numFmtId="0" fontId="8" fillId="0" borderId="22" xfId="0" applyFont="1" applyBorder="1"/>
    <xf numFmtId="193" fontId="8" fillId="0" borderId="20" xfId="1" applyNumberFormat="1" applyFont="1" applyFill="1" applyBorder="1"/>
    <xf numFmtId="0" fontId="8" fillId="0" borderId="19" xfId="0" applyFont="1" applyFill="1" applyBorder="1"/>
    <xf numFmtId="0" fontId="2" fillId="0" borderId="0" xfId="0" applyFont="1" applyFill="1" applyBorder="1"/>
    <xf numFmtId="193" fontId="8" fillId="0" borderId="21" xfId="1" applyNumberFormat="1" applyFont="1" applyFill="1" applyBorder="1"/>
    <xf numFmtId="193" fontId="9" fillId="0" borderId="21" xfId="1" applyNumberFormat="1" applyFont="1" applyFill="1" applyBorder="1"/>
    <xf numFmtId="0" fontId="9" fillId="0" borderId="22" xfId="0" applyFont="1" applyBorder="1"/>
    <xf numFmtId="193" fontId="8" fillId="0" borderId="18" xfId="1" applyNumberFormat="1" applyFont="1" applyFill="1" applyBorder="1"/>
    <xf numFmtId="0" fontId="8" fillId="0" borderId="23" xfId="0" applyFont="1" applyBorder="1"/>
    <xf numFmtId="193" fontId="8" fillId="0" borderId="24" xfId="1" applyNumberFormat="1" applyFont="1" applyFill="1" applyBorder="1"/>
    <xf numFmtId="193" fontId="8" fillId="0" borderId="25" xfId="1" applyNumberFormat="1" applyFont="1" applyFill="1" applyBorder="1"/>
    <xf numFmtId="0" fontId="9" fillId="0" borderId="19" xfId="0" applyFont="1" applyFill="1" applyBorder="1" applyAlignment="1">
      <alignment horizontal="left" indent="4"/>
    </xf>
    <xf numFmtId="207" fontId="12" fillId="0" borderId="21" xfId="1" applyNumberFormat="1" applyFont="1" applyFill="1" applyBorder="1"/>
    <xf numFmtId="0" fontId="9" fillId="0" borderId="19" xfId="0" applyFont="1" applyFill="1" applyBorder="1" applyAlignment="1"/>
    <xf numFmtId="0" fontId="9" fillId="0" borderId="19" xfId="0" applyFont="1" applyFill="1" applyBorder="1" applyAlignment="1">
      <alignment horizontal="left" indent="3"/>
    </xf>
    <xf numFmtId="0" fontId="9" fillId="0" borderId="17" xfId="0" applyFont="1" applyFill="1" applyBorder="1" applyAlignment="1">
      <alignment horizontal="left" indent="1"/>
    </xf>
    <xf numFmtId="0" fontId="9" fillId="0" borderId="26" xfId="0" applyFont="1" applyFill="1" applyBorder="1"/>
    <xf numFmtId="193" fontId="8" fillId="0" borderId="27" xfId="1" applyNumberFormat="1" applyFont="1" applyFill="1" applyBorder="1"/>
    <xf numFmtId="0" fontId="8" fillId="0" borderId="16" xfId="0" applyFont="1" applyBorder="1"/>
    <xf numFmtId="193" fontId="8" fillId="0" borderId="15" xfId="1" applyNumberFormat="1" applyFont="1" applyFill="1" applyBorder="1"/>
    <xf numFmtId="0" fontId="9" fillId="0" borderId="19" xfId="0" applyFont="1" applyFill="1" applyBorder="1" applyAlignment="1">
      <alignment horizontal="left" indent="2"/>
    </xf>
    <xf numFmtId="0" fontId="9" fillId="0" borderId="19" xfId="0" applyFont="1" applyFill="1" applyBorder="1" applyAlignment="1">
      <alignment horizontal="left"/>
    </xf>
    <xf numFmtId="0" fontId="9" fillId="0" borderId="16" xfId="0" applyFont="1" applyFill="1" applyBorder="1"/>
    <xf numFmtId="0" fontId="9" fillId="0" borderId="28" xfId="0" applyFont="1" applyFill="1" applyBorder="1" applyAlignment="1">
      <alignment horizontal="left" indent="1"/>
    </xf>
    <xf numFmtId="0" fontId="9" fillId="0" borderId="27" xfId="0" applyFont="1" applyFill="1" applyBorder="1"/>
    <xf numFmtId="0" fontId="8" fillId="0" borderId="22" xfId="0" applyFont="1" applyBorder="1" applyAlignment="1">
      <alignment wrapText="1"/>
    </xf>
    <xf numFmtId="0" fontId="7" fillId="0" borderId="14" xfId="0" applyFont="1" applyBorder="1"/>
    <xf numFmtId="193" fontId="2" fillId="0" borderId="0" xfId="0" applyNumberFormat="1" applyFont="1" applyBorder="1"/>
    <xf numFmtId="192" fontId="2" fillId="0" borderId="15" xfId="1" applyNumberFormat="1" applyFont="1" applyBorder="1"/>
    <xf numFmtId="37" fontId="2" fillId="0" borderId="0" xfId="0" applyNumberFormat="1" applyFont="1" applyBorder="1"/>
    <xf numFmtId="193" fontId="7" fillId="0" borderId="0" xfId="0" applyNumberFormat="1" applyFont="1" applyFill="1" applyBorder="1"/>
    <xf numFmtId="0" fontId="7" fillId="0" borderId="14" xfId="0" applyFont="1" applyBorder="1" applyAlignment="1">
      <alignment horizontal="left"/>
    </xf>
    <xf numFmtId="0" fontId="2" fillId="0" borderId="29" xfId="0" applyFont="1" applyBorder="1"/>
    <xf numFmtId="0" fontId="2" fillId="0" borderId="30" xfId="0" applyFont="1" applyFill="1" applyBorder="1"/>
    <xf numFmtId="0" fontId="2" fillId="0" borderId="30" xfId="0" applyFont="1" applyBorder="1"/>
    <xf numFmtId="0" fontId="2" fillId="0" borderId="31" xfId="0" applyFont="1" applyBorder="1"/>
    <xf numFmtId="0" fontId="18" fillId="0" borderId="22" xfId="0" applyFont="1" applyBorder="1"/>
    <xf numFmtId="17" fontId="4" fillId="0" borderId="18" xfId="4" applyNumberFormat="1" applyFont="1" applyBorder="1" applyAlignment="1">
      <alignment horizontal="center" wrapText="1"/>
    </xf>
    <xf numFmtId="0" fontId="4" fillId="0" borderId="32" xfId="4" applyFont="1" applyBorder="1" applyAlignment="1">
      <alignment horizontal="center"/>
    </xf>
    <xf numFmtId="0" fontId="4" fillId="0" borderId="16" xfId="4" applyFont="1" applyBorder="1"/>
    <xf numFmtId="0" fontId="18" fillId="0" borderId="20" xfId="0" applyFont="1" applyBorder="1"/>
    <xf numFmtId="0" fontId="10" fillId="0" borderId="19" xfId="4" applyFont="1" applyBorder="1"/>
    <xf numFmtId="0" fontId="18" fillId="0" borderId="21" xfId="0" applyFont="1" applyBorder="1"/>
    <xf numFmtId="0" fontId="18" fillId="0" borderId="19" xfId="0" applyFont="1" applyBorder="1"/>
    <xf numFmtId="0" fontId="2" fillId="0" borderId="19" xfId="4" applyFont="1" applyBorder="1"/>
    <xf numFmtId="193" fontId="19" fillId="0" borderId="21" xfId="2" applyNumberFormat="1" applyFont="1" applyBorder="1"/>
    <xf numFmtId="0" fontId="2" fillId="0" borderId="19" xfId="4" quotePrefix="1" applyFont="1" applyBorder="1" applyAlignment="1">
      <alignment horizontal="left"/>
    </xf>
    <xf numFmtId="0" fontId="2" fillId="0" borderId="17" xfId="4" applyFont="1" applyBorder="1"/>
    <xf numFmtId="192" fontId="5" fillId="0" borderId="14" xfId="2" applyNumberFormat="1" applyFont="1" applyBorder="1"/>
    <xf numFmtId="171" fontId="14" fillId="0" borderId="0" xfId="1" applyFont="1" applyBorder="1"/>
    <xf numFmtId="171" fontId="14" fillId="0" borderId="0" xfId="0" applyNumberFormat="1" applyFont="1" applyBorder="1"/>
    <xf numFmtId="37" fontId="14" fillId="0" borderId="0" xfId="0" applyNumberFormat="1" applyFont="1" applyBorder="1"/>
    <xf numFmtId="0" fontId="14" fillId="0" borderId="15" xfId="0" applyFont="1" applyBorder="1"/>
    <xf numFmtId="0" fontId="2" fillId="0" borderId="14" xfId="0" applyFont="1" applyBorder="1"/>
    <xf numFmtId="0" fontId="14" fillId="0" borderId="14" xfId="0" applyFont="1" applyBorder="1"/>
    <xf numFmtId="0" fontId="2" fillId="0" borderId="14" xfId="0" applyFont="1" applyBorder="1" applyAlignment="1">
      <alignment horizontal="left"/>
    </xf>
    <xf numFmtId="0" fontId="14" fillId="0" borderId="29" xfId="0" applyFont="1" applyBorder="1"/>
    <xf numFmtId="0" fontId="14" fillId="0" borderId="30" xfId="0" applyFont="1" applyBorder="1"/>
    <xf numFmtId="0" fontId="14" fillId="0" borderId="30" xfId="0" applyFont="1" applyFill="1" applyBorder="1"/>
    <xf numFmtId="171" fontId="14" fillId="0" borderId="30" xfId="1" applyFont="1" applyBorder="1"/>
    <xf numFmtId="0" fontId="14" fillId="0" borderId="31" xfId="0" applyFont="1" applyBorder="1"/>
    <xf numFmtId="171" fontId="14" fillId="0" borderId="0" xfId="1" applyFont="1" applyFill="1" applyBorder="1"/>
    <xf numFmtId="43" fontId="14" fillId="0" borderId="0" xfId="0" applyNumberFormat="1" applyFont="1" applyBorder="1"/>
    <xf numFmtId="43" fontId="14" fillId="0" borderId="30" xfId="0" applyNumberFormat="1" applyFont="1" applyBorder="1"/>
    <xf numFmtId="0" fontId="2" fillId="0" borderId="33" xfId="0" applyFont="1" applyBorder="1"/>
    <xf numFmtId="193" fontId="2" fillId="0" borderId="0" xfId="0" applyNumberFormat="1" applyFont="1" applyFill="1"/>
    <xf numFmtId="193" fontId="2" fillId="0" borderId="0" xfId="0" applyNumberFormat="1" applyFont="1"/>
    <xf numFmtId="0" fontId="2" fillId="0" borderId="34" xfId="0" applyFont="1" applyBorder="1"/>
    <xf numFmtId="193" fontId="19" fillId="0" borderId="7" xfId="2" applyNumberFormat="1" applyFont="1" applyFill="1" applyBorder="1"/>
    <xf numFmtId="193" fontId="19" fillId="0" borderId="5" xfId="2" applyNumberFormat="1" applyFont="1" applyFill="1" applyBorder="1"/>
    <xf numFmtId="0" fontId="5" fillId="0" borderId="12" xfId="4" applyFont="1" applyBorder="1"/>
    <xf numFmtId="0" fontId="14" fillId="0" borderId="13" xfId="0" applyFont="1" applyBorder="1"/>
    <xf numFmtId="0" fontId="14" fillId="0" borderId="13" xfId="0" applyFont="1" applyFill="1" applyBorder="1"/>
    <xf numFmtId="171" fontId="14" fillId="0" borderId="13" xfId="1" applyFont="1" applyBorder="1"/>
    <xf numFmtId="0" fontId="14" fillId="0" borderId="34" xfId="0" applyFont="1" applyBorder="1"/>
    <xf numFmtId="0" fontId="18" fillId="0" borderId="33" xfId="0" applyFont="1" applyBorder="1"/>
    <xf numFmtId="0" fontId="18" fillId="0" borderId="15" xfId="0" applyFont="1" applyBorder="1"/>
    <xf numFmtId="193" fontId="19" fillId="0" borderId="15" xfId="2" applyNumberFormat="1" applyFont="1" applyBorder="1"/>
    <xf numFmtId="193" fontId="19" fillId="0" borderId="2" xfId="2" applyNumberFormat="1" applyFont="1" applyBorder="1"/>
    <xf numFmtId="193" fontId="19" fillId="0" borderId="7" xfId="2" applyNumberFormat="1" applyFont="1" applyBorder="1"/>
    <xf numFmtId="193" fontId="19" fillId="0" borderId="0" xfId="2" applyNumberFormat="1" applyFont="1" applyBorder="1"/>
    <xf numFmtId="0" fontId="18" fillId="0" borderId="7" xfId="0" applyFont="1" applyBorder="1"/>
    <xf numFmtId="0" fontId="18" fillId="0" borderId="6" xfId="0" applyFont="1" applyBorder="1"/>
    <xf numFmtId="192" fontId="4" fillId="0" borderId="10" xfId="2" applyNumberFormat="1" applyFont="1" applyFill="1" applyBorder="1" applyAlignment="1">
      <alignment horizontal="center" wrapText="1"/>
    </xf>
    <xf numFmtId="0" fontId="4" fillId="0" borderId="9" xfId="4" applyFont="1" applyFill="1" applyBorder="1" applyAlignment="1">
      <alignment horizontal="center"/>
    </xf>
    <xf numFmtId="222" fontId="20" fillId="0" borderId="0" xfId="0" applyNumberFormat="1" applyFont="1" applyFill="1" applyBorder="1" applyAlignment="1">
      <alignment vertical="top"/>
    </xf>
    <xf numFmtId="0" fontId="8" fillId="0" borderId="2" xfId="0" quotePrefix="1" applyFont="1" applyFill="1" applyBorder="1" applyAlignment="1">
      <alignment horizontal="center" wrapText="1"/>
    </xf>
    <xf numFmtId="0" fontId="8" fillId="0" borderId="35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3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wrapText="1"/>
    </xf>
    <xf numFmtId="0" fontId="8" fillId="0" borderId="32" xfId="0" quotePrefix="1" applyFont="1" applyFill="1" applyBorder="1" applyAlignment="1">
      <alignment horizontal="center" wrapText="1"/>
    </xf>
    <xf numFmtId="222" fontId="20" fillId="0" borderId="5" xfId="0" applyNumberFormat="1" applyFont="1" applyFill="1" applyBorder="1" applyAlignment="1">
      <alignment vertical="top"/>
    </xf>
    <xf numFmtId="193" fontId="19" fillId="0" borderId="5" xfId="2" applyNumberFormat="1" applyFont="1" applyBorder="1"/>
    <xf numFmtId="222" fontId="20" fillId="0" borderId="19" xfId="0" applyNumberFormat="1" applyFont="1" applyFill="1" applyBorder="1" applyAlignment="1">
      <alignment vertical="top"/>
    </xf>
    <xf numFmtId="193" fontId="19" fillId="0" borderId="19" xfId="2" applyNumberFormat="1" applyFont="1" applyFill="1" applyBorder="1"/>
    <xf numFmtId="222" fontId="20" fillId="0" borderId="9" xfId="0" applyNumberFormat="1" applyFont="1" applyFill="1" applyBorder="1" applyAlignment="1">
      <alignment vertical="top"/>
    </xf>
    <xf numFmtId="0" fontId="8" fillId="0" borderId="14" xfId="0" applyFont="1" applyBorder="1"/>
    <xf numFmtId="0" fontId="4" fillId="0" borderId="0" xfId="0" applyFont="1" applyBorder="1"/>
    <xf numFmtId="0" fontId="4" fillId="0" borderId="15" xfId="0" applyFont="1" applyBorder="1"/>
    <xf numFmtId="37" fontId="2" fillId="0" borderId="0" xfId="0" applyNumberFormat="1" applyFont="1" applyFill="1"/>
    <xf numFmtId="3" fontId="2" fillId="0" borderId="0" xfId="0" applyNumberFormat="1" applyFont="1"/>
    <xf numFmtId="3" fontId="2" fillId="0" borderId="0" xfId="0" applyNumberFormat="1" applyFont="1" applyFill="1"/>
    <xf numFmtId="193" fontId="21" fillId="0" borderId="20" xfId="0" applyNumberFormat="1" applyFont="1" applyBorder="1"/>
    <xf numFmtId="193" fontId="21" fillId="0" borderId="36" xfId="0" applyNumberFormat="1" applyFont="1" applyFill="1" applyBorder="1"/>
    <xf numFmtId="192" fontId="4" fillId="0" borderId="16" xfId="2" applyNumberFormat="1" applyFont="1" applyBorder="1"/>
    <xf numFmtId="193" fontId="21" fillId="0" borderId="3" xfId="0" applyNumberFormat="1" applyFont="1" applyBorder="1"/>
    <xf numFmtId="193" fontId="21" fillId="0" borderId="3" xfId="0" applyNumberFormat="1" applyFont="1" applyFill="1" applyBorder="1"/>
    <xf numFmtId="192" fontId="5" fillId="0" borderId="12" xfId="2" applyNumberFormat="1" applyFont="1" applyBorder="1"/>
    <xf numFmtId="193" fontId="15" fillId="0" borderId="13" xfId="0" applyNumberFormat="1" applyFont="1" applyBorder="1"/>
    <xf numFmtId="193" fontId="15" fillId="0" borderId="13" xfId="0" applyNumberFormat="1" applyFont="1" applyFill="1" applyBorder="1"/>
    <xf numFmtId="171" fontId="14" fillId="0" borderId="13" xfId="0" applyNumberFormat="1" applyFont="1" applyBorder="1"/>
    <xf numFmtId="37" fontId="14" fillId="0" borderId="13" xfId="0" applyNumberFormat="1" applyFont="1" applyBorder="1"/>
    <xf numFmtId="193" fontId="21" fillId="0" borderId="13" xfId="0" applyNumberFormat="1" applyFont="1" applyBorder="1"/>
    <xf numFmtId="194" fontId="14" fillId="0" borderId="13" xfId="1" applyNumberFormat="1" applyFont="1" applyBorder="1"/>
    <xf numFmtId="193" fontId="14" fillId="0" borderId="0" xfId="0" applyNumberFormat="1" applyFont="1"/>
    <xf numFmtId="0" fontId="8" fillId="0" borderId="14" xfId="0" quotePrefix="1" applyFont="1" applyBorder="1" applyAlignment="1">
      <alignment horizontal="center" wrapText="1"/>
    </xf>
    <xf numFmtId="0" fontId="8" fillId="0" borderId="0" xfId="0" quotePrefix="1" applyFont="1" applyBorder="1" applyAlignment="1">
      <alignment horizontal="center" wrapText="1"/>
    </xf>
    <xf numFmtId="0" fontId="9" fillId="0" borderId="29" xfId="0" quotePrefix="1" applyFont="1" applyBorder="1" applyAlignment="1">
      <alignment horizontal="center"/>
    </xf>
    <xf numFmtId="0" fontId="9" fillId="0" borderId="30" xfId="0" quotePrefix="1" applyFont="1" applyBorder="1" applyAlignment="1">
      <alignment horizontal="center"/>
    </xf>
    <xf numFmtId="0" fontId="9" fillId="0" borderId="31" xfId="0" quotePrefix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4" fillId="0" borderId="1" xfId="4" applyFont="1" applyBorder="1" applyAlignment="1">
      <alignment horizontal="center"/>
    </xf>
    <xf numFmtId="0" fontId="4" fillId="0" borderId="18" xfId="4" applyFont="1" applyBorder="1" applyAlignment="1">
      <alignment horizontal="center"/>
    </xf>
    <xf numFmtId="0" fontId="4" fillId="0" borderId="28" xfId="4" applyFont="1" applyBorder="1" applyAlignment="1">
      <alignment horizontal="center"/>
    </xf>
    <xf numFmtId="0" fontId="4" fillId="0" borderId="11" xfId="4" applyFont="1" applyBorder="1" applyAlignment="1">
      <alignment horizontal="center"/>
    </xf>
    <xf numFmtId="0" fontId="4" fillId="0" borderId="10" xfId="4" applyFont="1" applyBorder="1" applyAlignment="1">
      <alignment horizontal="center"/>
    </xf>
    <xf numFmtId="0" fontId="4" fillId="0" borderId="10" xfId="4" quotePrefix="1" applyFont="1" applyBorder="1" applyAlignment="1">
      <alignment horizontal="center"/>
    </xf>
    <xf numFmtId="0" fontId="4" fillId="0" borderId="1" xfId="4" quotePrefix="1" applyFont="1" applyBorder="1" applyAlignment="1">
      <alignment horizontal="center"/>
    </xf>
    <xf numFmtId="0" fontId="4" fillId="0" borderId="18" xfId="4" quotePrefix="1" applyFont="1" applyBorder="1" applyAlignment="1">
      <alignment horizontal="center"/>
    </xf>
    <xf numFmtId="0" fontId="13" fillId="0" borderId="14" xfId="0" applyFon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0" fontId="4" fillId="0" borderId="8" xfId="4" quotePrefix="1" applyFont="1" applyBorder="1" applyAlignment="1">
      <alignment horizontal="center"/>
    </xf>
    <xf numFmtId="0" fontId="4" fillId="0" borderId="11" xfId="4" quotePrefix="1" applyFont="1" applyBorder="1" applyAlignment="1">
      <alignment horizontal="center"/>
    </xf>
    <xf numFmtId="0" fontId="4" fillId="0" borderId="8" xfId="4" applyFont="1" applyBorder="1" applyAlignment="1">
      <alignment horizontal="center"/>
    </xf>
  </cellXfs>
  <cellStyles count="8">
    <cellStyle name="Comma 2" xfId="2"/>
    <cellStyle name="Comma 3" xfId="3"/>
    <cellStyle name="Millares" xfId="1" builtinId="3"/>
    <cellStyle name="Normal" xfId="0" builtinId="0"/>
    <cellStyle name="Normal 2" xfId="4"/>
    <cellStyle name="Normal 3" xfId="5"/>
    <cellStyle name="Normal 4" xfId="6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customXml" Target="../customXml/item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plas-03/Downloads/Government%20printing/performance%20reports%20q1q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angura/Desktop/FISCAL%20REPORT/2021/6.%20June/glcodebck%20summari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plas-03/Downloads/Government%20printing/performance%20reports%20q3q4%20new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plas-03/Downloads/Government%20printing/performance%20reports%20q3q4%2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plas-03/Downloads/Government%20printing/performance%20reports%20q3q4%20new%2017092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plas-03/Downloads/Government%20printing/GL%20FOR%20SEPTEMBER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plas-03/Downloads/Government%20printing/performance%20reports%20q3q4most%20recent%20n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plas-03/Downloads/Government%20printing/glcodebck%20summaries%20most%20recent%20n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2021%20Data/FISCAL%20REPORT/2021/8.%20August/PAYROLL%20AUGUST%202.od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2021%20Data/FISCAL%20REPORT/2021/8.%20August/glcodebck%20summaries%20Ad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plas-03/Downloads/fiscal%20report%20for%20first%20quarter%20of%2020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plas-03/Downloads/Government%20printing/off%20which%20others%20reports%20q1q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plas-03/Downloads/performance%20reports%20q3q4%20new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plas-03/Downloads/performance%20reports%20q3q4%2029112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plas-03/Downloads/performance%20reports%20q3q4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plas-03/Downloads/performance%20reports%20q1q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plas-03/Downloads/off%20which%20others%20reports%20q3q4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plas-03/Downloads/performance%20reports%20q1q2%2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plas-03/Downloads/performance%20reports%20q3q4%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plas-03/Downloads/Government%20printing/performance%20reports%20q1q2%2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021%20Data/FISCAL%20REPORT/2021/March/glcodebck%20summari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plas-03/Downloads/Government%20printing/glcodebck%20summaries%20(Recovered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uray/Desktop/FISCAL%20REPORT/2021/4.%20April/glcodebck%20summari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plas-03/Downloads/Government%20printing/performance%20reports%20q1q2%2044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plas-03/Downloads/Government%20printing/performance%20reports%20q3q4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plas-03/Downloads/Government%20printing/off%20which%20others%20reports%20q3q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B14">
            <v>1917.3422640000001</v>
          </cell>
          <cell r="D14">
            <v>3020.3171020700001</v>
          </cell>
          <cell r="F14">
            <v>3229.2288527100004</v>
          </cell>
          <cell r="H14">
            <v>508.5499698000001</v>
          </cell>
        </row>
        <row r="15">
          <cell r="D15">
            <v>507665.01759999996</v>
          </cell>
        </row>
        <row r="17">
          <cell r="B17">
            <v>-278305.19377099996</v>
          </cell>
        </row>
        <row r="19">
          <cell r="C19">
            <v>-531</v>
          </cell>
        </row>
        <row r="20">
          <cell r="B20">
            <v>-10087.915473269999</v>
          </cell>
          <cell r="C20">
            <v>-16301.127116020001</v>
          </cell>
          <cell r="D20">
            <v>-21784.98026385</v>
          </cell>
          <cell r="F20">
            <v>-17201.452340740001</v>
          </cell>
          <cell r="G20">
            <v>-20564.805814199997</v>
          </cell>
          <cell r="H20">
            <v>-19380.04946586</v>
          </cell>
        </row>
        <row r="21">
          <cell r="F21">
            <v>-57974.132170739991</v>
          </cell>
          <cell r="H21">
            <v>-46121.401569570007</v>
          </cell>
        </row>
        <row r="27">
          <cell r="B27">
            <v>-108591.9831628</v>
          </cell>
          <cell r="C27">
            <v>-136151.03391500999</v>
          </cell>
          <cell r="D27">
            <v>-127264.12935642</v>
          </cell>
          <cell r="F27">
            <v>-125695.70391492001</v>
          </cell>
          <cell r="G27">
            <v>-76619.904546000005</v>
          </cell>
        </row>
        <row r="28">
          <cell r="D28">
            <v>-12873.681536300001</v>
          </cell>
          <cell r="F28">
            <v>-3055.3198585300001</v>
          </cell>
          <cell r="G28">
            <v>-1206.2380240600003</v>
          </cell>
        </row>
        <row r="29">
          <cell r="B29">
            <v>-3694.0146060000002</v>
          </cell>
          <cell r="C29">
            <v>-1130.349753</v>
          </cell>
          <cell r="D29">
            <v>-1516.9408519999999</v>
          </cell>
          <cell r="F29">
            <v>-503.974064</v>
          </cell>
          <cell r="G29">
            <v>-1252.7284100000002</v>
          </cell>
          <cell r="H29">
            <v>-819.27353699999992</v>
          </cell>
        </row>
        <row r="32">
          <cell r="B32">
            <v>208268.58130158001</v>
          </cell>
          <cell r="C32">
            <v>-72171.029592130013</v>
          </cell>
          <cell r="D32">
            <v>243360.75312189999</v>
          </cell>
          <cell r="F32">
            <v>-420878.65315165004</v>
          </cell>
          <cell r="G32">
            <v>18115.960806100033</v>
          </cell>
          <cell r="H32">
            <v>11225.649699079971</v>
          </cell>
        </row>
        <row r="33">
          <cell r="B33">
            <v>-36675.339840300003</v>
          </cell>
          <cell r="C33">
            <v>-16287.077032319999</v>
          </cell>
          <cell r="D33">
            <v>-74145.983400419995</v>
          </cell>
          <cell r="F33">
            <v>-10012.845038860001</v>
          </cell>
          <cell r="G33">
            <v>-18228.00224708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CAPX FULL"/>
      <sheetName val="CAPX SUMM"/>
      <sheetName val="CAP101"/>
      <sheetName val="CAP401"/>
      <sheetName val="CAP301"/>
      <sheetName val="PR FULL"/>
      <sheetName val="PR FULL (2)"/>
      <sheetName val="PR101"/>
      <sheetName val="PR401"/>
      <sheetName val="PR306"/>
      <sheetName val="PR302"/>
      <sheetName val="PR203"/>
      <sheetName val="PR201"/>
      <sheetName val="PR305"/>
      <sheetName val="PR304"/>
      <sheetName val="PR300"/>
      <sheetName val="OC FULL"/>
      <sheetName val="OC SUMM"/>
      <sheetName val="OC101"/>
      <sheetName val="OC420"/>
      <sheetName val="OC401"/>
      <sheetName val="OC302"/>
      <sheetName val="OC203"/>
      <sheetName val="OC201"/>
      <sheetName val="OC305"/>
      <sheetName val="OC304"/>
      <sheetName val="OC300"/>
      <sheetName val="Sheet1"/>
    </sheetNames>
    <sheetDataSet>
      <sheetData sheetId="0"/>
      <sheetData sheetId="1"/>
      <sheetData sheetId="2">
        <row r="2">
          <cell r="E2">
            <v>1553.1849999999999</v>
          </cell>
        </row>
        <row r="3">
          <cell r="E3">
            <v>172145.24712245</v>
          </cell>
        </row>
        <row r="4">
          <cell r="E4">
            <v>34957.46</v>
          </cell>
        </row>
      </sheetData>
      <sheetData sheetId="3"/>
      <sheetData sheetId="4"/>
      <sheetData sheetId="5"/>
      <sheetData sheetId="6"/>
      <sheetData sheetId="7">
        <row r="2">
          <cell r="E2">
            <v>90798.693092320013</v>
          </cell>
        </row>
        <row r="3">
          <cell r="E3">
            <v>18869.87083</v>
          </cell>
        </row>
        <row r="4">
          <cell r="E4">
            <v>488.15344499999998</v>
          </cell>
        </row>
        <row r="5">
          <cell r="E5">
            <v>1310.804637</v>
          </cell>
        </row>
        <row r="6">
          <cell r="E6">
            <v>34729.361617000002</v>
          </cell>
        </row>
        <row r="7">
          <cell r="E7">
            <v>15686.783788000001</v>
          </cell>
        </row>
        <row r="8">
          <cell r="E8">
            <v>26432.283533000002</v>
          </cell>
        </row>
        <row r="9">
          <cell r="E9">
            <v>39974.889465</v>
          </cell>
        </row>
        <row r="10">
          <cell r="E10">
            <v>82738.679659999994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E2">
            <v>161903.82125064998</v>
          </cell>
        </row>
        <row r="3">
          <cell r="E3">
            <v>1681.93533166</v>
          </cell>
        </row>
        <row r="4">
          <cell r="E4">
            <v>69283.06397701001</v>
          </cell>
        </row>
        <row r="5">
          <cell r="E5">
            <v>197.26624000000001</v>
          </cell>
        </row>
        <row r="6">
          <cell r="E6">
            <v>29086.855385999999</v>
          </cell>
        </row>
        <row r="7">
          <cell r="E7">
            <v>14045.701444</v>
          </cell>
        </row>
        <row r="8">
          <cell r="E8">
            <v>11597.473119329999</v>
          </cell>
        </row>
        <row r="9">
          <cell r="E9">
            <v>3329.6936615699997</v>
          </cell>
        </row>
        <row r="10">
          <cell r="E10">
            <v>5563.7964270000002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9">
          <cell r="C19">
            <v>0</v>
          </cell>
        </row>
        <row r="20">
          <cell r="C20">
            <v>-15835.74075273</v>
          </cell>
        </row>
        <row r="21">
          <cell r="C21">
            <v>-37315.935124619995</v>
          </cell>
        </row>
        <row r="28">
          <cell r="C28">
            <v>-18119.524001130001</v>
          </cell>
        </row>
        <row r="29">
          <cell r="C29">
            <v>-2250.4553040000001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8">
          <cell r="D28">
            <v>-10760.290941429999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33">
          <cell r="D33">
            <v>-56186.248253110003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"/>
      <sheetName val="CAPEX"/>
      <sheetName val="CAP300"/>
      <sheetName val="CAP304"/>
      <sheetName val="CAP305"/>
      <sheetName val="CAP203"/>
      <sheetName val="CAP405"/>
      <sheetName val="CAP401"/>
      <sheetName val="CAP101"/>
      <sheetName val="OTHER CHARGES"/>
      <sheetName val="OTHER CHARGES (2)"/>
      <sheetName val="OC300"/>
      <sheetName val="OC304"/>
      <sheetName val="OC305"/>
      <sheetName val="OC201"/>
      <sheetName val="OC203"/>
      <sheetName val="OC302"/>
      <sheetName val="OC401"/>
      <sheetName val="OC420"/>
      <sheetName val="OC4101"/>
      <sheetName val="PAYROLL"/>
      <sheetName val="Sheet2"/>
    </sheetNames>
    <sheetDataSet>
      <sheetData sheetId="0" refreshError="1"/>
      <sheetData sheetId="1" refreshError="1"/>
      <sheetData sheetId="2" refreshError="1">
        <row r="40">
          <cell r="I40">
            <v>55307.585864000001</v>
          </cell>
        </row>
        <row r="41">
          <cell r="I41">
            <v>11129.156577</v>
          </cell>
        </row>
        <row r="42">
          <cell r="I42">
            <v>500</v>
          </cell>
        </row>
        <row r="43">
          <cell r="I43">
            <v>5128.0289786200001</v>
          </cell>
        </row>
        <row r="44">
          <cell r="I44">
            <v>1000</v>
          </cell>
        </row>
        <row r="45">
          <cell r="I45">
            <v>36458.767315159996</v>
          </cell>
        </row>
        <row r="46">
          <cell r="I46">
            <v>6522.5475999999999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94">
          <cell r="J194">
            <v>49920.703044829999</v>
          </cell>
        </row>
        <row r="195">
          <cell r="J195">
            <v>4925.4278329999997</v>
          </cell>
        </row>
        <row r="196">
          <cell r="J196">
            <v>6435.7816095500002</v>
          </cell>
        </row>
        <row r="197">
          <cell r="J197">
            <v>28052.567060000001</v>
          </cell>
        </row>
        <row r="198">
          <cell r="J198">
            <v>63146.954921380006</v>
          </cell>
        </row>
        <row r="199">
          <cell r="J199">
            <v>232.946</v>
          </cell>
        </row>
        <row r="200">
          <cell r="J200">
            <v>40351.605146580005</v>
          </cell>
        </row>
        <row r="201">
          <cell r="J201">
            <v>4312.2508662</v>
          </cell>
        </row>
        <row r="202">
          <cell r="J202">
            <v>163021.57857859004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9">
          <cell r="E29">
            <v>-1772.7896710000002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Y"/>
      <sheetName val="PY300"/>
      <sheetName val="PY304"/>
      <sheetName val="PY305"/>
      <sheetName val="PY201"/>
      <sheetName val="PY203"/>
      <sheetName val="PY405"/>
      <sheetName val="PY306"/>
      <sheetName val="PY401"/>
      <sheetName val="PY101"/>
    </sheetNames>
    <sheetDataSet>
      <sheetData sheetId="0" refreshError="1"/>
      <sheetData sheetId="1" refreshError="1"/>
      <sheetData sheetId="2" refreshError="1">
        <row r="2090">
          <cell r="G2090">
            <v>84064.090379999994</v>
          </cell>
        </row>
        <row r="2091">
          <cell r="G2091">
            <v>41859.950457999999</v>
          </cell>
        </row>
        <row r="2092">
          <cell r="G2092">
            <v>14473.587181999999</v>
          </cell>
        </row>
        <row r="2093">
          <cell r="G2093">
            <v>16147.774777000001</v>
          </cell>
        </row>
        <row r="2094">
          <cell r="G2094">
            <v>32781.267564000002</v>
          </cell>
        </row>
        <row r="2095">
          <cell r="G2095">
            <v>599.16159100000004</v>
          </cell>
        </row>
        <row r="2096">
          <cell r="G2096">
            <v>530.28518799999995</v>
          </cell>
        </row>
        <row r="2097">
          <cell r="G2097">
            <v>17867.301089000001</v>
          </cell>
        </row>
        <row r="2098">
          <cell r="G2098">
            <v>97628.758111000003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Pay_300"/>
      <sheetName val="304"/>
      <sheetName val="305"/>
      <sheetName val="201"/>
      <sheetName val="203"/>
      <sheetName val="302"/>
      <sheetName val="306"/>
      <sheetName val="401"/>
      <sheetName val="101"/>
      <sheetName val="XXZ"/>
      <sheetName val="PAYR_300"/>
      <sheetName val="PR_FULL"/>
      <sheetName val="PY300"/>
      <sheetName val="PY304"/>
      <sheetName val="PY305"/>
      <sheetName val="PY201"/>
      <sheetName val="PY203"/>
      <sheetName val="PY405"/>
      <sheetName val="PY306"/>
      <sheetName val="PY401"/>
      <sheetName val="PY1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89">
          <cell r="E89">
            <v>133404.78647600001</v>
          </cell>
        </row>
        <row r="90">
          <cell r="E90">
            <v>43160.851809</v>
          </cell>
        </row>
        <row r="91">
          <cell r="E91">
            <v>29492.442996999998</v>
          </cell>
        </row>
        <row r="92">
          <cell r="E92">
            <v>19481.412380000002</v>
          </cell>
        </row>
        <row r="93">
          <cell r="E93">
            <v>37145.848222000001</v>
          </cell>
        </row>
        <row r="94">
          <cell r="E94">
            <v>1339.4515200000001</v>
          </cell>
        </row>
        <row r="95">
          <cell r="E95">
            <v>518.87624700000003</v>
          </cell>
        </row>
        <row r="96">
          <cell r="E96">
            <v>17109.939415000001</v>
          </cell>
        </row>
        <row r="97">
          <cell r="E97">
            <v>81053.156449000002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3"/>
      <sheetName val="INTEREST"/>
      <sheetName val="DA"/>
      <sheetName val="RF"/>
      <sheetName val="TSA"/>
      <sheetName val="DEV 300"/>
      <sheetName val="DEV 304"/>
      <sheetName val="DEV 305"/>
      <sheetName val="DEV 405"/>
      <sheetName val="DEV 306"/>
      <sheetName val="DEV 401"/>
      <sheetName val="DEV 101"/>
      <sheetName val="OC ACTAL"/>
      <sheetName val="OC 300"/>
      <sheetName val="OC 304"/>
      <sheetName val="OC 305"/>
      <sheetName val="OC 201"/>
      <sheetName val="OC 203"/>
      <sheetName val="OC 302"/>
      <sheetName val="OC 405"/>
      <sheetName val="OC 306"/>
      <sheetName val="OC 401"/>
      <sheetName val="OC 1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4">
          <cell r="F34">
            <v>125202.376678</v>
          </cell>
        </row>
        <row r="35">
          <cell r="F35">
            <v>13633.325852</v>
          </cell>
        </row>
        <row r="36">
          <cell r="F36">
            <v>13000</v>
          </cell>
        </row>
        <row r="37">
          <cell r="F37">
            <v>500</v>
          </cell>
        </row>
        <row r="38">
          <cell r="F38">
            <v>396.85</v>
          </cell>
        </row>
        <row r="39">
          <cell r="F39">
            <v>43812.898016410007</v>
          </cell>
        </row>
        <row r="40">
          <cell r="F40">
            <v>3685.5301450000002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>
        <row r="441">
          <cell r="G441">
            <v>2457.0289419999999</v>
          </cell>
        </row>
        <row r="442">
          <cell r="G442">
            <v>15156.38450819</v>
          </cell>
        </row>
        <row r="443">
          <cell r="G443">
            <v>25678.973748799999</v>
          </cell>
        </row>
        <row r="444">
          <cell r="G444">
            <v>35706.647100000002</v>
          </cell>
        </row>
        <row r="445">
          <cell r="G445">
            <v>13080.125249999999</v>
          </cell>
        </row>
        <row r="446">
          <cell r="G446">
            <v>81446.355866859987</v>
          </cell>
        </row>
        <row r="447">
          <cell r="G447">
            <v>2340.01404</v>
          </cell>
        </row>
        <row r="448">
          <cell r="G448">
            <v>0.50595840000000003</v>
          </cell>
        </row>
        <row r="449">
          <cell r="G449">
            <v>164478.29554980999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4">
          <cell r="G14">
            <v>3124.6439090700001</v>
          </cell>
        </row>
        <row r="19">
          <cell r="G19">
            <v>-5000</v>
          </cell>
        </row>
        <row r="20">
          <cell r="G20">
            <v>-15972.409590410001</v>
          </cell>
        </row>
        <row r="28">
          <cell r="G28">
            <v>-2875.04834347</v>
          </cell>
        </row>
        <row r="29">
          <cell r="G29">
            <v>-235.80356099999997</v>
          </cell>
        </row>
        <row r="32">
          <cell r="G32">
            <v>-116209.49441488001</v>
          </cell>
        </row>
        <row r="33">
          <cell r="G33">
            <v>-46063.060282090002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3">
          <cell r="B3">
            <v>11600000000</v>
          </cell>
          <cell r="C3">
            <v>14180000000</v>
          </cell>
          <cell r="D3">
            <v>21680000000</v>
          </cell>
          <cell r="F3">
            <v>15110000000</v>
          </cell>
          <cell r="G3">
            <v>19050000000</v>
          </cell>
          <cell r="H3">
            <v>13750000000</v>
          </cell>
        </row>
        <row r="4">
          <cell r="B4">
            <v>0</v>
          </cell>
          <cell r="D4">
            <v>7182717484</v>
          </cell>
          <cell r="F4">
            <v>4875320000</v>
          </cell>
          <cell r="G4">
            <v>20491260000</v>
          </cell>
          <cell r="H4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7">
          <cell r="C17">
            <v>-312748.67346078</v>
          </cell>
        </row>
        <row r="28">
          <cell r="E28">
            <v>-15933.145068220003</v>
          </cell>
        </row>
        <row r="33">
          <cell r="E33">
            <v>-47403.846362470002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5">
          <cell r="G15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H14">
            <v>0</v>
          </cell>
        </row>
        <row r="17">
          <cell r="D17">
            <v>-372389.40212167002</v>
          </cell>
        </row>
        <row r="18">
          <cell r="C18">
            <v>-147178.08972280996</v>
          </cell>
          <cell r="G18">
            <v>-137420.94269146005</v>
          </cell>
          <cell r="H18">
            <v>-161872.62520774995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191771.21325259004</v>
          </cell>
          <cell r="C3">
            <v>167818.25438210994</v>
          </cell>
          <cell r="D3">
            <v>255524.22683407008</v>
          </cell>
          <cell r="F3">
            <v>191260.71475480005</v>
          </cell>
          <cell r="G3">
            <v>177801.61382897999</v>
          </cell>
          <cell r="H3">
            <v>268607.07281552011</v>
          </cell>
        </row>
        <row r="4">
          <cell r="B4">
            <v>62514.293598389995</v>
          </cell>
          <cell r="C4">
            <v>71118.928814180006</v>
          </cell>
          <cell r="D4">
            <v>346343.68377256999</v>
          </cell>
          <cell r="F4">
            <v>72325.105448679999</v>
          </cell>
          <cell r="G4">
            <v>61576.827005699997</v>
          </cell>
          <cell r="H4">
            <v>89398.52551053997</v>
          </cell>
        </row>
        <row r="5">
          <cell r="B5">
            <v>77208.829796389997</v>
          </cell>
          <cell r="C5">
            <v>117721.04804914004</v>
          </cell>
          <cell r="D5">
            <v>107643.33444804999</v>
          </cell>
          <cell r="F5">
            <v>95312.303798699999</v>
          </cell>
          <cell r="G5">
            <v>89291.102286740002</v>
          </cell>
          <cell r="H5">
            <v>100522.34608343002</v>
          </cell>
        </row>
        <row r="6">
          <cell r="B6">
            <v>6918.9278060400011</v>
          </cell>
          <cell r="C6">
            <v>15076.492417760001</v>
          </cell>
          <cell r="D6">
            <v>14597.923307399999</v>
          </cell>
          <cell r="F6">
            <v>39110.900093529999</v>
          </cell>
          <cell r="G6">
            <v>41736.784656229996</v>
          </cell>
          <cell r="H6">
            <v>22435.792648960003</v>
          </cell>
        </row>
        <row r="7">
          <cell r="B7">
            <v>6737.080912309998</v>
          </cell>
          <cell r="C7">
            <v>2780.7949167299998</v>
          </cell>
          <cell r="D7">
            <v>16793.370876179997</v>
          </cell>
          <cell r="F7">
            <v>13631.2448542</v>
          </cell>
          <cell r="G7">
            <v>1799.8451734499999</v>
          </cell>
          <cell r="H7">
            <v>5521.7127109800003</v>
          </cell>
        </row>
        <row r="8">
          <cell r="B8">
            <v>40397.785762350002</v>
          </cell>
          <cell r="C8">
            <v>52957.150818400012</v>
          </cell>
          <cell r="D8">
            <v>89024.418601259982</v>
          </cell>
          <cell r="F8">
            <v>59964.469088190024</v>
          </cell>
          <cell r="G8">
            <v>15426.171253500001</v>
          </cell>
          <cell r="H8">
            <v>52664.106507449986</v>
          </cell>
        </row>
        <row r="9">
          <cell r="B9">
            <v>34994.196885840007</v>
          </cell>
          <cell r="C9">
            <v>30986.530721880001</v>
          </cell>
          <cell r="D9">
            <v>51390.314205079994</v>
          </cell>
          <cell r="F9">
            <v>37532.246342930004</v>
          </cell>
          <cell r="G9">
            <v>43620.235431390007</v>
          </cell>
          <cell r="H9">
            <v>40991.982439840001</v>
          </cell>
        </row>
        <row r="10">
          <cell r="B10">
            <v>14717.727035280001</v>
          </cell>
          <cell r="C10">
            <v>15512.55009708</v>
          </cell>
          <cell r="D10">
            <v>18313.837348749999</v>
          </cell>
          <cell r="F10">
            <v>17875.963984580001</v>
          </cell>
          <cell r="G10">
            <v>19052.137542390003</v>
          </cell>
          <cell r="H10">
            <v>19682.8788666</v>
          </cell>
        </row>
        <row r="11">
          <cell r="B11">
            <v>38819.392913920012</v>
          </cell>
          <cell r="C11">
            <v>27403.588713970003</v>
          </cell>
          <cell r="D11">
            <v>38627.569624869997</v>
          </cell>
          <cell r="F11">
            <v>34742.205909010001</v>
          </cell>
          <cell r="G11">
            <v>41182.38397191999</v>
          </cell>
          <cell r="H11">
            <v>38112.735394829993</v>
          </cell>
        </row>
        <row r="12">
          <cell r="B12">
            <v>0</v>
          </cell>
          <cell r="C12">
            <v>0</v>
          </cell>
          <cell r="D12">
            <v>1677.8685555899999</v>
          </cell>
          <cell r="F12">
            <v>4022.1758059400004</v>
          </cell>
          <cell r="G12">
            <v>5110.1980782000001</v>
          </cell>
          <cell r="H12">
            <v>3991.4932441699998</v>
          </cell>
        </row>
        <row r="17">
          <cell r="D17">
            <v>-344396.43337534997</v>
          </cell>
          <cell r="F17">
            <v>-301135.04274671001</v>
          </cell>
          <cell r="G17">
            <v>-313465.78520075988</v>
          </cell>
          <cell r="H17">
            <v>-310402.14509627997</v>
          </cell>
        </row>
        <row r="18">
          <cell r="B18">
            <v>-114433.04096116003</v>
          </cell>
          <cell r="F18">
            <v>-229307.26236695997</v>
          </cell>
        </row>
        <row r="19">
          <cell r="D19">
            <v>-116</v>
          </cell>
        </row>
        <row r="21">
          <cell r="C21">
            <v>-33209.905451530001</v>
          </cell>
          <cell r="D21">
            <v>-67241.490764350005</v>
          </cell>
          <cell r="G21">
            <v>-61080.513702070006</v>
          </cell>
        </row>
        <row r="22">
          <cell r="B22">
            <v>-61700.315161920007</v>
          </cell>
          <cell r="C22">
            <v>-75376.778847000009</v>
          </cell>
          <cell r="D22">
            <v>-360835.79479710007</v>
          </cell>
          <cell r="F22">
            <v>-76828.169265200006</v>
          </cell>
          <cell r="G22">
            <v>-145770.89897252002</v>
          </cell>
          <cell r="H22">
            <v>-172938.59145648003</v>
          </cell>
        </row>
        <row r="24">
          <cell r="B24">
            <v>-173153.62394408</v>
          </cell>
          <cell r="C24">
            <v>-58773.182013509999</v>
          </cell>
          <cell r="D24">
            <v>6368.0199380000004</v>
          </cell>
          <cell r="G24">
            <v>-4408.1825831000033</v>
          </cell>
        </row>
        <row r="25">
          <cell r="B25">
            <v>75562.972112999996</v>
          </cell>
          <cell r="C25">
            <v>193627.99376099999</v>
          </cell>
          <cell r="D25">
            <v>130278.09784221003</v>
          </cell>
          <cell r="F25">
            <v>-114070.68018878001</v>
          </cell>
          <cell r="G25">
            <v>273343.27790877986</v>
          </cell>
          <cell r="H25">
            <v>156501.77038047</v>
          </cell>
        </row>
        <row r="27">
          <cell r="H27">
            <v>-93197.221632000001</v>
          </cell>
        </row>
        <row r="30">
          <cell r="B30">
            <v>-94927.392069000009</v>
          </cell>
          <cell r="C30">
            <v>-102083.075564</v>
          </cell>
          <cell r="D30">
            <v>-85680.872100909997</v>
          </cell>
          <cell r="F30">
            <v>-98745.686597160005</v>
          </cell>
          <cell r="G30">
            <v>-95555.959579729999</v>
          </cell>
          <cell r="H30">
            <v>-77881.360737530005</v>
          </cell>
        </row>
        <row r="34">
          <cell r="B34">
            <v>161880.12908066993</v>
          </cell>
          <cell r="C34">
            <v>199318.78044459998</v>
          </cell>
          <cell r="D34">
            <v>154063.95690162998</v>
          </cell>
          <cell r="F34">
            <v>88997.981886730005</v>
          </cell>
          <cell r="G34">
            <v>175480.09700025999</v>
          </cell>
          <cell r="H34">
            <v>63701.863455619998</v>
          </cell>
        </row>
        <row r="35">
          <cell r="B35">
            <v>3532.00276325</v>
          </cell>
          <cell r="C35">
            <v>-30004.35</v>
          </cell>
          <cell r="D35">
            <v>93568.6</v>
          </cell>
          <cell r="F35">
            <v>-8064.9472367500002</v>
          </cell>
          <cell r="G35">
            <v>0</v>
          </cell>
          <cell r="H35">
            <v>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20940000000</v>
          </cell>
        </row>
        <row r="3">
          <cell r="G3">
            <v>11410000000</v>
          </cell>
          <cell r="H3">
            <v>17220000000</v>
          </cell>
        </row>
        <row r="4">
          <cell r="G4">
            <v>0</v>
          </cell>
          <cell r="H4">
            <v>0</v>
          </cell>
          <cell r="I4">
            <v>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9">
          <cell r="C19">
            <v>-211989.66589777998</v>
          </cell>
          <cell r="D19">
            <v>-331879.65636631998</v>
          </cell>
          <cell r="G19">
            <v>-171814.15833173998</v>
          </cell>
          <cell r="H19">
            <v>-120701.68928025996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C4">
            <v>178852.49009303006</v>
          </cell>
          <cell r="D4">
            <v>166524.71502388996</v>
          </cell>
          <cell r="E4">
            <v>259000.9024542899</v>
          </cell>
          <cell r="G4">
            <v>148054.84495665994</v>
          </cell>
          <cell r="H4">
            <v>201487.89197880001</v>
          </cell>
          <cell r="I4">
            <v>236039.5676036799</v>
          </cell>
        </row>
        <row r="5">
          <cell r="C5">
            <v>86073.369384410005</v>
          </cell>
          <cell r="D5">
            <v>70519.518056360001</v>
          </cell>
          <cell r="E5">
            <v>65922.864587169999</v>
          </cell>
          <cell r="G5">
            <v>77521.9044192</v>
          </cell>
          <cell r="H5">
            <v>85164.654085729999</v>
          </cell>
          <cell r="I5">
            <v>99923.206376839982</v>
          </cell>
        </row>
        <row r="6">
          <cell r="C6">
            <v>110320.53021339999</v>
          </cell>
          <cell r="D6">
            <v>84609.568225889991</v>
          </cell>
          <cell r="E6">
            <v>98764.686777269992</v>
          </cell>
          <cell r="G6">
            <v>91572.415643869987</v>
          </cell>
          <cell r="H6">
            <v>100199.07687178001</v>
          </cell>
          <cell r="I6">
            <v>122852.91539431</v>
          </cell>
        </row>
        <row r="7">
          <cell r="C7">
            <v>47871.832884700008</v>
          </cell>
          <cell r="D7">
            <v>17763.94228978</v>
          </cell>
          <cell r="E7">
            <v>29979.08614748</v>
          </cell>
          <cell r="G7">
            <v>131713.34035020001</v>
          </cell>
          <cell r="H7">
            <v>22949.707236579998</v>
          </cell>
          <cell r="I7">
            <v>132367.39363440001</v>
          </cell>
        </row>
        <row r="8">
          <cell r="C8">
            <v>1178.4418334300001</v>
          </cell>
          <cell r="D8">
            <v>2422.8097757699998</v>
          </cell>
          <cell r="E8">
            <v>5082.3405751700002</v>
          </cell>
          <cell r="G8">
            <v>12984.149270779999</v>
          </cell>
          <cell r="H8">
            <v>3704.1857239299989</v>
          </cell>
          <cell r="I8">
            <v>8315.8095124499978</v>
          </cell>
        </row>
        <row r="9">
          <cell r="C9">
            <v>79041.805893869983</v>
          </cell>
          <cell r="D9">
            <v>28962.633867079989</v>
          </cell>
          <cell r="E9">
            <v>21498.636366519997</v>
          </cell>
          <cell r="G9">
            <v>26820.294479310003</v>
          </cell>
          <cell r="H9">
            <v>60537.144228779973</v>
          </cell>
          <cell r="I9">
            <v>90874.194178400008</v>
          </cell>
        </row>
        <row r="10">
          <cell r="C10">
            <v>43539.626142699999</v>
          </cell>
          <cell r="D10">
            <v>33121.887842840006</v>
          </cell>
          <cell r="E10">
            <v>21143.025445969997</v>
          </cell>
          <cell r="G10">
            <v>24296.263058069999</v>
          </cell>
          <cell r="H10">
            <v>8218.0438140599999</v>
          </cell>
          <cell r="I10">
            <v>5799.0563214700005</v>
          </cell>
        </row>
        <row r="11">
          <cell r="C11">
            <v>19882.610486289999</v>
          </cell>
          <cell r="D11">
            <v>16329.776379120001</v>
          </cell>
          <cell r="E11">
            <v>15338.385913799999</v>
          </cell>
          <cell r="G11">
            <v>16156.003619809999</v>
          </cell>
          <cell r="H11">
            <v>17139.64942604</v>
          </cell>
          <cell r="I11">
            <v>21837.31222842</v>
          </cell>
        </row>
        <row r="12">
          <cell r="C12">
            <v>43747.629973339994</v>
          </cell>
          <cell r="D12">
            <v>37798.603904920004</v>
          </cell>
          <cell r="E12">
            <v>35764.521646240006</v>
          </cell>
          <cell r="G12">
            <v>45015.952073100016</v>
          </cell>
          <cell r="H12">
            <v>32464.043730789996</v>
          </cell>
          <cell r="I12">
            <v>52150.190768130029</v>
          </cell>
        </row>
        <row r="13">
          <cell r="C13">
            <v>2635.76470767</v>
          </cell>
          <cell r="D13">
            <v>2665.0721659299998</v>
          </cell>
          <cell r="E13">
            <v>4933.4429446900012</v>
          </cell>
          <cell r="G13">
            <v>3561.3272390900001</v>
          </cell>
          <cell r="H13">
            <v>6577.5501157099998</v>
          </cell>
          <cell r="I13">
            <v>5671.15179704</v>
          </cell>
        </row>
        <row r="14">
          <cell r="I14">
            <v>517.93127874999993</v>
          </cell>
        </row>
        <row r="18">
          <cell r="E18">
            <v>-304167.94674799999</v>
          </cell>
          <cell r="G18">
            <v>-313106.82120874</v>
          </cell>
          <cell r="H18">
            <v>-335014.56236985995</v>
          </cell>
          <cell r="I18">
            <v>-305964.89033740002</v>
          </cell>
        </row>
        <row r="19">
          <cell r="D19">
            <v>-257644.94841458998</v>
          </cell>
          <cell r="E19">
            <v>-251281.74173420999</v>
          </cell>
        </row>
        <row r="20">
          <cell r="H20">
            <v>-2500</v>
          </cell>
        </row>
        <row r="21">
          <cell r="H21">
            <v>-20266.366412380001</v>
          </cell>
          <cell r="I21">
            <v>-20043.974249520001</v>
          </cell>
        </row>
        <row r="22">
          <cell r="A22" t="str">
            <v>TSA Expenditure</v>
          </cell>
          <cell r="B22">
            <v>-298674.27047709003</v>
          </cell>
          <cell r="C22">
            <v>-37315.935124619995</v>
          </cell>
          <cell r="D22">
            <v>-66453.457758689983</v>
          </cell>
          <cell r="E22">
            <v>-46787.552244599996</v>
          </cell>
          <cell r="F22">
            <v>-150556.94512791</v>
          </cell>
          <cell r="G22">
            <v>-24290.651804200003</v>
          </cell>
          <cell r="H22">
            <v>-74309.184795469992</v>
          </cell>
          <cell r="I22">
            <v>-66018.702307069994</v>
          </cell>
          <cell r="J22">
            <v>-164618.53890674</v>
          </cell>
          <cell r="K22">
            <v>-613849.75451173971</v>
          </cell>
        </row>
        <row r="23">
          <cell r="C23">
            <v>-119876.72677931002</v>
          </cell>
          <cell r="D23">
            <v>-126416.17078797</v>
          </cell>
          <cell r="E23">
            <v>-110276.50061478</v>
          </cell>
          <cell r="G23">
            <v>-8502.4319011299995</v>
          </cell>
          <cell r="H23">
            <v>-195203.89107490002</v>
          </cell>
          <cell r="I23">
            <v>-44613.704573100025</v>
          </cell>
        </row>
        <row r="25">
          <cell r="D25">
            <v>-15307.188028019988</v>
          </cell>
          <cell r="E25">
            <v>57.206394999996263</v>
          </cell>
          <cell r="G25">
            <v>1549.1813220000054</v>
          </cell>
          <cell r="H25">
            <v>2934.4759229999995</v>
          </cell>
          <cell r="I25">
            <v>820669.06738878007</v>
          </cell>
        </row>
        <row r="26">
          <cell r="C26">
            <v>107357.13619704005</v>
          </cell>
          <cell r="D26">
            <v>-63554.89388749998</v>
          </cell>
          <cell r="E26">
            <v>-89713.529938290012</v>
          </cell>
          <cell r="G26">
            <v>-109860.57856566001</v>
          </cell>
          <cell r="H26">
            <v>9304.7408459000144</v>
          </cell>
          <cell r="I26">
            <v>-568820.65965917008</v>
          </cell>
        </row>
        <row r="28">
          <cell r="G28">
            <v>-43538.394847579999</v>
          </cell>
          <cell r="H28">
            <v>-59384.857165440008</v>
          </cell>
          <cell r="I28">
            <v>-106983.98616560001</v>
          </cell>
        </row>
        <row r="29">
          <cell r="H29">
            <v>-1374.5971440200001</v>
          </cell>
          <cell r="I29">
            <v>-6835.4783365400008</v>
          </cell>
        </row>
        <row r="30">
          <cell r="H30">
            <v>-705.85547499999996</v>
          </cell>
          <cell r="I30">
            <v>-3614.7612840000006</v>
          </cell>
        </row>
        <row r="31">
          <cell r="C31">
            <v>-86233.235878679989</v>
          </cell>
          <cell r="D31">
            <v>-3904.7910857799998</v>
          </cell>
          <cell r="E31">
            <v>-47424.310422989998</v>
          </cell>
          <cell r="G31">
            <v>-28330.998647440003</v>
          </cell>
          <cell r="H31">
            <v>-12314.746410559996</v>
          </cell>
          <cell r="I31">
            <v>-27795.359255640004</v>
          </cell>
        </row>
        <row r="33">
          <cell r="H33">
            <v>129413.76548283003</v>
          </cell>
          <cell r="I33">
            <v>6391.1832102400531</v>
          </cell>
        </row>
        <row r="34">
          <cell r="H34">
            <v>-35168.817689650001</v>
          </cell>
          <cell r="I34">
            <v>-169558.60866390998</v>
          </cell>
        </row>
        <row r="35">
          <cell r="C35">
            <v>160769.29480703</v>
          </cell>
          <cell r="D35">
            <v>291125.44644592004</v>
          </cell>
          <cell r="E35">
            <v>95073.041209799994</v>
          </cell>
          <cell r="G35">
            <v>184315.75289115999</v>
          </cell>
          <cell r="H35">
            <v>-17197.61004168</v>
          </cell>
          <cell r="I35">
            <v>63423.242937499992</v>
          </cell>
        </row>
        <row r="36">
          <cell r="C36">
            <v>-4201.3042367500002</v>
          </cell>
          <cell r="D36">
            <v>49128.85</v>
          </cell>
          <cell r="E36">
            <v>-9446.35</v>
          </cell>
          <cell r="G36">
            <v>-5564.0472367500006</v>
          </cell>
          <cell r="I36">
            <v>-68000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5">
          <cell r="F15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EV SUMM"/>
      <sheetName val="DEV101"/>
      <sheetName val="DEV401"/>
      <sheetName val="DEV203"/>
      <sheetName val="DEV201"/>
      <sheetName val="DEV304"/>
      <sheetName val="DEV300"/>
      <sheetName val="OC SUMM"/>
      <sheetName val="OC101"/>
      <sheetName val="OC420"/>
      <sheetName val="OC401"/>
      <sheetName val="OC306"/>
      <sheetName val="OC302"/>
      <sheetName val="OC203"/>
      <sheetName val="OC201"/>
      <sheetName val="OC305"/>
      <sheetName val="OC304"/>
      <sheetName val="OC300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E4">
            <v>258972.46810755998</v>
          </cell>
        </row>
        <row r="5">
          <cell r="E5">
            <v>3290.94429524</v>
          </cell>
        </row>
        <row r="6">
          <cell r="E6">
            <v>98716.644126519997</v>
          </cell>
        </row>
        <row r="7">
          <cell r="E7">
            <v>2530.9454999999998</v>
          </cell>
        </row>
        <row r="8">
          <cell r="E8">
            <v>1387.57111728</v>
          </cell>
        </row>
        <row r="9">
          <cell r="E9">
            <v>45166.886037999997</v>
          </cell>
        </row>
        <row r="10">
          <cell r="E10">
            <v>5917.9359999999997</v>
          </cell>
        </row>
        <row r="11">
          <cell r="E11">
            <v>17962.55518395</v>
          </cell>
        </row>
        <row r="12">
          <cell r="E12">
            <v>5167.4907439999997</v>
          </cell>
        </row>
        <row r="13">
          <cell r="E13">
            <v>79506.261853000004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APEX"/>
      <sheetName val="CAPEX SUMM"/>
      <sheetName val="CAP101"/>
      <sheetName val="CAP401"/>
      <sheetName val="CAP203"/>
      <sheetName val="CAP305"/>
      <sheetName val="CAP304"/>
      <sheetName val="CAP300"/>
      <sheetName val="OCHARGS"/>
      <sheetName val="OC SUMM"/>
      <sheetName val="OC101"/>
      <sheetName val="OC401"/>
      <sheetName val="OC420"/>
      <sheetName val="OC302"/>
      <sheetName val="OC203"/>
      <sheetName val="OC201"/>
      <sheetName val="OC305"/>
      <sheetName val="OC304"/>
      <sheetName val="OC300"/>
      <sheetName val="NSNI"/>
      <sheetName val="INT"/>
      <sheetName val="DOM ARR"/>
      <sheetName val="RMFA"/>
      <sheetName val="TSA"/>
      <sheetName val="PAYROLL"/>
      <sheetName val="PR SUM"/>
      <sheetName val="PR101"/>
      <sheetName val="PR401"/>
      <sheetName val="PR306"/>
      <sheetName val="PR302"/>
      <sheetName val="PR203"/>
      <sheetName val="PR201"/>
      <sheetName val="PR305"/>
      <sheetName val="PR304"/>
      <sheetName val="PR300"/>
    </sheetNames>
    <sheetDataSet>
      <sheetData sheetId="0" refreshError="1"/>
      <sheetData sheetId="1" refreshError="1"/>
      <sheetData sheetId="2" refreshError="1">
        <row r="2">
          <cell r="F2">
            <v>17014.030903999999</v>
          </cell>
        </row>
        <row r="3">
          <cell r="F3">
            <v>105100.02686605</v>
          </cell>
        </row>
        <row r="4">
          <cell r="F4">
            <v>32604.58914</v>
          </cell>
        </row>
        <row r="5">
          <cell r="F5">
            <v>11904.7</v>
          </cell>
        </row>
        <row r="6">
          <cell r="F6">
            <v>14643.208339000001</v>
          </cell>
        </row>
        <row r="7">
          <cell r="F7">
            <v>7166.8515369999996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F2">
            <v>180464.24649029001</v>
          </cell>
        </row>
        <row r="3">
          <cell r="F3">
            <v>68710.464898999999</v>
          </cell>
        </row>
        <row r="4">
          <cell r="F4">
            <v>2396.2894685700003</v>
          </cell>
        </row>
        <row r="5">
          <cell r="F5">
            <v>3349.5990000000002</v>
          </cell>
        </row>
        <row r="6">
          <cell r="F6">
            <v>28770.600859980001</v>
          </cell>
        </row>
        <row r="7">
          <cell r="F7">
            <v>124026.836235</v>
          </cell>
        </row>
        <row r="8">
          <cell r="F8">
            <v>10538.381637819999</v>
          </cell>
        </row>
        <row r="9">
          <cell r="F9">
            <v>1657.15765474</v>
          </cell>
        </row>
        <row r="10">
          <cell r="F10">
            <v>10731.150009999999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2">
          <cell r="F2">
            <v>82968.744286999994</v>
          </cell>
        </row>
        <row r="3">
          <cell r="F3">
            <v>38663.462781000002</v>
          </cell>
        </row>
        <row r="4">
          <cell r="F4">
            <v>30501.51182</v>
          </cell>
        </row>
        <row r="5">
          <cell r="F5">
            <v>15784.225414</v>
          </cell>
        </row>
        <row r="6">
          <cell r="F6">
            <v>35352.785306999998</v>
          </cell>
        </row>
        <row r="7">
          <cell r="F7">
            <v>1262.3397460000001</v>
          </cell>
        </row>
        <row r="8">
          <cell r="F8">
            <v>439.590172</v>
          </cell>
        </row>
        <row r="9">
          <cell r="F9">
            <v>15989.658249</v>
          </cell>
        </row>
        <row r="10">
          <cell r="F10">
            <v>93483.476945959992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APEX"/>
      <sheetName val="CAPEX summ"/>
      <sheetName val="cap101"/>
      <sheetName val="cap401"/>
      <sheetName val="Cap203"/>
      <sheetName val="CAP201"/>
      <sheetName val="CAP305"/>
      <sheetName val="CAP304"/>
      <sheetName val="CAP300"/>
      <sheetName val="PR"/>
      <sheetName val="SUMM"/>
      <sheetName val="PR101"/>
      <sheetName val="PR420"/>
      <sheetName val="PR306"/>
      <sheetName val="PR302"/>
      <sheetName val="PR203"/>
      <sheetName val="PR201"/>
      <sheetName val="PR305"/>
      <sheetName val="PR304"/>
      <sheetName val="PR300"/>
      <sheetName val="OC"/>
      <sheetName val="OC SUMM"/>
      <sheetName val="OC101"/>
      <sheetName val="OC401"/>
      <sheetName val="OC420"/>
      <sheetName val="OC302"/>
      <sheetName val="OC 203"/>
      <sheetName val="OC201"/>
      <sheetName val="OC305"/>
      <sheetName val="OC304"/>
      <sheetName val="OC300"/>
      <sheetName val="SUMMARY"/>
      <sheetName val="NSNI"/>
      <sheetName val="RMF"/>
      <sheetName val="TSA"/>
      <sheetName val="INT"/>
      <sheetName val="DOM ARR"/>
    </sheetNames>
    <sheetDataSet>
      <sheetData sheetId="0"/>
      <sheetData sheetId="1"/>
      <sheetData sheetId="2">
        <row r="2">
          <cell r="E2">
            <v>6197.32</v>
          </cell>
        </row>
        <row r="3">
          <cell r="E3">
            <v>66778.368939330001</v>
          </cell>
        </row>
        <row r="4">
          <cell r="E4">
            <v>4268.0355623200003</v>
          </cell>
        </row>
        <row r="5">
          <cell r="E5">
            <v>3454.2647000000002</v>
          </cell>
        </row>
        <row r="6">
          <cell r="E6">
            <v>801.94</v>
          </cell>
        </row>
        <row r="7">
          <cell r="E7">
            <v>304.91298</v>
          </cell>
        </row>
        <row r="8">
          <cell r="E8">
            <v>597.24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E2">
            <v>95663.014488999994</v>
          </cell>
        </row>
        <row r="3">
          <cell r="E3">
            <v>17179.266185</v>
          </cell>
        </row>
        <row r="4">
          <cell r="E4">
            <v>453.91146800000001</v>
          </cell>
        </row>
        <row r="5">
          <cell r="E5">
            <v>1405.535513</v>
          </cell>
        </row>
        <row r="6">
          <cell r="E6">
            <v>35544.048676999999</v>
          </cell>
        </row>
        <row r="7">
          <cell r="E7">
            <v>15833.745838999999</v>
          </cell>
        </row>
        <row r="8">
          <cell r="E8">
            <v>16556.057011000001</v>
          </cell>
        </row>
        <row r="9">
          <cell r="E9">
            <v>35627.534838</v>
          </cell>
        </row>
        <row r="10">
          <cell r="E10">
            <v>83228.788916999998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F2">
            <v>260286.06418441</v>
          </cell>
        </row>
        <row r="3">
          <cell r="F3">
            <v>55977.120355800005</v>
          </cell>
        </row>
        <row r="4">
          <cell r="F4">
            <v>3632.1048159699999</v>
          </cell>
        </row>
        <row r="5">
          <cell r="F5">
            <v>1604.4929299999999</v>
          </cell>
        </row>
        <row r="6">
          <cell r="F6">
            <v>13216.743700000001</v>
          </cell>
        </row>
        <row r="7">
          <cell r="F7">
            <v>8360.6767960200013</v>
          </cell>
        </row>
        <row r="8">
          <cell r="F8">
            <v>3744.1213444</v>
          </cell>
        </row>
        <row r="9">
          <cell r="F9">
            <v>12552.8231</v>
          </cell>
        </row>
        <row r="10">
          <cell r="F10">
            <v>42451.938531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9">
          <cell r="H29">
            <v>-5329.2041424700001</v>
          </cell>
        </row>
        <row r="34">
          <cell r="H34">
            <v>-36824.602965099999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4">
          <cell r="C14">
            <v>1897.7287980000001</v>
          </cell>
          <cell r="D14">
            <v>0</v>
          </cell>
          <cell r="E14">
            <v>2332.9456596999999</v>
          </cell>
        </row>
        <row r="15">
          <cell r="C15">
            <v>454086.53759999998</v>
          </cell>
          <cell r="D15">
            <v>0</v>
          </cell>
          <cell r="E15">
            <v>0</v>
          </cell>
        </row>
        <row r="19">
          <cell r="E19">
            <v>-1200</v>
          </cell>
        </row>
        <row r="20">
          <cell r="E20">
            <v>-14008.90100966</v>
          </cell>
        </row>
        <row r="21">
          <cell r="E21">
            <v>-46787.552244599996</v>
          </cell>
        </row>
        <row r="24">
          <cell r="C24">
            <v>614.22827899999777</v>
          </cell>
        </row>
        <row r="27">
          <cell r="C27">
            <v>-151501.05878942</v>
          </cell>
          <cell r="D27">
            <v>-32375.6537451</v>
          </cell>
          <cell r="E27">
            <v>-71374.04063814001</v>
          </cell>
        </row>
        <row r="29">
          <cell r="D29">
            <v>-861.68975300000011</v>
          </cell>
        </row>
        <row r="32">
          <cell r="C32">
            <v>-362010.40942193009</v>
          </cell>
          <cell r="D32">
            <v>252413.98577773001</v>
          </cell>
          <cell r="E32">
            <v>99034.965142369998</v>
          </cell>
        </row>
        <row r="33">
          <cell r="C33">
            <v>-52207.650893390004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3">
          <cell r="C3">
            <v>13900000000</v>
          </cell>
          <cell r="D3">
            <v>16400000000</v>
          </cell>
          <cell r="E3">
            <v>13620000000</v>
          </cell>
        </row>
        <row r="4">
          <cell r="C4">
            <v>18325720000</v>
          </cell>
          <cell r="D4">
            <v>11820000003</v>
          </cell>
          <cell r="E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4"/>
  <sheetViews>
    <sheetView topLeftCell="A48" zoomScaleNormal="100" workbookViewId="0">
      <selection activeCell="AA57" sqref="AA57"/>
    </sheetView>
  </sheetViews>
  <sheetFormatPr baseColWidth="10" defaultColWidth="9.1796875" defaultRowHeight="11.5"/>
  <cols>
    <col min="1" max="1" width="42.81640625" style="2" customWidth="1"/>
    <col min="2" max="2" width="23.26953125" style="64" customWidth="1"/>
    <col min="3" max="3" width="20.81640625" style="64" hidden="1" customWidth="1"/>
    <col min="4" max="23" width="19" style="2" hidden="1" customWidth="1"/>
    <col min="24" max="25" width="19" style="2" bestFit="1" customWidth="1"/>
    <col min="26" max="16384" width="9.1796875" style="2"/>
  </cols>
  <sheetData>
    <row r="1" spans="1:25" ht="16.5" customHeight="1">
      <c r="A1" s="70" t="s">
        <v>30</v>
      </c>
      <c r="B1" s="71"/>
      <c r="C1" s="71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156"/>
      <c r="V1" s="72"/>
      <c r="W1" s="156"/>
    </row>
    <row r="2" spans="1:25" ht="9" customHeight="1">
      <c r="A2" s="73"/>
      <c r="B2" s="58"/>
      <c r="C2" s="58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74"/>
      <c r="V2" s="3"/>
      <c r="W2" s="74"/>
    </row>
    <row r="3" spans="1:25" ht="62.25" customHeight="1">
      <c r="A3" s="205" t="s">
        <v>95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</row>
    <row r="4" spans="1:25" ht="16" thickBot="1">
      <c r="A4" s="75"/>
      <c r="B4" s="76"/>
      <c r="C4" s="7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74"/>
      <c r="V4" s="3"/>
      <c r="W4" s="74"/>
    </row>
    <row r="5" spans="1:25" ht="16" customHeight="1">
      <c r="A5" s="210" t="s">
        <v>33</v>
      </c>
      <c r="B5" s="211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1"/>
      <c r="W5" s="211"/>
      <c r="X5" s="211"/>
      <c r="Y5" s="212"/>
    </row>
    <row r="6" spans="1:25" ht="16" customHeight="1" thickBot="1">
      <c r="A6" s="207" t="s">
        <v>96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9"/>
    </row>
    <row r="7" spans="1:25" ht="36.75" customHeight="1">
      <c r="A7" s="80"/>
      <c r="B7" s="175" t="s">
        <v>31</v>
      </c>
      <c r="C7" s="176" t="s">
        <v>69</v>
      </c>
      <c r="D7" s="176" t="s">
        <v>69</v>
      </c>
      <c r="E7" s="176" t="s">
        <v>69</v>
      </c>
      <c r="F7" s="176" t="s">
        <v>69</v>
      </c>
      <c r="G7" s="176" t="s">
        <v>69</v>
      </c>
      <c r="H7" s="176" t="s">
        <v>69</v>
      </c>
      <c r="I7" s="177" t="s">
        <v>69</v>
      </c>
      <c r="J7" s="176" t="s">
        <v>69</v>
      </c>
      <c r="K7" s="177" t="s">
        <v>69</v>
      </c>
      <c r="L7" s="176" t="s">
        <v>69</v>
      </c>
      <c r="M7" s="177" t="s">
        <v>69</v>
      </c>
      <c r="N7" s="176" t="s">
        <v>69</v>
      </c>
      <c r="O7" s="177" t="s">
        <v>69</v>
      </c>
      <c r="P7" s="176" t="s">
        <v>69</v>
      </c>
      <c r="Q7" s="178" t="s">
        <v>69</v>
      </c>
      <c r="R7" s="176" t="s">
        <v>69</v>
      </c>
      <c r="S7" s="178" t="s">
        <v>69</v>
      </c>
      <c r="T7" s="176" t="s">
        <v>69</v>
      </c>
      <c r="U7" s="178" t="s">
        <v>69</v>
      </c>
      <c r="V7" s="176" t="s">
        <v>69</v>
      </c>
      <c r="W7" s="178" t="s">
        <v>69</v>
      </c>
      <c r="X7" s="176" t="s">
        <v>69</v>
      </c>
      <c r="Y7" s="178" t="s">
        <v>69</v>
      </c>
    </row>
    <row r="8" spans="1:25" ht="51" customHeight="1">
      <c r="A8" s="78"/>
      <c r="B8" s="37" t="s">
        <v>70</v>
      </c>
      <c r="C8" s="38">
        <v>44197</v>
      </c>
      <c r="D8" s="38">
        <v>44228</v>
      </c>
      <c r="E8" s="38" t="s">
        <v>71</v>
      </c>
      <c r="F8" s="38">
        <v>44256</v>
      </c>
      <c r="G8" s="38" t="s">
        <v>73</v>
      </c>
      <c r="H8" s="38">
        <v>44287</v>
      </c>
      <c r="I8" s="38" t="s">
        <v>77</v>
      </c>
      <c r="J8" s="38">
        <v>44317</v>
      </c>
      <c r="K8" s="38" t="s">
        <v>77</v>
      </c>
      <c r="L8" s="38">
        <v>44348</v>
      </c>
      <c r="M8" s="38" t="s">
        <v>81</v>
      </c>
      <c r="N8" s="38">
        <v>44378</v>
      </c>
      <c r="O8" s="38" t="s">
        <v>84</v>
      </c>
      <c r="P8" s="38">
        <v>44409</v>
      </c>
      <c r="Q8" s="79" t="s">
        <v>86</v>
      </c>
      <c r="R8" s="38">
        <v>44440</v>
      </c>
      <c r="S8" s="79" t="s">
        <v>87</v>
      </c>
      <c r="T8" s="38">
        <v>44470</v>
      </c>
      <c r="U8" s="79" t="s">
        <v>91</v>
      </c>
      <c r="V8" s="38">
        <v>44501</v>
      </c>
      <c r="W8" s="79" t="s">
        <v>93</v>
      </c>
      <c r="X8" s="38">
        <v>44531</v>
      </c>
      <c r="Y8" s="79" t="s">
        <v>94</v>
      </c>
    </row>
    <row r="9" spans="1:25" s="3" customFormat="1" ht="16" customHeight="1">
      <c r="A9" s="80"/>
      <c r="B9" s="39" t="s">
        <v>0</v>
      </c>
      <c r="C9" s="39" t="s">
        <v>0</v>
      </c>
      <c r="D9" s="39" t="s">
        <v>0</v>
      </c>
      <c r="E9" s="39" t="s">
        <v>0</v>
      </c>
      <c r="F9" s="39" t="s">
        <v>0</v>
      </c>
      <c r="G9" s="39" t="s">
        <v>0</v>
      </c>
      <c r="H9" s="39" t="s">
        <v>0</v>
      </c>
      <c r="I9" s="39" t="s">
        <v>0</v>
      </c>
      <c r="J9" s="39" t="s">
        <v>0</v>
      </c>
      <c r="K9" s="39" t="s">
        <v>0</v>
      </c>
      <c r="L9" s="39" t="s">
        <v>0</v>
      </c>
      <c r="M9" s="39" t="s">
        <v>0</v>
      </c>
      <c r="N9" s="39" t="s">
        <v>0</v>
      </c>
      <c r="O9" s="39" t="s">
        <v>0</v>
      </c>
      <c r="P9" s="39" t="s">
        <v>0</v>
      </c>
      <c r="Q9" s="81" t="s">
        <v>0</v>
      </c>
      <c r="R9" s="39" t="s">
        <v>0</v>
      </c>
      <c r="S9" s="81" t="s">
        <v>0</v>
      </c>
      <c r="T9" s="39" t="s">
        <v>0</v>
      </c>
      <c r="U9" s="81" t="s">
        <v>0</v>
      </c>
      <c r="V9" s="39" t="s">
        <v>0</v>
      </c>
      <c r="W9" s="81" t="s">
        <v>0</v>
      </c>
      <c r="X9" s="39" t="s">
        <v>0</v>
      </c>
      <c r="Y9" s="81" t="s">
        <v>0</v>
      </c>
    </row>
    <row r="10" spans="1:25" ht="16" customHeight="1">
      <c r="A10" s="82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83"/>
      <c r="R10" s="40"/>
      <c r="S10" s="83"/>
      <c r="T10" s="40"/>
      <c r="U10" s="83"/>
      <c r="V10" s="40"/>
      <c r="W10" s="83"/>
      <c r="X10" s="40"/>
      <c r="Y10" s="83"/>
    </row>
    <row r="11" spans="1:25" ht="16" customHeight="1">
      <c r="A11" s="8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83"/>
      <c r="R11" s="40"/>
      <c r="S11" s="83"/>
      <c r="T11" s="40"/>
      <c r="U11" s="83"/>
      <c r="V11" s="40"/>
      <c r="W11" s="83"/>
      <c r="X11" s="40"/>
      <c r="Y11" s="83"/>
    </row>
    <row r="12" spans="1:25" ht="16" customHeight="1">
      <c r="A12" s="82" t="s">
        <v>1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3"/>
      <c r="M12" s="41"/>
      <c r="N12" s="3"/>
      <c r="O12" s="41"/>
      <c r="P12" s="3"/>
      <c r="Q12" s="84"/>
      <c r="R12" s="3"/>
      <c r="S12" s="84"/>
      <c r="T12" s="3"/>
      <c r="U12" s="84"/>
      <c r="V12" s="3"/>
      <c r="W12" s="84"/>
      <c r="X12" s="3"/>
      <c r="Y12" s="84"/>
    </row>
    <row r="13" spans="1:25" s="64" customFormat="1" ht="16" customHeight="1">
      <c r="A13" s="88" t="s">
        <v>2</v>
      </c>
      <c r="B13" s="42">
        <v>2405901</v>
      </c>
      <c r="C13" s="42">
        <f>[23]Sheet1!$B3</f>
        <v>191771.21325259004</v>
      </c>
      <c r="D13" s="42">
        <f>[23]Sheet1!$C3</f>
        <v>167818.25438210994</v>
      </c>
      <c r="E13" s="43">
        <f>C13+D13</f>
        <v>359589.46763470001</v>
      </c>
      <c r="F13" s="43">
        <f>[23]Sheet1!$D3</f>
        <v>255524.22683407008</v>
      </c>
      <c r="G13" s="43">
        <f>E13+F13</f>
        <v>615113.69446877006</v>
      </c>
      <c r="H13" s="43">
        <f>[23]Sheet1!$F3</f>
        <v>191260.71475480005</v>
      </c>
      <c r="I13" s="43">
        <f>G13+H13</f>
        <v>806374.40922357014</v>
      </c>
      <c r="J13" s="43">
        <f>[23]Sheet1!$G3</f>
        <v>177801.61382897999</v>
      </c>
      <c r="K13" s="43">
        <f>I13+J13</f>
        <v>984176.02305255015</v>
      </c>
      <c r="L13" s="43">
        <f>[23]Sheet1!$H3</f>
        <v>268607.07281552011</v>
      </c>
      <c r="M13" s="43">
        <f>K13+L13</f>
        <v>1252783.0958680701</v>
      </c>
      <c r="N13" s="43">
        <f>[26]Sheet1!$C4</f>
        <v>178852.49009303006</v>
      </c>
      <c r="O13" s="43">
        <f>M13+N13</f>
        <v>1431635.5859611002</v>
      </c>
      <c r="P13" s="43">
        <f>[26]Sheet1!$D4</f>
        <v>166524.71502388996</v>
      </c>
      <c r="Q13" s="85">
        <f t="shared" ref="Q13:Q22" si="0">O13+P13</f>
        <v>1598160.3009849901</v>
      </c>
      <c r="R13" s="43">
        <f>[26]Sheet1!$E4</f>
        <v>259000.9024542899</v>
      </c>
      <c r="S13" s="85">
        <f t="shared" ref="S13:S22" si="1">Q13+R13</f>
        <v>1857161.2034392799</v>
      </c>
      <c r="T13" s="43">
        <f>[26]Sheet1!$G4</f>
        <v>148054.84495665994</v>
      </c>
      <c r="U13" s="85">
        <f t="shared" ref="U13:U22" si="2">S13+T13</f>
        <v>2005216.0483959399</v>
      </c>
      <c r="V13" s="43">
        <f>[26]Sheet1!$H4</f>
        <v>201487.89197880001</v>
      </c>
      <c r="W13" s="85">
        <f>U13+V13</f>
        <v>2206703.9403747399</v>
      </c>
      <c r="X13" s="43">
        <f>[26]Sheet1!$I4</f>
        <v>236039.5676036799</v>
      </c>
      <c r="Y13" s="85">
        <f t="shared" ref="Y13:Y22" si="3">W13+X13</f>
        <v>2442743.5079784198</v>
      </c>
    </row>
    <row r="14" spans="1:25" ht="16" customHeight="1">
      <c r="A14" s="86" t="s">
        <v>3</v>
      </c>
      <c r="B14" s="42">
        <v>831128</v>
      </c>
      <c r="C14" s="42">
        <f>[23]Sheet1!$B4</f>
        <v>62514.293598389995</v>
      </c>
      <c r="D14" s="42">
        <f>[23]Sheet1!$C4</f>
        <v>71118.928814180006</v>
      </c>
      <c r="E14" s="43">
        <f>C14+D14</f>
        <v>133633.22241257</v>
      </c>
      <c r="F14" s="43">
        <f>[23]Sheet1!$D4</f>
        <v>346343.68377256999</v>
      </c>
      <c r="G14" s="43">
        <f>F14+E14</f>
        <v>479976.90618514002</v>
      </c>
      <c r="H14" s="43">
        <f>[23]Sheet1!$F4</f>
        <v>72325.105448679999</v>
      </c>
      <c r="I14" s="43">
        <f>G14+H14</f>
        <v>552302.01163382002</v>
      </c>
      <c r="J14" s="43">
        <f>[23]Sheet1!$G4</f>
        <v>61576.827005699997</v>
      </c>
      <c r="K14" s="43">
        <f>I14+J14</f>
        <v>613878.83863951999</v>
      </c>
      <c r="L14" s="43">
        <f>[23]Sheet1!$H4</f>
        <v>89398.52551053997</v>
      </c>
      <c r="M14" s="43">
        <f>K14+L14</f>
        <v>703277.36415005999</v>
      </c>
      <c r="N14" s="43">
        <f>[26]Sheet1!$C5</f>
        <v>86073.369384410005</v>
      </c>
      <c r="O14" s="43">
        <f>M14+N14</f>
        <v>789350.73353446997</v>
      </c>
      <c r="P14" s="43">
        <f>[26]Sheet1!$D5</f>
        <v>70519.518056360001</v>
      </c>
      <c r="Q14" s="85">
        <f t="shared" si="0"/>
        <v>859870.25159082992</v>
      </c>
      <c r="R14" s="43">
        <f>[26]Sheet1!$E5</f>
        <v>65922.864587169999</v>
      </c>
      <c r="S14" s="85">
        <f t="shared" si="1"/>
        <v>925793.11617799988</v>
      </c>
      <c r="T14" s="43">
        <f>[26]Sheet1!$G5</f>
        <v>77521.9044192</v>
      </c>
      <c r="U14" s="85">
        <f t="shared" si="2"/>
        <v>1003315.0205971999</v>
      </c>
      <c r="V14" s="43">
        <f>[26]Sheet1!$H5</f>
        <v>85164.654085729999</v>
      </c>
      <c r="W14" s="85">
        <f t="shared" ref="W14:W22" si="4">U14+V14</f>
        <v>1088479.6746829299</v>
      </c>
      <c r="X14" s="43">
        <f>[26]Sheet1!$I5</f>
        <v>99923.206376839982</v>
      </c>
      <c r="Y14" s="85">
        <f t="shared" si="3"/>
        <v>1188402.8810597698</v>
      </c>
    </row>
    <row r="15" spans="1:25" ht="16" customHeight="1">
      <c r="A15" s="86" t="s">
        <v>41</v>
      </c>
      <c r="B15" s="42">
        <v>1218064</v>
      </c>
      <c r="C15" s="42">
        <f>[23]Sheet1!$B5</f>
        <v>77208.829796389997</v>
      </c>
      <c r="D15" s="42">
        <f>[23]Sheet1!$C5</f>
        <v>117721.04804914004</v>
      </c>
      <c r="E15" s="43">
        <f t="shared" ref="E15:E22" si="5">C15+D15</f>
        <v>194929.87784553005</v>
      </c>
      <c r="F15" s="43">
        <f>[23]Sheet1!$D5</f>
        <v>107643.33444804999</v>
      </c>
      <c r="G15" s="43">
        <f t="shared" ref="G15:G22" si="6">F15+E15</f>
        <v>302573.21229358006</v>
      </c>
      <c r="H15" s="43">
        <f>[23]Sheet1!$F5</f>
        <v>95312.303798699999</v>
      </c>
      <c r="I15" s="43">
        <f t="shared" ref="I15:I22" si="7">G15+H15</f>
        <v>397885.51609228004</v>
      </c>
      <c r="J15" s="43">
        <f>[23]Sheet1!$G5</f>
        <v>89291.102286740002</v>
      </c>
      <c r="K15" s="43">
        <f t="shared" ref="K15:K22" si="8">I15+J15</f>
        <v>487176.61837902002</v>
      </c>
      <c r="L15" s="43">
        <f>[23]Sheet1!$H5</f>
        <v>100522.34608343002</v>
      </c>
      <c r="M15" s="43">
        <f t="shared" ref="M15:M22" si="9">K15+L15</f>
        <v>587698.96446245001</v>
      </c>
      <c r="N15" s="43">
        <f>[26]Sheet1!$C6</f>
        <v>110320.53021339999</v>
      </c>
      <c r="O15" s="43">
        <f t="shared" ref="O15:O22" si="10">M15+N15</f>
        <v>698019.49467585003</v>
      </c>
      <c r="P15" s="43">
        <f>[26]Sheet1!$D6</f>
        <v>84609.568225889991</v>
      </c>
      <c r="Q15" s="85">
        <f t="shared" si="0"/>
        <v>782629.06290173996</v>
      </c>
      <c r="R15" s="43">
        <f>[26]Sheet1!$E6</f>
        <v>98764.686777269992</v>
      </c>
      <c r="S15" s="85">
        <f t="shared" si="1"/>
        <v>881393.7496790099</v>
      </c>
      <c r="T15" s="43">
        <f>[26]Sheet1!$G6</f>
        <v>91572.415643869987</v>
      </c>
      <c r="U15" s="85">
        <f t="shared" si="2"/>
        <v>972966.16532287991</v>
      </c>
      <c r="V15" s="43">
        <f>[26]Sheet1!$H6</f>
        <v>100199.07687178001</v>
      </c>
      <c r="W15" s="85">
        <f t="shared" si="4"/>
        <v>1073165.24219466</v>
      </c>
      <c r="X15" s="43">
        <f>[26]Sheet1!$I6</f>
        <v>122852.91539431</v>
      </c>
      <c r="Y15" s="85">
        <f t="shared" si="3"/>
        <v>1196018.1575889699</v>
      </c>
    </row>
    <row r="16" spans="1:25" ht="16" customHeight="1">
      <c r="A16" s="86" t="s">
        <v>4</v>
      </c>
      <c r="B16" s="42">
        <v>275448</v>
      </c>
      <c r="C16" s="42">
        <f>[23]Sheet1!$B6</f>
        <v>6918.9278060400011</v>
      </c>
      <c r="D16" s="42">
        <f>[23]Sheet1!$C6</f>
        <v>15076.492417760001</v>
      </c>
      <c r="E16" s="43">
        <f t="shared" si="5"/>
        <v>21995.4202238</v>
      </c>
      <c r="F16" s="43">
        <f>[23]Sheet1!$D6</f>
        <v>14597.923307399999</v>
      </c>
      <c r="G16" s="43">
        <f t="shared" si="6"/>
        <v>36593.3435312</v>
      </c>
      <c r="H16" s="43">
        <f>[23]Sheet1!$F6</f>
        <v>39110.900093529999</v>
      </c>
      <c r="I16" s="43">
        <f t="shared" si="7"/>
        <v>75704.243624730007</v>
      </c>
      <c r="J16" s="43">
        <f>[23]Sheet1!$G6</f>
        <v>41736.784656229996</v>
      </c>
      <c r="K16" s="43">
        <f t="shared" si="8"/>
        <v>117441.02828096</v>
      </c>
      <c r="L16" s="43">
        <f>[23]Sheet1!$H6</f>
        <v>22435.792648960003</v>
      </c>
      <c r="M16" s="43">
        <f t="shared" si="9"/>
        <v>139876.82092992001</v>
      </c>
      <c r="N16" s="43">
        <f>[26]Sheet1!$C7</f>
        <v>47871.832884700008</v>
      </c>
      <c r="O16" s="43">
        <f t="shared" si="10"/>
        <v>187748.65381462002</v>
      </c>
      <c r="P16" s="43">
        <f>[26]Sheet1!$D7</f>
        <v>17763.94228978</v>
      </c>
      <c r="Q16" s="85">
        <f t="shared" si="0"/>
        <v>205512.59610440003</v>
      </c>
      <c r="R16" s="43">
        <f>[26]Sheet1!$E7</f>
        <v>29979.08614748</v>
      </c>
      <c r="S16" s="85">
        <f t="shared" si="1"/>
        <v>235491.68225188003</v>
      </c>
      <c r="T16" s="43">
        <f>[26]Sheet1!$G7</f>
        <v>131713.34035020001</v>
      </c>
      <c r="U16" s="85">
        <f t="shared" si="2"/>
        <v>367205.02260208002</v>
      </c>
      <c r="V16" s="43">
        <f>[26]Sheet1!$H7</f>
        <v>22949.707236579998</v>
      </c>
      <c r="W16" s="85">
        <f t="shared" si="4"/>
        <v>390154.72983865999</v>
      </c>
      <c r="X16" s="43">
        <f>[26]Sheet1!$I7</f>
        <v>132367.39363440001</v>
      </c>
      <c r="Y16" s="85">
        <f t="shared" si="3"/>
        <v>522522.12347305997</v>
      </c>
    </row>
    <row r="17" spans="1:25" ht="16" customHeight="1">
      <c r="A17" s="86" t="s">
        <v>5</v>
      </c>
      <c r="B17" s="42">
        <v>116996</v>
      </c>
      <c r="C17" s="42">
        <f>[23]Sheet1!$B7</f>
        <v>6737.080912309998</v>
      </c>
      <c r="D17" s="42">
        <f>[23]Sheet1!$C7</f>
        <v>2780.7949167299998</v>
      </c>
      <c r="E17" s="43">
        <f t="shared" si="5"/>
        <v>9517.8758290399983</v>
      </c>
      <c r="F17" s="43">
        <f>[23]Sheet1!$D7</f>
        <v>16793.370876179997</v>
      </c>
      <c r="G17" s="43">
        <f t="shared" si="6"/>
        <v>26311.246705219994</v>
      </c>
      <c r="H17" s="43">
        <f>[23]Sheet1!$F7</f>
        <v>13631.2448542</v>
      </c>
      <c r="I17" s="43">
        <f t="shared" si="7"/>
        <v>39942.491559419992</v>
      </c>
      <c r="J17" s="43">
        <f>[23]Sheet1!$G7</f>
        <v>1799.8451734499999</v>
      </c>
      <c r="K17" s="43">
        <f t="shared" si="8"/>
        <v>41742.33673286999</v>
      </c>
      <c r="L17" s="43">
        <f>[23]Sheet1!$H7</f>
        <v>5521.7127109800003</v>
      </c>
      <c r="M17" s="43">
        <f t="shared" si="9"/>
        <v>47264.049443849988</v>
      </c>
      <c r="N17" s="43">
        <f>[26]Sheet1!$C8</f>
        <v>1178.4418334300001</v>
      </c>
      <c r="O17" s="43">
        <f t="shared" si="10"/>
        <v>48442.491277279987</v>
      </c>
      <c r="P17" s="43">
        <f>[26]Sheet1!$D8</f>
        <v>2422.8097757699998</v>
      </c>
      <c r="Q17" s="85">
        <f t="shared" si="0"/>
        <v>50865.301053049989</v>
      </c>
      <c r="R17" s="43">
        <f>[26]Sheet1!$E8</f>
        <v>5082.3405751700002</v>
      </c>
      <c r="S17" s="85">
        <f t="shared" si="1"/>
        <v>55947.641628219986</v>
      </c>
      <c r="T17" s="43">
        <f>[26]Sheet1!$G8</f>
        <v>12984.149270779999</v>
      </c>
      <c r="U17" s="85">
        <f t="shared" si="2"/>
        <v>68931.790898999985</v>
      </c>
      <c r="V17" s="43">
        <f>[26]Sheet1!$H8</f>
        <v>3704.1857239299989</v>
      </c>
      <c r="W17" s="85">
        <f t="shared" si="4"/>
        <v>72635.976622929986</v>
      </c>
      <c r="X17" s="43">
        <f>[26]Sheet1!$I8</f>
        <v>8315.8095124499978</v>
      </c>
      <c r="Y17" s="85">
        <f t="shared" si="3"/>
        <v>80951.786135379982</v>
      </c>
    </row>
    <row r="18" spans="1:25" s="64" customFormat="1" ht="16" customHeight="1">
      <c r="A18" s="88" t="s">
        <v>6</v>
      </c>
      <c r="B18" s="42">
        <v>408821</v>
      </c>
      <c r="C18" s="42">
        <f>[23]Sheet1!$B8</f>
        <v>40397.785762350002</v>
      </c>
      <c r="D18" s="42">
        <f>[23]Sheet1!$C8</f>
        <v>52957.150818400012</v>
      </c>
      <c r="E18" s="43">
        <f t="shared" si="5"/>
        <v>93354.936580750014</v>
      </c>
      <c r="F18" s="43">
        <f>[23]Sheet1!$D8</f>
        <v>89024.418601259982</v>
      </c>
      <c r="G18" s="43">
        <f t="shared" si="6"/>
        <v>182379.35518200998</v>
      </c>
      <c r="H18" s="43">
        <f>[23]Sheet1!$F8</f>
        <v>59964.469088190024</v>
      </c>
      <c r="I18" s="43">
        <f t="shared" si="7"/>
        <v>242343.82427020001</v>
      </c>
      <c r="J18" s="43">
        <f>[23]Sheet1!$G8</f>
        <v>15426.171253500001</v>
      </c>
      <c r="K18" s="43">
        <f t="shared" si="8"/>
        <v>257769.99552370002</v>
      </c>
      <c r="L18" s="43">
        <f>[23]Sheet1!$H8</f>
        <v>52664.106507449986</v>
      </c>
      <c r="M18" s="43">
        <f t="shared" si="9"/>
        <v>310434.10203115002</v>
      </c>
      <c r="N18" s="43">
        <f>[26]Sheet1!$C9</f>
        <v>79041.805893869983</v>
      </c>
      <c r="O18" s="43">
        <f t="shared" si="10"/>
        <v>389475.90792501997</v>
      </c>
      <c r="P18" s="43">
        <f>[26]Sheet1!$D9</f>
        <v>28962.633867079989</v>
      </c>
      <c r="Q18" s="85">
        <f t="shared" si="0"/>
        <v>418438.54179209995</v>
      </c>
      <c r="R18" s="43">
        <f>[26]Sheet1!$E9</f>
        <v>21498.636366519997</v>
      </c>
      <c r="S18" s="85">
        <f t="shared" si="1"/>
        <v>439937.17815861996</v>
      </c>
      <c r="T18" s="43">
        <f>[26]Sheet1!$G9</f>
        <v>26820.294479310003</v>
      </c>
      <c r="U18" s="85">
        <f t="shared" si="2"/>
        <v>466757.47263792995</v>
      </c>
      <c r="V18" s="43">
        <f>[26]Sheet1!$H9</f>
        <v>60537.144228779973</v>
      </c>
      <c r="W18" s="85">
        <f>U18+V18</f>
        <v>527294.6168667099</v>
      </c>
      <c r="X18" s="43">
        <f>[26]Sheet1!$I9</f>
        <v>90874.194178400008</v>
      </c>
      <c r="Y18" s="85">
        <f t="shared" si="3"/>
        <v>618168.81104510988</v>
      </c>
    </row>
    <row r="19" spans="1:25" ht="16" customHeight="1">
      <c r="A19" s="87" t="s">
        <v>55</v>
      </c>
      <c r="B19" s="42">
        <v>619435</v>
      </c>
      <c r="C19" s="42">
        <f>[23]Sheet1!$B9</f>
        <v>34994.196885840007</v>
      </c>
      <c r="D19" s="42">
        <f>[23]Sheet1!$C9</f>
        <v>30986.530721880001</v>
      </c>
      <c r="E19" s="43">
        <f t="shared" si="5"/>
        <v>65980.727607720008</v>
      </c>
      <c r="F19" s="43">
        <f>[23]Sheet1!$D9</f>
        <v>51390.314205079994</v>
      </c>
      <c r="G19" s="43">
        <f t="shared" si="6"/>
        <v>117371.0418128</v>
      </c>
      <c r="H19" s="43">
        <f>[23]Sheet1!$F9</f>
        <v>37532.246342930004</v>
      </c>
      <c r="I19" s="43">
        <f t="shared" si="7"/>
        <v>154903.28815573</v>
      </c>
      <c r="J19" s="43">
        <f>[23]Sheet1!$G9</f>
        <v>43620.235431390007</v>
      </c>
      <c r="K19" s="43">
        <f t="shared" si="8"/>
        <v>198523.52358712</v>
      </c>
      <c r="L19" s="43">
        <f>[23]Sheet1!$H9</f>
        <v>40991.982439840001</v>
      </c>
      <c r="M19" s="43">
        <f t="shared" si="9"/>
        <v>239515.50602696001</v>
      </c>
      <c r="N19" s="43">
        <f>[26]Sheet1!$C10</f>
        <v>43539.626142699999</v>
      </c>
      <c r="O19" s="43">
        <f t="shared" si="10"/>
        <v>283055.13216966001</v>
      </c>
      <c r="P19" s="43">
        <f>[26]Sheet1!$D10</f>
        <v>33121.887842840006</v>
      </c>
      <c r="Q19" s="85">
        <f t="shared" si="0"/>
        <v>316177.0200125</v>
      </c>
      <c r="R19" s="43">
        <f>[26]Sheet1!$E10</f>
        <v>21143.025445969997</v>
      </c>
      <c r="S19" s="85">
        <f t="shared" si="1"/>
        <v>337320.04545847001</v>
      </c>
      <c r="T19" s="43">
        <f>[26]Sheet1!$G10</f>
        <v>24296.263058069999</v>
      </c>
      <c r="U19" s="85">
        <f t="shared" si="2"/>
        <v>361616.30851653998</v>
      </c>
      <c r="V19" s="43">
        <f>[26]Sheet1!$H10</f>
        <v>8218.0438140599999</v>
      </c>
      <c r="W19" s="85">
        <f t="shared" si="4"/>
        <v>369834.35233059997</v>
      </c>
      <c r="X19" s="43">
        <f>[26]Sheet1!$I10</f>
        <v>5799.0563214700005</v>
      </c>
      <c r="Y19" s="85">
        <f t="shared" si="3"/>
        <v>375633.40865206998</v>
      </c>
    </row>
    <row r="20" spans="1:25" ht="16" customHeight="1">
      <c r="A20" s="87" t="s">
        <v>54</v>
      </c>
      <c r="B20" s="42">
        <v>124947</v>
      </c>
      <c r="C20" s="42">
        <f>[23]Sheet1!$B10</f>
        <v>14717.727035280001</v>
      </c>
      <c r="D20" s="42">
        <f>[23]Sheet1!$C10</f>
        <v>15512.55009708</v>
      </c>
      <c r="E20" s="43">
        <f t="shared" si="5"/>
        <v>30230.277132360003</v>
      </c>
      <c r="F20" s="43">
        <f>[23]Sheet1!$D10</f>
        <v>18313.837348749999</v>
      </c>
      <c r="G20" s="43">
        <f t="shared" si="6"/>
        <v>48544.114481110002</v>
      </c>
      <c r="H20" s="43">
        <f>[23]Sheet1!$F10</f>
        <v>17875.963984580001</v>
      </c>
      <c r="I20" s="43">
        <f t="shared" si="7"/>
        <v>66420.078465690007</v>
      </c>
      <c r="J20" s="43">
        <f>[23]Sheet1!$G10</f>
        <v>19052.137542390003</v>
      </c>
      <c r="K20" s="43">
        <f t="shared" si="8"/>
        <v>85472.216008080009</v>
      </c>
      <c r="L20" s="43">
        <f>[23]Sheet1!$H10</f>
        <v>19682.8788666</v>
      </c>
      <c r="M20" s="43">
        <f t="shared" si="9"/>
        <v>105155.09487468001</v>
      </c>
      <c r="N20" s="43">
        <f>[26]Sheet1!$C11</f>
        <v>19882.610486289999</v>
      </c>
      <c r="O20" s="43">
        <f t="shared" si="10"/>
        <v>125037.70536097001</v>
      </c>
      <c r="P20" s="43">
        <f>[26]Sheet1!$D11</f>
        <v>16329.776379120001</v>
      </c>
      <c r="Q20" s="85">
        <f t="shared" si="0"/>
        <v>141367.48174009001</v>
      </c>
      <c r="R20" s="43">
        <f>[26]Sheet1!$E11</f>
        <v>15338.385913799999</v>
      </c>
      <c r="S20" s="85">
        <f t="shared" si="1"/>
        <v>156705.86765389002</v>
      </c>
      <c r="T20" s="43">
        <f>[26]Sheet1!$G11</f>
        <v>16156.003619809999</v>
      </c>
      <c r="U20" s="85">
        <f t="shared" si="2"/>
        <v>172861.87127370003</v>
      </c>
      <c r="V20" s="43">
        <f>[26]Sheet1!$H11</f>
        <v>17139.64942604</v>
      </c>
      <c r="W20" s="85">
        <f t="shared" si="4"/>
        <v>190001.52069974004</v>
      </c>
      <c r="X20" s="43">
        <f>[26]Sheet1!$I11</f>
        <v>21837.31222842</v>
      </c>
      <c r="Y20" s="85">
        <f t="shared" si="3"/>
        <v>211838.83292816003</v>
      </c>
    </row>
    <row r="21" spans="1:25" ht="16" customHeight="1">
      <c r="A21" s="87" t="s">
        <v>62</v>
      </c>
      <c r="B21" s="42">
        <v>415455</v>
      </c>
      <c r="C21" s="42">
        <f>[23]Sheet1!$B11</f>
        <v>38819.392913920012</v>
      </c>
      <c r="D21" s="42">
        <f>[23]Sheet1!$C11</f>
        <v>27403.588713970003</v>
      </c>
      <c r="E21" s="43">
        <f t="shared" si="5"/>
        <v>66222.981627890011</v>
      </c>
      <c r="F21" s="43">
        <f>[23]Sheet1!$D11</f>
        <v>38627.569624869997</v>
      </c>
      <c r="G21" s="43">
        <f t="shared" si="6"/>
        <v>104850.55125276001</v>
      </c>
      <c r="H21" s="43">
        <f>[23]Sheet1!$F11</f>
        <v>34742.205909010001</v>
      </c>
      <c r="I21" s="43">
        <f t="shared" si="7"/>
        <v>139592.75716177002</v>
      </c>
      <c r="J21" s="43">
        <f>[23]Sheet1!$G11</f>
        <v>41182.38397191999</v>
      </c>
      <c r="K21" s="43">
        <f t="shared" si="8"/>
        <v>180775.14113369002</v>
      </c>
      <c r="L21" s="43">
        <f>[23]Sheet1!$H11</f>
        <v>38112.735394829993</v>
      </c>
      <c r="M21" s="43">
        <f t="shared" si="9"/>
        <v>218887.87652852002</v>
      </c>
      <c r="N21" s="43">
        <f>[26]Sheet1!$C12</f>
        <v>43747.629973339994</v>
      </c>
      <c r="O21" s="43">
        <f t="shared" si="10"/>
        <v>262635.50650185999</v>
      </c>
      <c r="P21" s="43">
        <f>[26]Sheet1!$D12</f>
        <v>37798.603904920004</v>
      </c>
      <c r="Q21" s="85">
        <f t="shared" si="0"/>
        <v>300434.11040677998</v>
      </c>
      <c r="R21" s="43">
        <f>[26]Sheet1!$E12</f>
        <v>35764.521646240006</v>
      </c>
      <c r="S21" s="85">
        <f t="shared" si="1"/>
        <v>336198.63205302</v>
      </c>
      <c r="T21" s="43">
        <f>[26]Sheet1!$G12</f>
        <v>45015.952073100016</v>
      </c>
      <c r="U21" s="85">
        <f t="shared" si="2"/>
        <v>381214.58412612003</v>
      </c>
      <c r="V21" s="43">
        <f>[26]Sheet1!$H12</f>
        <v>32464.043730789996</v>
      </c>
      <c r="W21" s="85">
        <f t="shared" si="4"/>
        <v>413678.62785691</v>
      </c>
      <c r="X21" s="43">
        <f>[26]Sheet1!$I12</f>
        <v>52150.190768130029</v>
      </c>
      <c r="Y21" s="85">
        <f t="shared" si="3"/>
        <v>465828.81862504</v>
      </c>
    </row>
    <row r="22" spans="1:25" ht="16" customHeight="1">
      <c r="A22" s="88" t="s">
        <v>78</v>
      </c>
      <c r="B22" s="42"/>
      <c r="C22" s="42">
        <f>[23]Sheet1!$B12</f>
        <v>0</v>
      </c>
      <c r="D22" s="42">
        <f>[23]Sheet1!$C12</f>
        <v>0</v>
      </c>
      <c r="E22" s="43">
        <f t="shared" si="5"/>
        <v>0</v>
      </c>
      <c r="F22" s="43">
        <f>[23]Sheet1!$D12</f>
        <v>1677.8685555899999</v>
      </c>
      <c r="G22" s="43">
        <f t="shared" si="6"/>
        <v>1677.8685555899999</v>
      </c>
      <c r="H22" s="43">
        <f>[23]Sheet1!$F12</f>
        <v>4022.1758059400004</v>
      </c>
      <c r="I22" s="43">
        <f t="shared" si="7"/>
        <v>5700.0443615300001</v>
      </c>
      <c r="J22" s="43">
        <f>[23]Sheet1!$G12</f>
        <v>5110.1980782000001</v>
      </c>
      <c r="K22" s="43">
        <f t="shared" si="8"/>
        <v>10810.24243973</v>
      </c>
      <c r="L22" s="43">
        <f>[23]Sheet1!$H12</f>
        <v>3991.4932441699998</v>
      </c>
      <c r="M22" s="43">
        <f t="shared" si="9"/>
        <v>14801.7356839</v>
      </c>
      <c r="N22" s="43">
        <f>[26]Sheet1!$C13</f>
        <v>2635.76470767</v>
      </c>
      <c r="O22" s="43">
        <f t="shared" si="10"/>
        <v>17437.50039157</v>
      </c>
      <c r="P22" s="43">
        <f>[26]Sheet1!$D13</f>
        <v>2665.0721659299998</v>
      </c>
      <c r="Q22" s="85">
        <f t="shared" si="0"/>
        <v>20102.5725575</v>
      </c>
      <c r="R22" s="43">
        <f>[26]Sheet1!$E13</f>
        <v>4933.4429446900012</v>
      </c>
      <c r="S22" s="85">
        <f t="shared" si="1"/>
        <v>25036.015502189999</v>
      </c>
      <c r="T22" s="43">
        <f>[26]Sheet1!$G13</f>
        <v>3561.3272390900001</v>
      </c>
      <c r="U22" s="85">
        <f t="shared" si="2"/>
        <v>28597.342741280001</v>
      </c>
      <c r="V22" s="43">
        <f>[26]Sheet1!$H13</f>
        <v>6577.5501157099998</v>
      </c>
      <c r="W22" s="85">
        <f t="shared" si="4"/>
        <v>35174.892856990002</v>
      </c>
      <c r="X22" s="43">
        <f>[26]Sheet1!$I13</f>
        <v>5671.15179704</v>
      </c>
      <c r="Y22" s="85">
        <f t="shared" si="3"/>
        <v>40846.044654030004</v>
      </c>
    </row>
    <row r="23" spans="1:25" ht="16" customHeight="1">
      <c r="A23" s="89" t="s">
        <v>7</v>
      </c>
      <c r="B23" s="45">
        <f>SUM(B13:B21)</f>
        <v>6416195</v>
      </c>
      <c r="C23" s="46">
        <f>SUM(C13:C21)</f>
        <v>474079.44796311</v>
      </c>
      <c r="D23" s="46">
        <f>SUM(D13:D21)</f>
        <v>501375.33893125004</v>
      </c>
      <c r="E23" s="46">
        <f>SUM(E13:E22)</f>
        <v>975454.78689436021</v>
      </c>
      <c r="F23" s="46">
        <f>SUM(F13:F22)</f>
        <v>939936.54757381999</v>
      </c>
      <c r="G23" s="46">
        <f>SUM(G13:G22)</f>
        <v>1915391.3344681803</v>
      </c>
      <c r="H23" s="46">
        <f>SUM(H13:H22)</f>
        <v>565777.33008056006</v>
      </c>
      <c r="I23" s="46">
        <f>G23+H23</f>
        <v>2481168.6645487403</v>
      </c>
      <c r="J23" s="46">
        <f>SUM(J13:J22)</f>
        <v>496597.29922849999</v>
      </c>
      <c r="K23" s="46">
        <f>I23+J23</f>
        <v>2977765.9637772404</v>
      </c>
      <c r="L23" s="46">
        <f t="shared" ref="L23:S23" si="11">SUM(L13:L22)</f>
        <v>641928.64622232004</v>
      </c>
      <c r="M23" s="46">
        <f t="shared" si="11"/>
        <v>3619694.6099995594</v>
      </c>
      <c r="N23" s="46">
        <f t="shared" si="11"/>
        <v>613144.10161283996</v>
      </c>
      <c r="O23" s="46">
        <f t="shared" si="11"/>
        <v>4232838.7116123997</v>
      </c>
      <c r="P23" s="46">
        <f t="shared" si="11"/>
        <v>460718.52753157995</v>
      </c>
      <c r="Q23" s="90">
        <f t="shared" si="11"/>
        <v>4693557.2391439797</v>
      </c>
      <c r="R23" s="46">
        <f t="shared" si="11"/>
        <v>557427.89285859989</v>
      </c>
      <c r="S23" s="90">
        <f t="shared" si="11"/>
        <v>5250985.13200258</v>
      </c>
      <c r="T23" s="46">
        <f t="shared" ref="T23:Y23" si="12">SUM(T13:T22)</f>
        <v>577696.49511008989</v>
      </c>
      <c r="U23" s="90">
        <f t="shared" si="12"/>
        <v>5828681.6271126699</v>
      </c>
      <c r="V23" s="46">
        <f t="shared" si="12"/>
        <v>538441.94721219991</v>
      </c>
      <c r="W23" s="90">
        <f t="shared" si="12"/>
        <v>6367123.5743248696</v>
      </c>
      <c r="X23" s="46">
        <f t="shared" si="12"/>
        <v>775830.79781513987</v>
      </c>
      <c r="Y23" s="90">
        <f t="shared" si="12"/>
        <v>7142954.3721400108</v>
      </c>
    </row>
    <row r="24" spans="1:25" ht="16" customHeight="1">
      <c r="A24" s="77"/>
      <c r="B24" s="4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90"/>
      <c r="R24" s="46"/>
      <c r="S24" s="90"/>
      <c r="T24" s="46"/>
      <c r="U24" s="90"/>
      <c r="V24" s="46"/>
      <c r="W24" s="90"/>
      <c r="X24" s="46"/>
      <c r="Y24" s="90"/>
    </row>
    <row r="25" spans="1:25" ht="16" customHeight="1">
      <c r="A25" s="91" t="s">
        <v>8</v>
      </c>
      <c r="B25" s="48"/>
      <c r="C25" s="92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93"/>
      <c r="R25" s="49"/>
      <c r="S25" s="93"/>
      <c r="T25" s="49"/>
      <c r="U25" s="93"/>
      <c r="V25" s="49"/>
      <c r="W25" s="93"/>
      <c r="X25" s="49"/>
      <c r="Y25" s="93"/>
    </row>
    <row r="26" spans="1:25" ht="16" customHeight="1">
      <c r="A26" s="88" t="s">
        <v>9</v>
      </c>
      <c r="B26" s="50">
        <v>331000</v>
      </c>
      <c r="C26" s="44">
        <f>[1]Sheet1!$B$14</f>
        <v>1917.3422640000001</v>
      </c>
      <c r="D26" s="44">
        <v>0</v>
      </c>
      <c r="E26" s="44">
        <f>C26+D26</f>
        <v>1917.3422640000001</v>
      </c>
      <c r="F26" s="44">
        <f>[1]Sheet1!$D$14</f>
        <v>3020.3171020700001</v>
      </c>
      <c r="G26" s="44">
        <f>E26+F26</f>
        <v>4937.65936607</v>
      </c>
      <c r="H26" s="42">
        <f>[1]Sheet1!$F$14</f>
        <v>3229.2288527100004</v>
      </c>
      <c r="I26" s="42">
        <f>G26+H26</f>
        <v>8166.8882187800009</v>
      </c>
      <c r="J26" s="42">
        <v>0</v>
      </c>
      <c r="K26" s="42">
        <f>I26+J26</f>
        <v>8166.8882187800009</v>
      </c>
      <c r="L26" s="42">
        <f>[1]Sheet1!$H$14</f>
        <v>508.5499698000001</v>
      </c>
      <c r="M26" s="42">
        <f>K26+L26</f>
        <v>8675.4381885800012</v>
      </c>
      <c r="N26" s="42">
        <f>[8]Sheet1!$C$14</f>
        <v>1897.7287980000001</v>
      </c>
      <c r="O26" s="42">
        <f>M26+N26</f>
        <v>10573.166986580001</v>
      </c>
      <c r="P26" s="42">
        <f>[8]Sheet1!$D$14</f>
        <v>0</v>
      </c>
      <c r="Q26" s="94">
        <f>O26+P26</f>
        <v>10573.166986580001</v>
      </c>
      <c r="R26" s="42">
        <f>[8]Sheet1!$E$14</f>
        <v>2332.9456596999999</v>
      </c>
      <c r="S26" s="94">
        <f>Q26+R26</f>
        <v>12906.112646280002</v>
      </c>
      <c r="T26" s="42">
        <f>[19]Sheet1!$G$14</f>
        <v>3124.6439090700001</v>
      </c>
      <c r="U26" s="94">
        <f>S26+T26</f>
        <v>16030.756555350003</v>
      </c>
      <c r="V26" s="42">
        <f>[22]Sheet1!$H$14</f>
        <v>0</v>
      </c>
      <c r="W26" s="94">
        <f>U26+V26</f>
        <v>16030.756555350003</v>
      </c>
      <c r="X26" s="42">
        <f>[26]Sheet1!$I$14</f>
        <v>517.93127874999993</v>
      </c>
      <c r="Y26" s="94">
        <f>W26+X26</f>
        <v>16548.687834100001</v>
      </c>
    </row>
    <row r="27" spans="1:25" ht="16" customHeight="1">
      <c r="A27" s="88" t="s">
        <v>42</v>
      </c>
      <c r="B27" s="50">
        <v>0</v>
      </c>
      <c r="C27" s="42">
        <v>0</v>
      </c>
      <c r="D27" s="42">
        <v>0</v>
      </c>
      <c r="E27" s="42">
        <f>C27+D27</f>
        <v>0</v>
      </c>
      <c r="F27" s="44">
        <f>[1]Sheet1!$D$15</f>
        <v>507665.01759999996</v>
      </c>
      <c r="G27" s="44">
        <f>E27+F27</f>
        <v>507665.01759999996</v>
      </c>
      <c r="H27" s="42">
        <v>0</v>
      </c>
      <c r="I27" s="42">
        <f>G27+H27</f>
        <v>507665.01759999996</v>
      </c>
      <c r="J27" s="42">
        <v>0</v>
      </c>
      <c r="K27" s="42">
        <f>I27+J27</f>
        <v>507665.01759999996</v>
      </c>
      <c r="L27" s="42">
        <v>0</v>
      </c>
      <c r="M27" s="42">
        <f>K27+L27</f>
        <v>507665.01759999996</v>
      </c>
      <c r="N27" s="42">
        <f>[8]Sheet1!$C$15</f>
        <v>454086.53759999998</v>
      </c>
      <c r="O27" s="42">
        <f>M27+N27</f>
        <v>961751.55519999994</v>
      </c>
      <c r="P27" s="42">
        <f>[8]Sheet1!$D$15</f>
        <v>0</v>
      </c>
      <c r="Q27" s="94">
        <f>O27+P27</f>
        <v>961751.55519999994</v>
      </c>
      <c r="R27" s="42">
        <f>[8]Sheet1!$E$15</f>
        <v>0</v>
      </c>
      <c r="S27" s="94">
        <f>Q27+R27</f>
        <v>961751.55519999994</v>
      </c>
      <c r="T27" s="42">
        <f>[21]Sheet1!$G$15</f>
        <v>0</v>
      </c>
      <c r="U27" s="94">
        <f>S27+T27</f>
        <v>961751.55519999994</v>
      </c>
      <c r="V27" s="42">
        <f>[21]Sheet1!$G$15</f>
        <v>0</v>
      </c>
      <c r="W27" s="94">
        <f>U27+V27</f>
        <v>961751.55519999994</v>
      </c>
      <c r="X27" s="42">
        <f>[21]Sheet1!$G$15</f>
        <v>0</v>
      </c>
      <c r="Y27" s="94">
        <f>W27+X27</f>
        <v>961751.55519999994</v>
      </c>
    </row>
    <row r="28" spans="1:25" ht="15.5">
      <c r="A28" s="88" t="s">
        <v>34</v>
      </c>
      <c r="B28" s="50">
        <v>822803</v>
      </c>
      <c r="C28" s="42">
        <v>0</v>
      </c>
      <c r="D28" s="42">
        <v>0</v>
      </c>
      <c r="E28" s="42">
        <f>C28+D28</f>
        <v>0</v>
      </c>
      <c r="F28" s="3">
        <v>0</v>
      </c>
      <c r="G28" s="42">
        <f>E28+F28</f>
        <v>0</v>
      </c>
      <c r="H28" s="42">
        <v>0</v>
      </c>
      <c r="I28" s="42">
        <f>G28+H28</f>
        <v>0</v>
      </c>
      <c r="J28" s="42">
        <v>0</v>
      </c>
      <c r="K28" s="42">
        <f>I28+J28</f>
        <v>0</v>
      </c>
      <c r="L28" s="42">
        <v>0</v>
      </c>
      <c r="M28" s="42">
        <f>K28+L28</f>
        <v>0</v>
      </c>
      <c r="N28" s="3">
        <v>0</v>
      </c>
      <c r="O28" s="42">
        <f>M28+N28</f>
        <v>0</v>
      </c>
      <c r="P28" s="3">
        <v>0</v>
      </c>
      <c r="Q28" s="94">
        <f>O28+P28</f>
        <v>0</v>
      </c>
      <c r="R28" s="42">
        <v>0</v>
      </c>
      <c r="S28" s="94">
        <f>Q28+R28</f>
        <v>0</v>
      </c>
      <c r="T28" s="42">
        <v>0</v>
      </c>
      <c r="U28" s="94">
        <f>S28+T28</f>
        <v>0</v>
      </c>
      <c r="V28" s="42">
        <v>0</v>
      </c>
      <c r="W28" s="94">
        <f>U28+V28</f>
        <v>0</v>
      </c>
      <c r="X28" s="42">
        <v>0</v>
      </c>
      <c r="Y28" s="94">
        <f>W28+X28</f>
        <v>0</v>
      </c>
    </row>
    <row r="29" spans="1:25" ht="15.5">
      <c r="A29" s="88" t="s">
        <v>43</v>
      </c>
      <c r="B29" s="50">
        <v>568034</v>
      </c>
      <c r="C29" s="42">
        <v>0</v>
      </c>
      <c r="D29" s="42">
        <v>0</v>
      </c>
      <c r="E29" s="42">
        <f>C29+D29</f>
        <v>0</v>
      </c>
      <c r="F29" s="42">
        <v>0</v>
      </c>
      <c r="G29" s="42">
        <f>E29+F29</f>
        <v>0</v>
      </c>
      <c r="H29" s="42">
        <f>[3]Sheet1!$F$15</f>
        <v>0</v>
      </c>
      <c r="I29" s="42">
        <f>G29+H29</f>
        <v>0</v>
      </c>
      <c r="J29" s="42">
        <f>[3]Sheet1!$F$15</f>
        <v>0</v>
      </c>
      <c r="K29" s="42">
        <f>I29+J29</f>
        <v>0</v>
      </c>
      <c r="L29" s="42">
        <f>[3]Sheet1!$F$15</f>
        <v>0</v>
      </c>
      <c r="M29" s="42">
        <f>K29+L29</f>
        <v>0</v>
      </c>
      <c r="N29" s="42">
        <f>[3]Sheet1!$F$15</f>
        <v>0</v>
      </c>
      <c r="O29" s="42">
        <f>M29+N29</f>
        <v>0</v>
      </c>
      <c r="P29" s="42">
        <f>[3]Sheet1!$F$15</f>
        <v>0</v>
      </c>
      <c r="Q29" s="94">
        <f>O29+P29</f>
        <v>0</v>
      </c>
      <c r="R29" s="42">
        <f>[3]Sheet1!$F$15</f>
        <v>0</v>
      </c>
      <c r="S29" s="94">
        <f>Q29+R29</f>
        <v>0</v>
      </c>
      <c r="T29" s="42">
        <f>[3]Sheet1!$F$15</f>
        <v>0</v>
      </c>
      <c r="U29" s="94">
        <f>S29+T29</f>
        <v>0</v>
      </c>
      <c r="V29" s="42">
        <f>[3]Sheet1!$F$15</f>
        <v>0</v>
      </c>
      <c r="W29" s="94">
        <f>U29+V29</f>
        <v>0</v>
      </c>
      <c r="X29" s="42">
        <f>[3]Sheet1!$F$15</f>
        <v>0</v>
      </c>
      <c r="Y29" s="94">
        <f>W29+X29</f>
        <v>0</v>
      </c>
    </row>
    <row r="30" spans="1:25" ht="16" customHeight="1">
      <c r="A30" s="95" t="s">
        <v>10</v>
      </c>
      <c r="B30" s="45">
        <f>SUM(B26:B29)</f>
        <v>1721837</v>
      </c>
      <c r="C30" s="45">
        <f t="shared" ref="C30:M30" si="13">SUM(C26:C29)</f>
        <v>1917.3422640000001</v>
      </c>
      <c r="D30" s="45">
        <f t="shared" si="13"/>
        <v>0</v>
      </c>
      <c r="E30" s="45">
        <f t="shared" si="13"/>
        <v>1917.3422640000001</v>
      </c>
      <c r="F30" s="45">
        <f>SUM(F26:F29)</f>
        <v>510685.33470206999</v>
      </c>
      <c r="G30" s="45">
        <f t="shared" si="13"/>
        <v>512602.67696606996</v>
      </c>
      <c r="H30" s="45">
        <f t="shared" si="13"/>
        <v>3229.2288527100004</v>
      </c>
      <c r="I30" s="45">
        <f t="shared" si="13"/>
        <v>515831.90581877995</v>
      </c>
      <c r="J30" s="45">
        <f t="shared" si="13"/>
        <v>0</v>
      </c>
      <c r="K30" s="45">
        <f t="shared" si="13"/>
        <v>515831.90581877995</v>
      </c>
      <c r="L30" s="45">
        <f t="shared" si="13"/>
        <v>508.5499698000001</v>
      </c>
      <c r="M30" s="45">
        <f t="shared" si="13"/>
        <v>516340.45578857994</v>
      </c>
      <c r="N30" s="45">
        <f t="shared" ref="N30:S30" si="14">SUM(N26:N29)</f>
        <v>455984.26639800001</v>
      </c>
      <c r="O30" s="45">
        <f t="shared" si="14"/>
        <v>972324.72218657995</v>
      </c>
      <c r="P30" s="45">
        <f t="shared" si="14"/>
        <v>0</v>
      </c>
      <c r="Q30" s="96">
        <f t="shared" si="14"/>
        <v>972324.72218657995</v>
      </c>
      <c r="R30" s="45">
        <f t="shared" si="14"/>
        <v>2332.9456596999999</v>
      </c>
      <c r="S30" s="96">
        <f t="shared" si="14"/>
        <v>974657.66784627992</v>
      </c>
      <c r="T30" s="45">
        <f t="shared" ref="T30:Y30" si="15">SUM(T26:T29)</f>
        <v>3124.6439090700001</v>
      </c>
      <c r="U30" s="96">
        <f t="shared" si="15"/>
        <v>977782.31175534998</v>
      </c>
      <c r="V30" s="45">
        <f t="shared" si="15"/>
        <v>0</v>
      </c>
      <c r="W30" s="96">
        <f t="shared" si="15"/>
        <v>977782.31175534998</v>
      </c>
      <c r="X30" s="45">
        <f t="shared" si="15"/>
        <v>517.93127874999993</v>
      </c>
      <c r="Y30" s="96">
        <f t="shared" si="15"/>
        <v>978300.24303409993</v>
      </c>
    </row>
    <row r="31" spans="1:25" ht="16" customHeight="1">
      <c r="A31" s="9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96"/>
      <c r="R31" s="45"/>
      <c r="S31" s="96"/>
      <c r="T31" s="45"/>
      <c r="U31" s="96"/>
      <c r="V31" s="45"/>
      <c r="W31" s="96"/>
      <c r="X31" s="45"/>
      <c r="Y31" s="96"/>
    </row>
    <row r="32" spans="1:25" s="1" customFormat="1" ht="16" customHeight="1" thickBot="1">
      <c r="A32" s="97" t="s">
        <v>39</v>
      </c>
      <c r="B32" s="98">
        <f t="shared" ref="B32:G32" si="16">B23+B30</f>
        <v>8138032</v>
      </c>
      <c r="C32" s="98">
        <f t="shared" si="16"/>
        <v>475996.79022710997</v>
      </c>
      <c r="D32" s="98">
        <f t="shared" si="16"/>
        <v>501375.33893125004</v>
      </c>
      <c r="E32" s="98">
        <f t="shared" si="16"/>
        <v>977372.12915836019</v>
      </c>
      <c r="F32" s="98">
        <f t="shared" si="16"/>
        <v>1450621.8822758901</v>
      </c>
      <c r="G32" s="98">
        <f t="shared" si="16"/>
        <v>2427994.0114342505</v>
      </c>
      <c r="H32" s="98">
        <f>H30+H23</f>
        <v>569006.55893327005</v>
      </c>
      <c r="I32" s="98">
        <f t="shared" ref="I32:O32" si="17">I23+I30</f>
        <v>2997000.5703675202</v>
      </c>
      <c r="J32" s="98">
        <f t="shared" si="17"/>
        <v>496597.29922849999</v>
      </c>
      <c r="K32" s="98">
        <f t="shared" si="17"/>
        <v>3493597.8695960203</v>
      </c>
      <c r="L32" s="98">
        <f t="shared" si="17"/>
        <v>642437.19619212009</v>
      </c>
      <c r="M32" s="98">
        <f t="shared" si="17"/>
        <v>4136035.0657881391</v>
      </c>
      <c r="N32" s="98">
        <f t="shared" si="17"/>
        <v>1069128.3680108399</v>
      </c>
      <c r="O32" s="98">
        <f t="shared" si="17"/>
        <v>5205163.43379898</v>
      </c>
      <c r="P32" s="98">
        <f t="shared" ref="P32:U32" si="18">P23+P30</f>
        <v>460718.52753157995</v>
      </c>
      <c r="Q32" s="99">
        <f t="shared" si="18"/>
        <v>5665881.96133056</v>
      </c>
      <c r="R32" s="98">
        <f t="shared" si="18"/>
        <v>559760.83851829986</v>
      </c>
      <c r="S32" s="99">
        <f t="shared" si="18"/>
        <v>6225642.7998488601</v>
      </c>
      <c r="T32" s="98">
        <f t="shared" si="18"/>
        <v>580821.13901915983</v>
      </c>
      <c r="U32" s="99">
        <f t="shared" si="18"/>
        <v>6806463.9388680197</v>
      </c>
      <c r="V32" s="98">
        <f>V23+V30</f>
        <v>538441.94721219991</v>
      </c>
      <c r="W32" s="99">
        <f>W23+W30</f>
        <v>7344905.8860802194</v>
      </c>
      <c r="X32" s="98">
        <f>X23+X30</f>
        <v>776348.72909388982</v>
      </c>
      <c r="Y32" s="99">
        <f>Y23+Y30</f>
        <v>8121254.615174111</v>
      </c>
    </row>
    <row r="33" spans="1:28" s="1" customFormat="1" ht="16" customHeight="1" thickBot="1">
      <c r="A33" s="186"/>
      <c r="B33" s="51"/>
      <c r="C33" s="51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8"/>
      <c r="X33" s="187"/>
      <c r="Y33" s="188"/>
    </row>
    <row r="34" spans="1:28" s="1" customFormat="1" ht="16" customHeight="1">
      <c r="A34" s="210" t="s">
        <v>33</v>
      </c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2"/>
    </row>
    <row r="35" spans="1:28" s="1" customFormat="1" ht="19.5" customHeight="1" thickBot="1">
      <c r="A35" s="207" t="s">
        <v>96</v>
      </c>
      <c r="B35" s="208"/>
      <c r="C35" s="208"/>
      <c r="D35" s="208"/>
      <c r="E35" s="208"/>
      <c r="F35" s="208"/>
      <c r="G35" s="208"/>
      <c r="H35" s="208"/>
      <c r="I35" s="20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9"/>
    </row>
    <row r="36" spans="1:28" s="1" customFormat="1" ht="37.5" customHeight="1">
      <c r="A36" s="80"/>
      <c r="B36" s="179" t="s">
        <v>31</v>
      </c>
      <c r="C36" s="175" t="s">
        <v>69</v>
      </c>
      <c r="D36" s="175" t="s">
        <v>69</v>
      </c>
      <c r="E36" s="175" t="s">
        <v>69</v>
      </c>
      <c r="F36" s="175" t="s">
        <v>69</v>
      </c>
      <c r="G36" s="175" t="s">
        <v>69</v>
      </c>
      <c r="H36" s="175" t="s">
        <v>69</v>
      </c>
      <c r="I36" s="175" t="s">
        <v>69</v>
      </c>
      <c r="J36" s="175" t="s">
        <v>69</v>
      </c>
      <c r="K36" s="175" t="s">
        <v>69</v>
      </c>
      <c r="L36" s="175" t="s">
        <v>69</v>
      </c>
      <c r="M36" s="175" t="s">
        <v>69</v>
      </c>
      <c r="N36" s="175" t="s">
        <v>69</v>
      </c>
      <c r="O36" s="175" t="s">
        <v>69</v>
      </c>
      <c r="P36" s="175" t="s">
        <v>69</v>
      </c>
      <c r="Q36" s="180" t="s">
        <v>69</v>
      </c>
      <c r="R36" s="175" t="s">
        <v>69</v>
      </c>
      <c r="S36" s="180" t="s">
        <v>69</v>
      </c>
      <c r="T36" s="175" t="s">
        <v>69</v>
      </c>
      <c r="U36" s="180" t="s">
        <v>69</v>
      </c>
      <c r="V36" s="175" t="s">
        <v>69</v>
      </c>
      <c r="W36" s="180" t="s">
        <v>69</v>
      </c>
      <c r="X36" s="175" t="s">
        <v>69</v>
      </c>
      <c r="Y36" s="180" t="s">
        <v>69</v>
      </c>
    </row>
    <row r="37" spans="1:28" s="1" customFormat="1" ht="27.75" customHeight="1">
      <c r="A37" s="78"/>
      <c r="B37" s="37" t="s">
        <v>70</v>
      </c>
      <c r="C37" s="38">
        <v>44197</v>
      </c>
      <c r="D37" s="38">
        <v>44228</v>
      </c>
      <c r="E37" s="38" t="s">
        <v>71</v>
      </c>
      <c r="F37" s="38">
        <v>44256</v>
      </c>
      <c r="G37" s="38" t="s">
        <v>73</v>
      </c>
      <c r="H37" s="38">
        <v>44287</v>
      </c>
      <c r="I37" s="38" t="s">
        <v>74</v>
      </c>
      <c r="J37" s="38">
        <v>44317</v>
      </c>
      <c r="K37" s="38" t="s">
        <v>77</v>
      </c>
      <c r="L37" s="38">
        <v>44348</v>
      </c>
      <c r="M37" s="38" t="s">
        <v>81</v>
      </c>
      <c r="N37" s="38">
        <v>44378</v>
      </c>
      <c r="O37" s="38" t="s">
        <v>84</v>
      </c>
      <c r="P37" s="38">
        <v>44409</v>
      </c>
      <c r="Q37" s="79" t="s">
        <v>86</v>
      </c>
      <c r="R37" s="38">
        <v>44440</v>
      </c>
      <c r="S37" s="79" t="s">
        <v>87</v>
      </c>
      <c r="T37" s="38">
        <v>44470</v>
      </c>
      <c r="U37" s="79" t="s">
        <v>91</v>
      </c>
      <c r="V37" s="38">
        <v>44501</v>
      </c>
      <c r="W37" s="79" t="s">
        <v>93</v>
      </c>
      <c r="X37" s="38">
        <v>44531</v>
      </c>
      <c r="Y37" s="79" t="s">
        <v>94</v>
      </c>
    </row>
    <row r="38" spans="1:28" s="1" customFormat="1" ht="16" customHeight="1">
      <c r="A38" s="77"/>
      <c r="B38" s="39" t="s">
        <v>0</v>
      </c>
      <c r="C38" s="39" t="s">
        <v>0</v>
      </c>
      <c r="D38" s="39" t="s">
        <v>0</v>
      </c>
      <c r="E38" s="39" t="s">
        <v>0</v>
      </c>
      <c r="F38" s="39" t="s">
        <v>0</v>
      </c>
      <c r="G38" s="39" t="s">
        <v>0</v>
      </c>
      <c r="H38" s="39" t="s">
        <v>0</v>
      </c>
      <c r="I38" s="39" t="s">
        <v>0</v>
      </c>
      <c r="J38" s="39" t="s">
        <v>0</v>
      </c>
      <c r="K38" s="39" t="s">
        <v>0</v>
      </c>
      <c r="L38" s="39" t="s">
        <v>0</v>
      </c>
      <c r="M38" s="39" t="s">
        <v>0</v>
      </c>
      <c r="N38" s="39" t="s">
        <v>0</v>
      </c>
      <c r="O38" s="39" t="s">
        <v>0</v>
      </c>
      <c r="P38" s="39" t="s">
        <v>0</v>
      </c>
      <c r="Q38" s="81" t="s">
        <v>0</v>
      </c>
      <c r="R38" s="39" t="s">
        <v>0</v>
      </c>
      <c r="S38" s="81" t="s">
        <v>0</v>
      </c>
      <c r="T38" s="39" t="s">
        <v>0</v>
      </c>
      <c r="U38" s="81" t="s">
        <v>0</v>
      </c>
      <c r="V38" s="39" t="s">
        <v>0</v>
      </c>
      <c r="W38" s="81" t="s">
        <v>0</v>
      </c>
      <c r="X38" s="39" t="s">
        <v>0</v>
      </c>
      <c r="Y38" s="81" t="s">
        <v>0</v>
      </c>
    </row>
    <row r="39" spans="1:28" ht="16" customHeight="1">
      <c r="A39" s="82" t="s">
        <v>11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93"/>
      <c r="R39" s="49"/>
      <c r="S39" s="93"/>
      <c r="T39" s="49"/>
      <c r="U39" s="93"/>
      <c r="V39" s="49"/>
      <c r="W39" s="93"/>
      <c r="X39" s="49"/>
      <c r="Y39" s="93"/>
    </row>
    <row r="40" spans="1:28" ht="16" customHeight="1">
      <c r="A40" s="80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2"/>
      <c r="O40" s="49"/>
      <c r="P40" s="42"/>
      <c r="Q40" s="93"/>
      <c r="R40" s="42"/>
      <c r="S40" s="93"/>
      <c r="T40" s="42"/>
      <c r="U40" s="93"/>
      <c r="V40" s="42"/>
      <c r="W40" s="93"/>
      <c r="X40" s="42"/>
      <c r="Y40" s="93"/>
      <c r="AB40" s="190">
        <v>-130527</v>
      </c>
    </row>
    <row r="41" spans="1:28" s="64" customFormat="1" ht="16" customHeight="1">
      <c r="A41" s="88" t="s">
        <v>12</v>
      </c>
      <c r="B41" s="42">
        <v>3510274</v>
      </c>
      <c r="C41" s="42">
        <f>-[1]Sheet1!$B$17</f>
        <v>278305.19377099996</v>
      </c>
      <c r="D41" s="42">
        <v>284552.25304500008</v>
      </c>
      <c r="E41" s="42">
        <f>C41+D41</f>
        <v>562857.44681600004</v>
      </c>
      <c r="F41" s="42">
        <f>-[23]Sheet1!$D$17</f>
        <v>344396.43337534997</v>
      </c>
      <c r="G41" s="42">
        <f>E41+F41</f>
        <v>907253.88019135001</v>
      </c>
      <c r="H41" s="42">
        <f>-[23]Sheet1!$F$17</f>
        <v>301135.04274671001</v>
      </c>
      <c r="I41" s="42">
        <f>G41+H41</f>
        <v>1208388.92293806</v>
      </c>
      <c r="J41" s="42">
        <f>-[23]Sheet1!$G$17</f>
        <v>313465.78520075988</v>
      </c>
      <c r="K41" s="42">
        <f t="shared" ref="K41:K48" si="19">I41+J41</f>
        <v>1521854.7081388198</v>
      </c>
      <c r="L41" s="42">
        <f>-[23]Sheet1!$H$17</f>
        <v>310402.14509627997</v>
      </c>
      <c r="M41" s="42">
        <f>K41+L41</f>
        <v>1832256.8532350997</v>
      </c>
      <c r="N41" s="42">
        <f>-[20]Sheet1!$C$17</f>
        <v>312748.67346078</v>
      </c>
      <c r="O41" s="42">
        <f t="shared" ref="O41:O48" si="20">M41+N41</f>
        <v>2145005.5266958796</v>
      </c>
      <c r="P41" s="42">
        <f>-[22]Sheet1!$D$17</f>
        <v>372389.40212167002</v>
      </c>
      <c r="Q41" s="94">
        <f t="shared" ref="Q41:Q48" si="21">O41+P41</f>
        <v>2517394.9288175497</v>
      </c>
      <c r="R41" s="42">
        <f>-[26]Sheet1!$E$18</f>
        <v>304167.94674799999</v>
      </c>
      <c r="S41" s="94">
        <f t="shared" ref="S41:S48" si="22">Q41+R41</f>
        <v>2821562.8755655498</v>
      </c>
      <c r="T41" s="42">
        <f>-[26]Sheet1!$G$18</f>
        <v>313106.82120874</v>
      </c>
      <c r="U41" s="94">
        <f t="shared" ref="U41:U48" si="23">S41+T41</f>
        <v>3134669.6967742899</v>
      </c>
      <c r="V41" s="42">
        <f>-[26]Sheet1!$H$18</f>
        <v>335014.56236985995</v>
      </c>
      <c r="W41" s="94">
        <f t="shared" ref="W41:W48" si="24">U41+V41</f>
        <v>3469684.2591441497</v>
      </c>
      <c r="X41" s="42">
        <f>-[26]Sheet1!$I$18</f>
        <v>305964.89033740002</v>
      </c>
      <c r="Y41" s="94">
        <f t="shared" ref="Y41:Y48" si="25">W41+X41</f>
        <v>3775649.1494815499</v>
      </c>
      <c r="Z41" s="154"/>
    </row>
    <row r="42" spans="1:28" s="64" customFormat="1" ht="16" customHeight="1">
      <c r="A42" s="88" t="s">
        <v>13</v>
      </c>
      <c r="B42" s="42">
        <v>1906156</v>
      </c>
      <c r="C42" s="42">
        <f>-[23]Sheet1!$B$18</f>
        <v>114433.04096116003</v>
      </c>
      <c r="D42" s="42">
        <f>-[25]Sheet1!$C$19</f>
        <v>211989.66589777998</v>
      </c>
      <c r="E42" s="42">
        <f t="shared" ref="E42:E48" si="26">C42+D42</f>
        <v>326422.70685894002</v>
      </c>
      <c r="F42" s="42">
        <f>-[25]Sheet1!$D$19</f>
        <v>331879.65636631998</v>
      </c>
      <c r="G42" s="42">
        <f t="shared" ref="G42:G48" si="27">E42+F42</f>
        <v>658302.36322526005</v>
      </c>
      <c r="H42" s="42">
        <f>-[23]Sheet1!$F$18</f>
        <v>229307.26236695997</v>
      </c>
      <c r="I42" s="42">
        <f t="shared" ref="I42:I48" si="28">G42+H42</f>
        <v>887609.62559221999</v>
      </c>
      <c r="J42" s="42">
        <f>-[25]Sheet1!$G$19</f>
        <v>171814.15833173998</v>
      </c>
      <c r="K42" s="42">
        <f t="shared" si="19"/>
        <v>1059423.7839239601</v>
      </c>
      <c r="L42" s="42">
        <f>-[25]Sheet1!$H$19</f>
        <v>120701.68928025996</v>
      </c>
      <c r="M42" s="42">
        <f>K42+L42</f>
        <v>1180125.4732042199</v>
      </c>
      <c r="N42" s="42">
        <f>-[22]Sheet1!$C$18</f>
        <v>147178.08972280996</v>
      </c>
      <c r="O42" s="42">
        <f t="shared" si="20"/>
        <v>1327303.56292703</v>
      </c>
      <c r="P42" s="42">
        <f>-[26]Sheet1!$D$19</f>
        <v>257644.94841458998</v>
      </c>
      <c r="Q42" s="94">
        <f t="shared" si="21"/>
        <v>1584948.51134162</v>
      </c>
      <c r="R42" s="42">
        <f>-[26]Sheet1!$E$19</f>
        <v>251281.74173420999</v>
      </c>
      <c r="S42" s="94">
        <f t="shared" si="22"/>
        <v>1836230.2530758299</v>
      </c>
      <c r="T42" s="42">
        <f>-[22]Sheet1!$G$18</f>
        <v>137420.94269146005</v>
      </c>
      <c r="U42" s="94">
        <f t="shared" si="23"/>
        <v>1973651.19576729</v>
      </c>
      <c r="V42" s="42">
        <f>-[22]Sheet1!$H$18</f>
        <v>161872.62520774995</v>
      </c>
      <c r="W42" s="94">
        <f t="shared" si="24"/>
        <v>2135523.8209750401</v>
      </c>
      <c r="X42" s="42">
        <v>253015.71238826</v>
      </c>
      <c r="Y42" s="94">
        <f t="shared" si="25"/>
        <v>2388539.5333632999</v>
      </c>
      <c r="Z42" s="154" t="s">
        <v>99</v>
      </c>
      <c r="AA42" s="154">
        <f>X42</f>
        <v>253015.71238826</v>
      </c>
      <c r="AB42" s="154">
        <f>AA42+AA48</f>
        <v>122488.71238826</v>
      </c>
    </row>
    <row r="43" spans="1:28" s="64" customFormat="1" ht="16" customHeight="1">
      <c r="A43" s="100" t="s">
        <v>75</v>
      </c>
      <c r="B43" s="66">
        <v>120006</v>
      </c>
      <c r="C43" s="66">
        <v>0</v>
      </c>
      <c r="D43" s="67">
        <v>7063589193</v>
      </c>
      <c r="E43" s="67">
        <f t="shared" si="26"/>
        <v>7063589193</v>
      </c>
      <c r="F43" s="67">
        <f>[2]Sheet1!$D$4</f>
        <v>7182717484</v>
      </c>
      <c r="G43" s="67">
        <f t="shared" si="27"/>
        <v>14246306677</v>
      </c>
      <c r="H43" s="67">
        <f>[2]Sheet1!$F$4</f>
        <v>4875320000</v>
      </c>
      <c r="I43" s="67">
        <f t="shared" si="28"/>
        <v>19121626677</v>
      </c>
      <c r="J43" s="67">
        <f>[2]Sheet1!$G$4</f>
        <v>20491260000</v>
      </c>
      <c r="K43" s="67">
        <f t="shared" si="19"/>
        <v>39612886677</v>
      </c>
      <c r="L43" s="67">
        <f>[2]Sheet1!$H$4</f>
        <v>0</v>
      </c>
      <c r="M43" s="67">
        <f t="shared" ref="M43:M48" si="29">K43+L43</f>
        <v>39612886677</v>
      </c>
      <c r="N43" s="67">
        <f>[9]Sheet1!$C$4</f>
        <v>18325720000</v>
      </c>
      <c r="O43" s="67">
        <f t="shared" si="20"/>
        <v>57938606677</v>
      </c>
      <c r="P43" s="67">
        <f>[9]Sheet1!$D$4</f>
        <v>11820000003</v>
      </c>
      <c r="Q43" s="101">
        <f t="shared" si="21"/>
        <v>69758606680</v>
      </c>
      <c r="R43" s="42">
        <f>[9]Sheet1!$E$4</f>
        <v>0</v>
      </c>
      <c r="S43" s="101">
        <f t="shared" si="22"/>
        <v>69758606680</v>
      </c>
      <c r="T43" s="42">
        <f>[24]Sheet1!$G$4</f>
        <v>0</v>
      </c>
      <c r="U43" s="101">
        <f t="shared" si="23"/>
        <v>69758606680</v>
      </c>
      <c r="V43" s="42">
        <f>[24]Sheet1!$H$4</f>
        <v>0</v>
      </c>
      <c r="W43" s="101">
        <f>U43+V43</f>
        <v>69758606680</v>
      </c>
      <c r="X43" s="66">
        <f>[24]Sheet1!$I$4</f>
        <v>0</v>
      </c>
      <c r="Y43" s="101">
        <f t="shared" si="25"/>
        <v>69758606680</v>
      </c>
      <c r="Z43" s="64" t="s">
        <v>100</v>
      </c>
      <c r="AA43" s="154">
        <f>X45</f>
        <v>20043.974249520001</v>
      </c>
    </row>
    <row r="44" spans="1:28" s="64" customFormat="1" ht="16" customHeight="1">
      <c r="A44" s="102" t="s">
        <v>68</v>
      </c>
      <c r="B44" s="42">
        <v>100000</v>
      </c>
      <c r="C44" s="67">
        <f>[2]Sheet1!$B$4</f>
        <v>0</v>
      </c>
      <c r="D44" s="69">
        <f>-[1]Sheet1!$C$19</f>
        <v>531</v>
      </c>
      <c r="E44" s="42">
        <f t="shared" si="26"/>
        <v>531</v>
      </c>
      <c r="F44" s="42">
        <f>-[23]Sheet1!$D$19</f>
        <v>116</v>
      </c>
      <c r="G44" s="42">
        <f t="shared" si="27"/>
        <v>647</v>
      </c>
      <c r="H44" s="42">
        <v>0</v>
      </c>
      <c r="I44" s="42">
        <f t="shared" si="28"/>
        <v>647</v>
      </c>
      <c r="J44" s="42">
        <v>0</v>
      </c>
      <c r="K44" s="42">
        <f t="shared" si="19"/>
        <v>647</v>
      </c>
      <c r="L44" s="42">
        <v>0</v>
      </c>
      <c r="M44" s="42">
        <f t="shared" si="29"/>
        <v>647</v>
      </c>
      <c r="N44" s="42">
        <f>[11]Sheet1!$C$19</f>
        <v>0</v>
      </c>
      <c r="O44" s="42">
        <f t="shared" si="20"/>
        <v>647</v>
      </c>
      <c r="P44" s="42">
        <f>[11]Sheet1!$C$19</f>
        <v>0</v>
      </c>
      <c r="Q44" s="94">
        <f t="shared" si="21"/>
        <v>647</v>
      </c>
      <c r="R44" s="42">
        <f>-[8]Sheet1!$E$19</f>
        <v>1200</v>
      </c>
      <c r="S44" s="94">
        <f t="shared" si="22"/>
        <v>1847</v>
      </c>
      <c r="T44" s="42">
        <f>-[19]Sheet1!$G$19</f>
        <v>5000</v>
      </c>
      <c r="U44" s="94">
        <f t="shared" si="23"/>
        <v>6847</v>
      </c>
      <c r="V44" s="42">
        <f>-[26]Sheet1!$H$20</f>
        <v>2500</v>
      </c>
      <c r="W44" s="94">
        <f t="shared" si="24"/>
        <v>9347</v>
      </c>
      <c r="X44" s="42">
        <v>0</v>
      </c>
      <c r="Y44" s="94">
        <f t="shared" si="25"/>
        <v>9347</v>
      </c>
      <c r="Z44" s="64" t="s">
        <v>101</v>
      </c>
      <c r="AA44" s="154">
        <f>X46</f>
        <v>66018.702307069994</v>
      </c>
    </row>
    <row r="45" spans="1:28" s="64" customFormat="1" ht="16" customHeight="1">
      <c r="A45" s="102" t="s">
        <v>63</v>
      </c>
      <c r="B45" s="42">
        <v>124947</v>
      </c>
      <c r="C45" s="42">
        <f>-[1]Sheet1!$B$20</f>
        <v>10087.915473269999</v>
      </c>
      <c r="D45" s="42">
        <f>-[1]Sheet1!$C$20</f>
        <v>16301.127116020001</v>
      </c>
      <c r="E45" s="42">
        <f t="shared" si="26"/>
        <v>26389.042589290002</v>
      </c>
      <c r="F45" s="42">
        <f>-[1]Sheet1!$D$20</f>
        <v>21784.98026385</v>
      </c>
      <c r="G45" s="42">
        <f t="shared" si="27"/>
        <v>48174.022853140006</v>
      </c>
      <c r="H45" s="42">
        <f>-[1]Sheet1!$F$20</f>
        <v>17201.452340740001</v>
      </c>
      <c r="I45" s="42">
        <f t="shared" si="28"/>
        <v>65375.475193880004</v>
      </c>
      <c r="J45" s="42">
        <f>-[1]Sheet1!$G$20</f>
        <v>20564.805814199997</v>
      </c>
      <c r="K45" s="42">
        <f t="shared" si="19"/>
        <v>85940.281008079997</v>
      </c>
      <c r="L45" s="42">
        <f>-[1]Sheet1!$H$20</f>
        <v>19380.04946586</v>
      </c>
      <c r="M45" s="42">
        <f t="shared" si="29"/>
        <v>105320.33047394</v>
      </c>
      <c r="N45" s="42">
        <f>-[11]Sheet1!$C$20</f>
        <v>15835.74075273</v>
      </c>
      <c r="O45" s="42">
        <f t="shared" si="20"/>
        <v>121156.07122667</v>
      </c>
      <c r="P45" s="42">
        <v>19155.837460619998</v>
      </c>
      <c r="Q45" s="94">
        <f t="shared" si="21"/>
        <v>140311.90868729001</v>
      </c>
      <c r="R45" s="42">
        <f>-[8]Sheet1!$E$20</f>
        <v>14008.90100966</v>
      </c>
      <c r="S45" s="94">
        <f t="shared" si="22"/>
        <v>154320.80969695002</v>
      </c>
      <c r="T45" s="42">
        <f>-[19]Sheet1!$G$20</f>
        <v>15972.409590410001</v>
      </c>
      <c r="U45" s="94">
        <f t="shared" si="23"/>
        <v>170293.21928736003</v>
      </c>
      <c r="V45" s="42">
        <f>-[26]Sheet1!$H$21</f>
        <v>20266.366412380001</v>
      </c>
      <c r="W45" s="94">
        <f t="shared" si="24"/>
        <v>190559.58569974004</v>
      </c>
      <c r="X45" s="42">
        <f>-[26]Sheet1!$I$21</f>
        <v>20043.974249520001</v>
      </c>
      <c r="Y45" s="94">
        <f t="shared" si="25"/>
        <v>210603.55994926003</v>
      </c>
      <c r="Z45" s="64" t="s">
        <v>102</v>
      </c>
      <c r="AA45" s="154">
        <f>-X57</f>
        <v>27795.359255640004</v>
      </c>
    </row>
    <row r="46" spans="1:28" s="64" customFormat="1" ht="16" customHeight="1">
      <c r="A46" s="102" t="s">
        <v>64</v>
      </c>
      <c r="B46" s="42">
        <v>311246</v>
      </c>
      <c r="C46" s="42">
        <v>33046.826818829999</v>
      </c>
      <c r="D46" s="42">
        <f>-[23]Sheet1!$C$21</f>
        <v>33209.905451530001</v>
      </c>
      <c r="E46" s="42">
        <f t="shared" si="26"/>
        <v>66256.732270359993</v>
      </c>
      <c r="F46" s="42">
        <f>-[23]Sheet1!$D$21</f>
        <v>67241.490764350005</v>
      </c>
      <c r="G46" s="42">
        <f t="shared" si="27"/>
        <v>133498.22303470998</v>
      </c>
      <c r="H46" s="42">
        <f>-[1]Sheet1!$F$21</f>
        <v>57974.132170739991</v>
      </c>
      <c r="I46" s="42">
        <f t="shared" si="28"/>
        <v>191472.35520544997</v>
      </c>
      <c r="J46" s="42">
        <f>-[23]Sheet1!$G$21</f>
        <v>61080.513702070006</v>
      </c>
      <c r="K46" s="42">
        <f t="shared" si="19"/>
        <v>252552.86890751997</v>
      </c>
      <c r="L46" s="42">
        <f>-[1]Sheet1!$H$21</f>
        <v>46121.401569570007</v>
      </c>
      <c r="M46" s="42">
        <f t="shared" si="29"/>
        <v>298674.27047708997</v>
      </c>
      <c r="N46" s="42">
        <f>-[11]Sheet1!$C$21</f>
        <v>37315.935124619995</v>
      </c>
      <c r="O46" s="42">
        <f t="shared" si="20"/>
        <v>335990.20560170995</v>
      </c>
      <c r="P46" s="42">
        <f>-[26]Sheet1!$D$22</f>
        <v>66453.457758689983</v>
      </c>
      <c r="Q46" s="94">
        <f t="shared" si="21"/>
        <v>402443.66336039995</v>
      </c>
      <c r="R46" s="42">
        <f>-[8]Sheet1!$E$21</f>
        <v>46787.552244599996</v>
      </c>
      <c r="S46" s="94">
        <f t="shared" si="22"/>
        <v>449231.21560499992</v>
      </c>
      <c r="T46" s="42">
        <f>-[26]Sheet1!$G$22</f>
        <v>24290.651804200003</v>
      </c>
      <c r="U46" s="94">
        <f t="shared" si="23"/>
        <v>473521.86740919994</v>
      </c>
      <c r="V46" s="42">
        <f>-[26]Sheet1!$H$22</f>
        <v>74309.184795469992</v>
      </c>
      <c r="W46" s="94">
        <f t="shared" si="24"/>
        <v>547831.05220466992</v>
      </c>
      <c r="X46" s="42">
        <f>-[26]Sheet1!$A$22:$IV$22-[26]Sheet1!$I$22</f>
        <v>66018.702307069994</v>
      </c>
      <c r="Y46" s="94">
        <f t="shared" si="25"/>
        <v>613849.75451173994</v>
      </c>
      <c r="Z46" s="154" t="s">
        <v>103</v>
      </c>
      <c r="AA46" s="154">
        <f>-X53</f>
        <v>113819.46450214002</v>
      </c>
    </row>
    <row r="47" spans="1:28" s="64" customFormat="1" ht="16" customHeight="1">
      <c r="A47" s="103" t="s">
        <v>14</v>
      </c>
      <c r="B47" s="66">
        <v>188737</v>
      </c>
      <c r="C47" s="67">
        <f>[2]Sheet1!$B$3</f>
        <v>11600000000</v>
      </c>
      <c r="D47" s="67">
        <f>[2]Sheet1!$C$3</f>
        <v>14180000000</v>
      </c>
      <c r="E47" s="67">
        <f t="shared" si="26"/>
        <v>25780000000</v>
      </c>
      <c r="F47" s="67">
        <f>[2]Sheet1!$D$3</f>
        <v>21680000000</v>
      </c>
      <c r="G47" s="67">
        <f t="shared" si="27"/>
        <v>47460000000</v>
      </c>
      <c r="H47" s="67">
        <f>[2]Sheet1!$F$3</f>
        <v>15110000000</v>
      </c>
      <c r="I47" s="67">
        <f t="shared" si="28"/>
        <v>62570000000</v>
      </c>
      <c r="J47" s="67">
        <f>[2]Sheet1!$G$3</f>
        <v>19050000000</v>
      </c>
      <c r="K47" s="67">
        <f t="shared" si="19"/>
        <v>81620000000</v>
      </c>
      <c r="L47" s="67">
        <f>[2]Sheet1!$H$3</f>
        <v>13750000000</v>
      </c>
      <c r="M47" s="67">
        <f t="shared" si="29"/>
        <v>95370000000</v>
      </c>
      <c r="N47" s="67">
        <f>[9]Sheet1!$C$3</f>
        <v>13900000000</v>
      </c>
      <c r="O47" s="67">
        <f t="shared" si="20"/>
        <v>109270000000</v>
      </c>
      <c r="P47" s="67">
        <f>[9]Sheet1!$D$3</f>
        <v>16400000000</v>
      </c>
      <c r="Q47" s="101">
        <f t="shared" si="21"/>
        <v>125670000000</v>
      </c>
      <c r="R47" s="67">
        <f>[9]Sheet1!$E$3</f>
        <v>13620000000</v>
      </c>
      <c r="S47" s="101">
        <f t="shared" si="22"/>
        <v>139290000000</v>
      </c>
      <c r="T47" s="67">
        <f>[24]Sheet1!$G$3</f>
        <v>11410000000</v>
      </c>
      <c r="U47" s="101">
        <f t="shared" si="23"/>
        <v>150700000000</v>
      </c>
      <c r="V47" s="67">
        <f>[24]Sheet1!$H$3</f>
        <v>17220000000</v>
      </c>
      <c r="W47" s="101">
        <f t="shared" si="24"/>
        <v>167920000000</v>
      </c>
      <c r="X47" s="67">
        <f>[24]Sheet1!$I$2</f>
        <v>20940000000</v>
      </c>
      <c r="Y47" s="101">
        <f t="shared" si="25"/>
        <v>188860000000</v>
      </c>
      <c r="AA47" s="154">
        <f>SUM(AA42:AA46)</f>
        <v>480693.21270262997</v>
      </c>
    </row>
    <row r="48" spans="1:28" s="64" customFormat="1" ht="16" customHeight="1">
      <c r="A48" s="104" t="s">
        <v>15</v>
      </c>
      <c r="B48" s="52">
        <v>1181369</v>
      </c>
      <c r="C48" s="42">
        <f>-[23]Sheet1!$B$22</f>
        <v>61700.315161920007</v>
      </c>
      <c r="D48" s="42">
        <f>-[23]Sheet1!$C$22</f>
        <v>75376.778847000009</v>
      </c>
      <c r="E48" s="42">
        <f t="shared" si="26"/>
        <v>137077.09400892002</v>
      </c>
      <c r="F48" s="42">
        <f>-[23]Sheet1!$D$22</f>
        <v>360835.79479710007</v>
      </c>
      <c r="G48" s="42">
        <f t="shared" si="27"/>
        <v>497912.88880602008</v>
      </c>
      <c r="H48" s="42">
        <f>-[23]Sheet1!$F$22</f>
        <v>76828.169265200006</v>
      </c>
      <c r="I48" s="42">
        <f t="shared" si="28"/>
        <v>574741.05807122006</v>
      </c>
      <c r="J48" s="42">
        <f>-[23]Sheet1!$G$22</f>
        <v>145770.89897252002</v>
      </c>
      <c r="K48" s="42">
        <f t="shared" si="19"/>
        <v>720511.95704374008</v>
      </c>
      <c r="L48" s="42">
        <f>-[23]Sheet1!$H$22</f>
        <v>172938.59145648003</v>
      </c>
      <c r="M48" s="42">
        <f t="shared" si="29"/>
        <v>893450.54850022006</v>
      </c>
      <c r="N48" s="42">
        <f>-[26]Sheet1!$C$23</f>
        <v>119876.72677931002</v>
      </c>
      <c r="O48" s="42">
        <f t="shared" si="20"/>
        <v>1013327.2752795301</v>
      </c>
      <c r="P48" s="42">
        <f>-[26]Sheet1!$D$23</f>
        <v>126416.17078797</v>
      </c>
      <c r="Q48" s="94">
        <f t="shared" si="21"/>
        <v>1139743.4460675002</v>
      </c>
      <c r="R48" s="42">
        <f>-[26]Sheet1!$E$23</f>
        <v>110276.50061478</v>
      </c>
      <c r="S48" s="94">
        <f t="shared" si="22"/>
        <v>1250019.9466822802</v>
      </c>
      <c r="T48" s="42">
        <f>-[26]Sheet1!$G$23</f>
        <v>8502.4319011299995</v>
      </c>
      <c r="U48" s="94">
        <f t="shared" si="23"/>
        <v>1258522.3785834101</v>
      </c>
      <c r="V48" s="42">
        <f>-[26]Sheet1!$H$23</f>
        <v>195203.89107490002</v>
      </c>
      <c r="W48" s="94">
        <f t="shared" si="24"/>
        <v>1453726.2696583101</v>
      </c>
      <c r="X48" s="42">
        <f>-[26]Sheet1!$I$23</f>
        <v>44613.704573100025</v>
      </c>
      <c r="Y48" s="94">
        <f t="shared" si="25"/>
        <v>1498339.9742314101</v>
      </c>
      <c r="Z48" s="64" t="s">
        <v>104</v>
      </c>
      <c r="AA48" s="191">
        <f>AB40</f>
        <v>-130527</v>
      </c>
    </row>
    <row r="49" spans="1:28" ht="16" customHeight="1">
      <c r="A49" s="89" t="s">
        <v>16</v>
      </c>
      <c r="B49" s="53">
        <f>B41+B42+B44+B45+B46+B48</f>
        <v>7133992</v>
      </c>
      <c r="C49" s="53">
        <f t="shared" ref="C49:M49" si="30">C41+C42+C44+C45+C46+C48</f>
        <v>497573.29218618001</v>
      </c>
      <c r="D49" s="53">
        <f t="shared" si="30"/>
        <v>621960.73035733006</v>
      </c>
      <c r="E49" s="53">
        <f t="shared" si="30"/>
        <v>1119534.02254351</v>
      </c>
      <c r="F49" s="53">
        <f t="shared" si="30"/>
        <v>1126254.3555669701</v>
      </c>
      <c r="G49" s="53">
        <f t="shared" si="30"/>
        <v>2245788.37811048</v>
      </c>
      <c r="H49" s="53">
        <f t="shared" si="30"/>
        <v>682446.05889035005</v>
      </c>
      <c r="I49" s="53">
        <f t="shared" si="30"/>
        <v>2928234.4370008307</v>
      </c>
      <c r="J49" s="53">
        <f t="shared" si="30"/>
        <v>712696.16202128993</v>
      </c>
      <c r="K49" s="53">
        <f t="shared" si="30"/>
        <v>3640930.5990221202</v>
      </c>
      <c r="L49" s="53">
        <f t="shared" si="30"/>
        <v>669543.87686844997</v>
      </c>
      <c r="M49" s="53">
        <f t="shared" si="30"/>
        <v>4310474.4758905694</v>
      </c>
      <c r="N49" s="53">
        <f t="shared" ref="N49:S49" si="31">N41+N42+N44+N45+N46+N48</f>
        <v>632955.16584024997</v>
      </c>
      <c r="O49" s="45">
        <f t="shared" si="31"/>
        <v>4943429.6417308198</v>
      </c>
      <c r="P49" s="53">
        <f t="shared" si="31"/>
        <v>842059.81654353999</v>
      </c>
      <c r="Q49" s="96">
        <f t="shared" si="31"/>
        <v>5785489.4582743598</v>
      </c>
      <c r="R49" s="53">
        <f t="shared" si="31"/>
        <v>727722.64235125005</v>
      </c>
      <c r="S49" s="96">
        <f t="shared" si="31"/>
        <v>6513212.10062561</v>
      </c>
      <c r="T49" s="53">
        <f t="shared" ref="T49:Y49" si="32">T41+T42+T44+T45+T46+T48</f>
        <v>504293.25719594007</v>
      </c>
      <c r="U49" s="96">
        <f t="shared" si="32"/>
        <v>7017505.3578215493</v>
      </c>
      <c r="V49" s="53">
        <f t="shared" si="32"/>
        <v>789166.62986035994</v>
      </c>
      <c r="W49" s="96">
        <f t="shared" si="32"/>
        <v>7806671.9876819104</v>
      </c>
      <c r="X49" s="53">
        <f t="shared" si="32"/>
        <v>689656.98385534994</v>
      </c>
      <c r="Y49" s="96">
        <f t="shared" si="32"/>
        <v>8496328.9715372603</v>
      </c>
      <c r="AA49" s="155">
        <f>SUM(AA47:AA48)</f>
        <v>350166.21270262997</v>
      </c>
    </row>
    <row r="50" spans="1:28" ht="16" customHeight="1">
      <c r="A50" s="95"/>
      <c r="B50" s="54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105"/>
      <c r="R50" s="55"/>
      <c r="S50" s="105"/>
      <c r="T50" s="55"/>
      <c r="U50" s="105"/>
      <c r="V50" s="55"/>
      <c r="W50" s="105"/>
      <c r="X50" s="55"/>
      <c r="Y50" s="105"/>
      <c r="AA50" s="155">
        <f>480692924326.19/1000000</f>
        <v>480692.92432619003</v>
      </c>
      <c r="AB50" s="155">
        <f>AA50-AA46</f>
        <v>366873.45982405002</v>
      </c>
    </row>
    <row r="51" spans="1:28" ht="16" customHeight="1">
      <c r="A51" s="89" t="s">
        <v>36</v>
      </c>
      <c r="B51" s="45">
        <f t="shared" ref="B51:I51" si="33">B32-B49</f>
        <v>1004040</v>
      </c>
      <c r="C51" s="56">
        <f>C32-C49</f>
        <v>-21576.501959070039</v>
      </c>
      <c r="D51" s="56">
        <f t="shared" si="33"/>
        <v>-120585.39142608002</v>
      </c>
      <c r="E51" s="56">
        <f t="shared" si="33"/>
        <v>-142161.89338514977</v>
      </c>
      <c r="F51" s="56">
        <f t="shared" si="33"/>
        <v>324367.52670892002</v>
      </c>
      <c r="G51" s="56">
        <f t="shared" si="33"/>
        <v>182205.63332377048</v>
      </c>
      <c r="H51" s="56">
        <f t="shared" si="33"/>
        <v>-113439.49995708</v>
      </c>
      <c r="I51" s="56">
        <f t="shared" si="33"/>
        <v>68766.133366689552</v>
      </c>
      <c r="J51" s="56">
        <f t="shared" ref="J51:O51" si="34">J32-J49</f>
        <v>-216098.86279278994</v>
      </c>
      <c r="K51" s="56">
        <f t="shared" si="34"/>
        <v>-147332.72942609992</v>
      </c>
      <c r="L51" s="56">
        <f t="shared" si="34"/>
        <v>-27106.680676329881</v>
      </c>
      <c r="M51" s="56">
        <f t="shared" si="34"/>
        <v>-174439.41010243027</v>
      </c>
      <c r="N51" s="56">
        <f t="shared" si="34"/>
        <v>436173.20217058994</v>
      </c>
      <c r="O51" s="56">
        <f t="shared" si="34"/>
        <v>261733.79206816014</v>
      </c>
      <c r="P51" s="56">
        <f t="shared" ref="P51:U51" si="35">P32-P49</f>
        <v>-381341.28901196003</v>
      </c>
      <c r="Q51" s="106">
        <f t="shared" si="35"/>
        <v>-119607.49694379978</v>
      </c>
      <c r="R51" s="56">
        <f t="shared" si="35"/>
        <v>-167961.80383295019</v>
      </c>
      <c r="S51" s="106">
        <f t="shared" si="35"/>
        <v>-287569.30077674985</v>
      </c>
      <c r="T51" s="56">
        <f t="shared" si="35"/>
        <v>76527.881823219766</v>
      </c>
      <c r="U51" s="106">
        <f t="shared" si="35"/>
        <v>-211041.41895352956</v>
      </c>
      <c r="V51" s="56">
        <f>V32-V49</f>
        <v>-250724.68264816003</v>
      </c>
      <c r="W51" s="106">
        <f>W32-W49</f>
        <v>-461766.10160169099</v>
      </c>
      <c r="X51" s="56">
        <f>X32-X49</f>
        <v>86691.745238539879</v>
      </c>
      <c r="Y51" s="106">
        <f>Y32-Y49</f>
        <v>-375074.35636314936</v>
      </c>
      <c r="AA51" s="155"/>
    </row>
    <row r="52" spans="1:28" ht="16" customHeight="1">
      <c r="A52" s="107"/>
      <c r="B52" s="46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108"/>
      <c r="R52" s="57"/>
      <c r="S52" s="108"/>
      <c r="T52" s="57"/>
      <c r="U52" s="108"/>
      <c r="V52" s="57"/>
      <c r="W52" s="108"/>
      <c r="X52" s="57"/>
      <c r="Y52" s="108"/>
    </row>
    <row r="53" spans="1:28" ht="16" customHeight="1">
      <c r="A53" s="86" t="s">
        <v>17</v>
      </c>
      <c r="B53" s="49">
        <f>B54+B55</f>
        <v>1277610</v>
      </c>
      <c r="C53" s="49">
        <f>C54+C55</f>
        <v>-124810.25241669</v>
      </c>
      <c r="D53" s="49">
        <f>D54+D55</f>
        <v>-144449.35169153</v>
      </c>
      <c r="E53" s="49">
        <f>E54+E55</f>
        <v>-269259.60410821997</v>
      </c>
      <c r="F53" s="49">
        <f t="shared" ref="F53:K53" si="36">F54+F55</f>
        <v>-140137.81089272001</v>
      </c>
      <c r="G53" s="49">
        <f t="shared" si="36"/>
        <v>-409397.41500093997</v>
      </c>
      <c r="H53" s="49">
        <f t="shared" si="36"/>
        <v>-128751.02377345001</v>
      </c>
      <c r="I53" s="49">
        <f>I54+I55</f>
        <v>-538148.43877439003</v>
      </c>
      <c r="J53" s="49">
        <f>J54+J55</f>
        <v>-77826.142570060008</v>
      </c>
      <c r="K53" s="49">
        <f t="shared" si="36"/>
        <v>-615974.58134445001</v>
      </c>
      <c r="L53" s="49">
        <f t="shared" ref="L53:Q53" si="37">L54+L55</f>
        <v>-98526.425774470001</v>
      </c>
      <c r="M53" s="49">
        <f t="shared" si="37"/>
        <v>-714501.00711891998</v>
      </c>
      <c r="N53" s="49">
        <f t="shared" si="37"/>
        <v>-169620.58279054999</v>
      </c>
      <c r="O53" s="49">
        <f t="shared" si="37"/>
        <v>-884121.58990946994</v>
      </c>
      <c r="P53" s="49">
        <f t="shared" si="37"/>
        <v>-43135.944686529998</v>
      </c>
      <c r="Q53" s="93">
        <f t="shared" si="37"/>
        <v>-927257.53459599998</v>
      </c>
      <c r="R53" s="49">
        <f t="shared" ref="R53:W53" si="38">R54+R55</f>
        <v>-87307.185706360018</v>
      </c>
      <c r="S53" s="93">
        <f t="shared" si="38"/>
        <v>-1014564.72030236</v>
      </c>
      <c r="T53" s="49">
        <f t="shared" si="38"/>
        <v>-46413.443191049999</v>
      </c>
      <c r="U53" s="93">
        <f t="shared" si="38"/>
        <v>-1060978.16349341</v>
      </c>
      <c r="V53" s="49">
        <f t="shared" si="38"/>
        <v>-60759.454309460009</v>
      </c>
      <c r="W53" s="93">
        <f t="shared" si="38"/>
        <v>-1121737.61780287</v>
      </c>
      <c r="X53" s="49">
        <f>X54+X55</f>
        <v>-113819.46450214002</v>
      </c>
      <c r="Y53" s="93">
        <f>Y54+Y55</f>
        <v>-1235557.0823050102</v>
      </c>
    </row>
    <row r="54" spans="1:28" s="64" customFormat="1" ht="16" customHeight="1">
      <c r="A54" s="109" t="s">
        <v>18</v>
      </c>
      <c r="B54" s="42">
        <v>1139197</v>
      </c>
      <c r="C54" s="43">
        <f>[1]Sheet1!$B$27</f>
        <v>-108591.9831628</v>
      </c>
      <c r="D54" s="43">
        <f>[1]Sheet1!$C$27</f>
        <v>-136151.03391500999</v>
      </c>
      <c r="E54" s="43">
        <f>C54+D54</f>
        <v>-244743.01707780999</v>
      </c>
      <c r="F54" s="43">
        <f>[1]Sheet1!$D$27</f>
        <v>-127264.12935642</v>
      </c>
      <c r="G54" s="43">
        <f>E54+F54</f>
        <v>-372007.14643422997</v>
      </c>
      <c r="H54" s="43">
        <f>[1]Sheet1!$F$27</f>
        <v>-125695.70391492001</v>
      </c>
      <c r="I54" s="43">
        <f>G54+H54</f>
        <v>-497702.85034915002</v>
      </c>
      <c r="J54" s="43">
        <f>[1]Sheet1!$G$27</f>
        <v>-76619.904546000005</v>
      </c>
      <c r="K54" s="43">
        <f>I54+J54</f>
        <v>-574322.75489514996</v>
      </c>
      <c r="L54" s="43">
        <f>[23]Sheet1!$H$27</f>
        <v>-93197.221632000001</v>
      </c>
      <c r="M54" s="43">
        <f>K54+L54</f>
        <v>-667519.97652715002</v>
      </c>
      <c r="N54" s="43">
        <f>[8]Sheet1!$C$27</f>
        <v>-151501.05878942</v>
      </c>
      <c r="O54" s="43">
        <f>M54+N54</f>
        <v>-819021.03531656996</v>
      </c>
      <c r="P54" s="43">
        <f>[8]Sheet1!$D$27</f>
        <v>-32375.6537451</v>
      </c>
      <c r="Q54" s="85">
        <f>O54+P54</f>
        <v>-851396.68906166998</v>
      </c>
      <c r="R54" s="43">
        <f>[8]Sheet1!$E$27</f>
        <v>-71374.04063814001</v>
      </c>
      <c r="S54" s="85">
        <f>Q54+R54</f>
        <v>-922770.72969981004</v>
      </c>
      <c r="T54" s="43">
        <f>[26]Sheet1!$G$28</f>
        <v>-43538.394847579999</v>
      </c>
      <c r="U54" s="85">
        <f>S54+T54</f>
        <v>-966309.12454739003</v>
      </c>
      <c r="V54" s="43">
        <f>[26]Sheet1!$H$28</f>
        <v>-59384.857165440008</v>
      </c>
      <c r="W54" s="85">
        <f>U54+V54</f>
        <v>-1025693.98171283</v>
      </c>
      <c r="X54" s="43">
        <f>[26]Sheet1!$I$28</f>
        <v>-106983.98616560001</v>
      </c>
      <c r="Y54" s="85">
        <f>W54+X54</f>
        <v>-1132677.9678784302</v>
      </c>
    </row>
    <row r="55" spans="1:28" s="64" customFormat="1" ht="16" customHeight="1">
      <c r="A55" s="109" t="s">
        <v>19</v>
      </c>
      <c r="B55" s="42">
        <v>138413</v>
      </c>
      <c r="C55" s="43">
        <v>-16218.269253889999</v>
      </c>
      <c r="D55" s="43">
        <v>-8298.3177765199998</v>
      </c>
      <c r="E55" s="43">
        <f>C55+D55</f>
        <v>-24516.587030409999</v>
      </c>
      <c r="F55" s="43">
        <f>[1]Sheet1!$D$28</f>
        <v>-12873.681536300001</v>
      </c>
      <c r="G55" s="43">
        <f>E55+F55</f>
        <v>-37390.268566710001</v>
      </c>
      <c r="H55" s="43">
        <f>[1]Sheet1!$F$28</f>
        <v>-3055.3198585300001</v>
      </c>
      <c r="I55" s="43">
        <f>G55+H55</f>
        <v>-40445.588425239999</v>
      </c>
      <c r="J55" s="43">
        <f>[1]Sheet1!$G$28</f>
        <v>-1206.2380240600003</v>
      </c>
      <c r="K55" s="43">
        <f>I55+J55</f>
        <v>-41651.826449300002</v>
      </c>
      <c r="L55" s="43">
        <f>[7]Sheet1!$H$29</f>
        <v>-5329.2041424700001</v>
      </c>
      <c r="M55" s="43">
        <f>K55+L55</f>
        <v>-46981.030591770003</v>
      </c>
      <c r="N55" s="43">
        <f>[11]Sheet1!$C$28</f>
        <v>-18119.524001130001</v>
      </c>
      <c r="O55" s="43">
        <f>M55+N55</f>
        <v>-65100.554592900007</v>
      </c>
      <c r="P55" s="43">
        <f>[12]Sheet1!$D$28</f>
        <v>-10760.290941429999</v>
      </c>
      <c r="Q55" s="85">
        <f>O55+P55</f>
        <v>-75860.845534330001</v>
      </c>
      <c r="R55" s="43">
        <f>[20]Sheet1!$E$28</f>
        <v>-15933.145068220003</v>
      </c>
      <c r="S55" s="85">
        <f>Q55+R55</f>
        <v>-91793.990602550009</v>
      </c>
      <c r="T55" s="43">
        <f>[19]Sheet1!$G$28</f>
        <v>-2875.04834347</v>
      </c>
      <c r="U55" s="85">
        <f>S55+T55</f>
        <v>-94669.038946020009</v>
      </c>
      <c r="V55" s="43">
        <f>[26]Sheet1!$H$29</f>
        <v>-1374.5971440200001</v>
      </c>
      <c r="W55" s="85">
        <f>U55+V55</f>
        <v>-96043.636090040003</v>
      </c>
      <c r="X55" s="43">
        <f>[26]Sheet1!$I$29</f>
        <v>-6835.4783365400008</v>
      </c>
      <c r="Y55" s="85">
        <f>W55+X55</f>
        <v>-102879.11442658001</v>
      </c>
    </row>
    <row r="56" spans="1:28" ht="16" customHeight="1">
      <c r="A56" s="86" t="s">
        <v>20</v>
      </c>
      <c r="B56" s="49">
        <f>B58+B57</f>
        <v>-149374</v>
      </c>
      <c r="C56" s="49">
        <f>C57+C58</f>
        <v>-98621.406675000006</v>
      </c>
      <c r="D56" s="49">
        <f t="shared" ref="D56:K56" si="39">D57+D58</f>
        <v>-103213.425317</v>
      </c>
      <c r="E56" s="49">
        <f t="shared" si="39"/>
        <v>-201834.83199199999</v>
      </c>
      <c r="F56" s="49">
        <f t="shared" si="39"/>
        <v>-87197.812952909997</v>
      </c>
      <c r="G56" s="49">
        <f t="shared" si="39"/>
        <v>-289032.64494491002</v>
      </c>
      <c r="H56" s="49">
        <f t="shared" si="39"/>
        <v>-99249.66066116</v>
      </c>
      <c r="I56" s="49">
        <f t="shared" si="39"/>
        <v>-388282.30560606997</v>
      </c>
      <c r="J56" s="49">
        <f t="shared" si="39"/>
        <v>-96808.687989729995</v>
      </c>
      <c r="K56" s="49">
        <f t="shared" si="39"/>
        <v>-485090.99359580001</v>
      </c>
      <c r="L56" s="49">
        <f t="shared" ref="L56:Q56" si="40">L57+L58</f>
        <v>-78700.634274530006</v>
      </c>
      <c r="M56" s="49">
        <f t="shared" si="40"/>
        <v>-563791.62787033</v>
      </c>
      <c r="N56" s="49">
        <f t="shared" si="40"/>
        <v>-88483.691182679991</v>
      </c>
      <c r="O56" s="49">
        <f t="shared" si="40"/>
        <v>-652275.31905300997</v>
      </c>
      <c r="P56" s="49">
        <f t="shared" si="40"/>
        <v>-4766.4808387800003</v>
      </c>
      <c r="Q56" s="93">
        <f t="shared" si="40"/>
        <v>-657041.79989179003</v>
      </c>
      <c r="R56" s="49">
        <f t="shared" ref="R56:W56" si="41">R57+R58</f>
        <v>-49197.100093989997</v>
      </c>
      <c r="S56" s="93">
        <f t="shared" si="41"/>
        <v>-706238.89998578001</v>
      </c>
      <c r="T56" s="49">
        <f t="shared" si="41"/>
        <v>-28566.802208440004</v>
      </c>
      <c r="U56" s="93">
        <f t="shared" si="41"/>
        <v>-734805.70219422004</v>
      </c>
      <c r="V56" s="49">
        <f t="shared" si="41"/>
        <v>-13020.601885559996</v>
      </c>
      <c r="W56" s="93">
        <f t="shared" si="41"/>
        <v>-747826.30407978001</v>
      </c>
      <c r="X56" s="49">
        <f>X57+X58</f>
        <v>-31410.120539640004</v>
      </c>
      <c r="Y56" s="93">
        <f>Y57+Y58</f>
        <v>-779236.42461941997</v>
      </c>
    </row>
    <row r="57" spans="1:28" s="64" customFormat="1" ht="16" customHeight="1">
      <c r="A57" s="109" t="s">
        <v>21</v>
      </c>
      <c r="B57" s="42">
        <v>-149374</v>
      </c>
      <c r="C57" s="43">
        <f>[23]Sheet1!$B$30</f>
        <v>-94927.392069000009</v>
      </c>
      <c r="D57" s="43">
        <f>[23]Sheet1!$C$30</f>
        <v>-102083.075564</v>
      </c>
      <c r="E57" s="43">
        <f>C57+D57</f>
        <v>-197010.46763299999</v>
      </c>
      <c r="F57" s="43">
        <f>[23]Sheet1!$D$30</f>
        <v>-85680.872100909997</v>
      </c>
      <c r="G57" s="43">
        <f>F57+E57</f>
        <v>-282691.33973390999</v>
      </c>
      <c r="H57" s="43">
        <f>[23]Sheet1!$F$30</f>
        <v>-98745.686597160005</v>
      </c>
      <c r="I57" s="43">
        <f>G57+H57</f>
        <v>-381437.02633107</v>
      </c>
      <c r="J57" s="43">
        <f>[23]Sheet1!$G$30</f>
        <v>-95555.959579729999</v>
      </c>
      <c r="K57" s="43">
        <f>I57+J57</f>
        <v>-476992.98591079999</v>
      </c>
      <c r="L57" s="43">
        <f>[23]Sheet1!$H$30</f>
        <v>-77881.360737530005</v>
      </c>
      <c r="M57" s="43">
        <f>K57+L57</f>
        <v>-554874.34664832999</v>
      </c>
      <c r="N57" s="43">
        <f>[26]Sheet1!$C$31</f>
        <v>-86233.235878679989</v>
      </c>
      <c r="O57" s="43">
        <f>M57+N57</f>
        <v>-641107.58252701</v>
      </c>
      <c r="P57" s="43">
        <f>[26]Sheet1!$D$31</f>
        <v>-3904.7910857799998</v>
      </c>
      <c r="Q57" s="85">
        <f>O57+P57</f>
        <v>-645012.37361279002</v>
      </c>
      <c r="R57" s="43">
        <f>[26]Sheet1!$E$31</f>
        <v>-47424.310422989998</v>
      </c>
      <c r="S57" s="85">
        <f>Q57+R57</f>
        <v>-692436.68403578002</v>
      </c>
      <c r="T57" s="43">
        <f>[26]Sheet1!$G$31</f>
        <v>-28330.998647440003</v>
      </c>
      <c r="U57" s="85">
        <f>S57+T57</f>
        <v>-720767.68268322002</v>
      </c>
      <c r="V57" s="43">
        <f>[26]Sheet1!$H$31</f>
        <v>-12314.746410559996</v>
      </c>
      <c r="W57" s="85">
        <f>U57+V57</f>
        <v>-733082.42909378</v>
      </c>
      <c r="X57" s="43">
        <f>[26]Sheet1!$I$31</f>
        <v>-27795.359255640004</v>
      </c>
      <c r="Y57" s="85">
        <f>W57+X57</f>
        <v>-760877.78834941995</v>
      </c>
    </row>
    <row r="58" spans="1:28" s="64" customFormat="1" ht="16" customHeight="1">
      <c r="A58" s="109" t="s">
        <v>22</v>
      </c>
      <c r="B58" s="42">
        <f>0</f>
        <v>0</v>
      </c>
      <c r="C58" s="43">
        <f>[1]Sheet1!$B$29</f>
        <v>-3694.0146060000002</v>
      </c>
      <c r="D58" s="43">
        <f>[1]Sheet1!$C$29</f>
        <v>-1130.349753</v>
      </c>
      <c r="E58" s="43">
        <f>C58+D58</f>
        <v>-4824.3643590000001</v>
      </c>
      <c r="F58" s="43">
        <f>[1]Sheet1!$D$29</f>
        <v>-1516.9408519999999</v>
      </c>
      <c r="G58" s="43">
        <f>F58+E58</f>
        <v>-6341.3052109999999</v>
      </c>
      <c r="H58" s="43">
        <f>[1]Sheet1!$F$29</f>
        <v>-503.974064</v>
      </c>
      <c r="I58" s="43">
        <f>G58+H58</f>
        <v>-6845.2792749999999</v>
      </c>
      <c r="J58" s="43">
        <f>[1]Sheet1!$G$29</f>
        <v>-1252.7284100000002</v>
      </c>
      <c r="K58" s="43">
        <f>I58+J58</f>
        <v>-8098.0076850000005</v>
      </c>
      <c r="L58" s="43">
        <f>[1]Sheet1!$H$29</f>
        <v>-819.27353699999992</v>
      </c>
      <c r="M58" s="43">
        <f>K58+L58</f>
        <v>-8917.2812219999996</v>
      </c>
      <c r="N58" s="43">
        <f>[11]Sheet1!$C$29</f>
        <v>-2250.4553040000001</v>
      </c>
      <c r="O58" s="43">
        <f>M58+N58</f>
        <v>-11167.736526000001</v>
      </c>
      <c r="P58" s="43">
        <f>[8]Sheet1!$D$29</f>
        <v>-861.68975300000011</v>
      </c>
      <c r="Q58" s="85">
        <f>O58+P58</f>
        <v>-12029.426279000001</v>
      </c>
      <c r="R58" s="43">
        <f>[15]Sheet1!$E$29</f>
        <v>-1772.7896710000002</v>
      </c>
      <c r="S58" s="85">
        <f>Q58+R58</f>
        <v>-13802.215950000002</v>
      </c>
      <c r="T58" s="43">
        <f>[19]Sheet1!$G$29</f>
        <v>-235.80356099999997</v>
      </c>
      <c r="U58" s="85">
        <f>S58+T58</f>
        <v>-14038.019511000002</v>
      </c>
      <c r="V58" s="43">
        <f>[26]Sheet1!$H$30</f>
        <v>-705.85547499999996</v>
      </c>
      <c r="W58" s="85">
        <f>U58+V58</f>
        <v>-14743.874986000003</v>
      </c>
      <c r="X58" s="43">
        <f>[26]Sheet1!$I$30</f>
        <v>-3614.7612840000006</v>
      </c>
      <c r="Y58" s="85">
        <f>W58+X58</f>
        <v>-18358.636270000003</v>
      </c>
    </row>
    <row r="59" spans="1:28" s="64" customFormat="1" ht="15.5">
      <c r="A59" s="110" t="s">
        <v>23</v>
      </c>
      <c r="B59" s="42">
        <v>0</v>
      </c>
      <c r="C59" s="43">
        <f>[23]Sheet1!$B$25</f>
        <v>75562.972112999996</v>
      </c>
      <c r="D59" s="43">
        <f>[23]Sheet1!$C$25</f>
        <v>193627.99376099999</v>
      </c>
      <c r="E59" s="43">
        <f>C59+D59</f>
        <v>269190.96587399999</v>
      </c>
      <c r="F59" s="43">
        <f>[23]Sheet1!$D$25</f>
        <v>130278.09784221003</v>
      </c>
      <c r="G59" s="43">
        <f>F59+E59</f>
        <v>399469.06371621002</v>
      </c>
      <c r="H59" s="43">
        <f>[23]Sheet1!$F$25</f>
        <v>-114070.68018878001</v>
      </c>
      <c r="I59" s="43">
        <f>G59+H59</f>
        <v>285398.38352743001</v>
      </c>
      <c r="J59" s="43">
        <f>[23]Sheet1!$G$25</f>
        <v>273343.27790877986</v>
      </c>
      <c r="K59" s="43">
        <f>I59+J59</f>
        <v>558741.66143620992</v>
      </c>
      <c r="L59" s="43">
        <f>[23]Sheet1!$H$25</f>
        <v>156501.77038047</v>
      </c>
      <c r="M59" s="43">
        <f>K59+L59</f>
        <v>715243.43181667989</v>
      </c>
      <c r="N59" s="43">
        <f>[26]Sheet1!$C$26</f>
        <v>107357.13619704005</v>
      </c>
      <c r="O59" s="43">
        <f>M59+N59</f>
        <v>822600.56801371998</v>
      </c>
      <c r="P59" s="43">
        <f>[26]Sheet1!$D$26</f>
        <v>-63554.89388749998</v>
      </c>
      <c r="Q59" s="85">
        <f>O59+P59</f>
        <v>759045.67412622005</v>
      </c>
      <c r="R59" s="43">
        <f>[26]Sheet1!$E$26</f>
        <v>-89713.529938290012</v>
      </c>
      <c r="S59" s="85">
        <f>Q59+R59</f>
        <v>669332.14418793004</v>
      </c>
      <c r="T59" s="43">
        <f>[26]Sheet1!$G$26</f>
        <v>-109860.57856566001</v>
      </c>
      <c r="U59" s="85">
        <f>S59+T59</f>
        <v>559471.56562226999</v>
      </c>
      <c r="V59" s="43">
        <f>[26]Sheet1!$H$26</f>
        <v>9304.7408459000144</v>
      </c>
      <c r="W59" s="85">
        <f>U59+V59</f>
        <v>568776.30646817002</v>
      </c>
      <c r="X59" s="43">
        <f>[26]Sheet1!$I$26</f>
        <v>-568820.65965917008</v>
      </c>
      <c r="Y59" s="85">
        <f>W59+X59</f>
        <v>-44.353191000060178</v>
      </c>
    </row>
    <row r="60" spans="1:28" s="64" customFormat="1" ht="15.5">
      <c r="A60" s="110" t="s">
        <v>28</v>
      </c>
      <c r="B60" s="43">
        <v>0</v>
      </c>
      <c r="C60" s="43">
        <f>[23]Sheet1!$B$24</f>
        <v>-173153.62394408</v>
      </c>
      <c r="D60" s="43">
        <f>[23]Sheet1!$C$24</f>
        <v>-58773.182013509999</v>
      </c>
      <c r="E60" s="43">
        <f>C60+D60</f>
        <v>-231926.80595759</v>
      </c>
      <c r="F60" s="43">
        <f>[23]Sheet1!$D$24</f>
        <v>6368.0199380000004</v>
      </c>
      <c r="G60" s="43">
        <f>F60+E60</f>
        <v>-225558.78601958998</v>
      </c>
      <c r="H60" s="43">
        <v>-19075</v>
      </c>
      <c r="I60" s="43">
        <f>G60+H60</f>
        <v>-244633.78601958998</v>
      </c>
      <c r="J60" s="43">
        <f>[23]Sheet1!$G$24</f>
        <v>-4408.1825831000033</v>
      </c>
      <c r="K60" s="43">
        <f>I60+J60</f>
        <v>-249041.96860269</v>
      </c>
      <c r="L60" s="43">
        <v>-2682</v>
      </c>
      <c r="M60" s="43">
        <f>K60+L60</f>
        <v>-251723.96860269</v>
      </c>
      <c r="N60" s="43">
        <f>[8]Sheet1!$C$24</f>
        <v>614.22827899999777</v>
      </c>
      <c r="O60" s="43">
        <f>M60+N60</f>
        <v>-251109.74032369</v>
      </c>
      <c r="P60" s="43">
        <f>[26]Sheet1!$D$25</f>
        <v>-15307.188028019988</v>
      </c>
      <c r="Q60" s="85">
        <f>O60+P60</f>
        <v>-266416.92835170997</v>
      </c>
      <c r="R60" s="43">
        <f>[26]Sheet1!$E$25</f>
        <v>57.206394999996263</v>
      </c>
      <c r="S60" s="85">
        <f>Q60+R60</f>
        <v>-266359.72195670998</v>
      </c>
      <c r="T60" s="43">
        <f>[26]Sheet1!$G$25</f>
        <v>1549.1813220000054</v>
      </c>
      <c r="U60" s="85">
        <f>S60+T60</f>
        <v>-264810.54063470999</v>
      </c>
      <c r="V60" s="43">
        <f>[26]Sheet1!$H$25</f>
        <v>2934.4759229999995</v>
      </c>
      <c r="W60" s="85">
        <f>U60+V60</f>
        <v>-261876.06471171</v>
      </c>
      <c r="X60" s="43">
        <f>[26]Sheet1!$I$25</f>
        <v>820669.06738878007</v>
      </c>
      <c r="Y60" s="85">
        <f>W60+X60</f>
        <v>558793.00267707009</v>
      </c>
    </row>
    <row r="61" spans="1:28" ht="15.5">
      <c r="A61" s="89" t="s">
        <v>35</v>
      </c>
      <c r="B61" s="45">
        <f>B53+B56+B60</f>
        <v>1128236</v>
      </c>
      <c r="C61" s="45">
        <f t="shared" ref="C61:I61" si="42">C53+C56+C59+C60</f>
        <v>-321022.31092277</v>
      </c>
      <c r="D61" s="45">
        <f t="shared" si="42"/>
        <v>-112807.96526103999</v>
      </c>
      <c r="E61" s="45">
        <f t="shared" si="42"/>
        <v>-433830.27618380997</v>
      </c>
      <c r="F61" s="45">
        <f>F53+F56+F59+F60</f>
        <v>-90689.506065419977</v>
      </c>
      <c r="G61" s="45">
        <f t="shared" si="42"/>
        <v>-524519.78224922996</v>
      </c>
      <c r="H61" s="45">
        <f t="shared" si="42"/>
        <v>-361146.36462339002</v>
      </c>
      <c r="I61" s="45">
        <f t="shared" si="42"/>
        <v>-885666.14687261998</v>
      </c>
      <c r="J61" s="45">
        <f t="shared" ref="J61:O61" si="43">J53+J56+J59+J60</f>
        <v>94300.264765889835</v>
      </c>
      <c r="K61" s="45">
        <f t="shared" si="43"/>
        <v>-791365.88210673013</v>
      </c>
      <c r="L61" s="45">
        <f t="shared" si="43"/>
        <v>-23407.289668530022</v>
      </c>
      <c r="M61" s="45">
        <f t="shared" si="43"/>
        <v>-814773.17177526013</v>
      </c>
      <c r="N61" s="45">
        <f>N53+N56+N59+N60</f>
        <v>-150132.90949718995</v>
      </c>
      <c r="O61" s="45">
        <f t="shared" si="43"/>
        <v>-964906.08127244981</v>
      </c>
      <c r="P61" s="45">
        <f t="shared" ref="P61:U61" si="44">P53+P56+P59+P60</f>
        <v>-126764.50744082996</v>
      </c>
      <c r="Q61" s="96">
        <f t="shared" si="44"/>
        <v>-1091670.5887132799</v>
      </c>
      <c r="R61" s="45">
        <f t="shared" si="44"/>
        <v>-226160.60934364004</v>
      </c>
      <c r="S61" s="96">
        <f t="shared" si="44"/>
        <v>-1317831.19805692</v>
      </c>
      <c r="T61" s="45">
        <f t="shared" si="44"/>
        <v>-183291.64264314997</v>
      </c>
      <c r="U61" s="96">
        <f t="shared" si="44"/>
        <v>-1501122.8407000699</v>
      </c>
      <c r="V61" s="45">
        <f>V53+V56+V59+V60</f>
        <v>-61540.839426119994</v>
      </c>
      <c r="W61" s="96">
        <f>W53+W56+W59+W60</f>
        <v>-1562663.6801261897</v>
      </c>
      <c r="X61" s="45">
        <f>X53+X56+X59+X60</f>
        <v>106618.82268782996</v>
      </c>
      <c r="Y61" s="96">
        <f>Y53+Y56+Y59+Y60</f>
        <v>-1456044.8574383603</v>
      </c>
    </row>
    <row r="62" spans="1:28" ht="16" customHeight="1" thickBot="1">
      <c r="A62" s="97" t="s">
        <v>37</v>
      </c>
      <c r="B62" s="98">
        <f>B51+B61</f>
        <v>2132276</v>
      </c>
      <c r="C62" s="98">
        <f t="shared" ref="C62:I62" si="45">C51+C61</f>
        <v>-342598.81288184004</v>
      </c>
      <c r="D62" s="98">
        <f t="shared" si="45"/>
        <v>-233393.35668712002</v>
      </c>
      <c r="E62" s="98">
        <f t="shared" si="45"/>
        <v>-575992.16956895974</v>
      </c>
      <c r="F62" s="98">
        <f t="shared" si="45"/>
        <v>233678.02064350003</v>
      </c>
      <c r="G62" s="98">
        <f t="shared" si="45"/>
        <v>-342314.14892545948</v>
      </c>
      <c r="H62" s="98">
        <f t="shared" si="45"/>
        <v>-474585.86458047002</v>
      </c>
      <c r="I62" s="98">
        <f t="shared" si="45"/>
        <v>-816900.01350593043</v>
      </c>
      <c r="J62" s="98">
        <f t="shared" ref="J62:O62" si="46">J51+J61</f>
        <v>-121798.5980269001</v>
      </c>
      <c r="K62" s="98">
        <f t="shared" si="46"/>
        <v>-938698.61153283005</v>
      </c>
      <c r="L62" s="98">
        <f t="shared" si="46"/>
        <v>-50513.970344859903</v>
      </c>
      <c r="M62" s="98">
        <f t="shared" si="46"/>
        <v>-989212.58187769039</v>
      </c>
      <c r="N62" s="98">
        <f t="shared" si="46"/>
        <v>286040.29267340002</v>
      </c>
      <c r="O62" s="98">
        <f t="shared" si="46"/>
        <v>-703172.28920428967</v>
      </c>
      <c r="P62" s="98">
        <f t="shared" ref="P62:U62" si="47">P51+P61</f>
        <v>-508105.79645278997</v>
      </c>
      <c r="Q62" s="99">
        <f t="shared" si="47"/>
        <v>-1211278.0856570797</v>
      </c>
      <c r="R62" s="98">
        <f t="shared" si="47"/>
        <v>-394122.41317659023</v>
      </c>
      <c r="S62" s="99">
        <f t="shared" si="47"/>
        <v>-1605400.4988336698</v>
      </c>
      <c r="T62" s="98">
        <f t="shared" si="47"/>
        <v>-106763.7608199302</v>
      </c>
      <c r="U62" s="99">
        <f t="shared" si="47"/>
        <v>-1712164.2596535995</v>
      </c>
      <c r="V62" s="98">
        <f>V51+V61</f>
        <v>-312265.52207428002</v>
      </c>
      <c r="W62" s="99">
        <f>W51+W61</f>
        <v>-2024429.7817278807</v>
      </c>
      <c r="X62" s="98">
        <f>X51+X61</f>
        <v>193310.56792636984</v>
      </c>
      <c r="Y62" s="99">
        <f>Y51+Y61</f>
        <v>-1831119.2138015097</v>
      </c>
    </row>
    <row r="63" spans="1:28" ht="16" customHeight="1" thickBot="1">
      <c r="A63" s="13"/>
      <c r="B63" s="58"/>
      <c r="C63" s="58"/>
    </row>
    <row r="64" spans="1:28" ht="16" customHeight="1">
      <c r="A64" s="210" t="s">
        <v>33</v>
      </c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1"/>
      <c r="P64" s="211"/>
      <c r="Q64" s="211"/>
      <c r="R64" s="211"/>
      <c r="S64" s="211"/>
      <c r="T64" s="211"/>
      <c r="U64" s="211"/>
      <c r="V64" s="211"/>
      <c r="W64" s="211"/>
      <c r="X64" s="211"/>
      <c r="Y64" s="212"/>
    </row>
    <row r="65" spans="1:27" ht="16" customHeight="1" thickBot="1">
      <c r="A65" s="207" t="s">
        <v>96</v>
      </c>
      <c r="B65" s="208"/>
      <c r="C65" s="208"/>
      <c r="D65" s="208"/>
      <c r="E65" s="208"/>
      <c r="F65" s="208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9"/>
    </row>
    <row r="66" spans="1:27" ht="44.25" customHeight="1">
      <c r="A66" s="78"/>
      <c r="B66" s="179" t="s">
        <v>31</v>
      </c>
      <c r="C66" s="175" t="s">
        <v>69</v>
      </c>
      <c r="D66" s="175" t="s">
        <v>69</v>
      </c>
      <c r="E66" s="175" t="s">
        <v>69</v>
      </c>
      <c r="F66" s="175" t="s">
        <v>69</v>
      </c>
      <c r="G66" s="175" t="s">
        <v>69</v>
      </c>
      <c r="H66" s="175" t="s">
        <v>69</v>
      </c>
      <c r="I66" s="175" t="s">
        <v>69</v>
      </c>
      <c r="J66" s="175" t="s">
        <v>69</v>
      </c>
      <c r="K66" s="175" t="s">
        <v>69</v>
      </c>
      <c r="L66" s="175" t="s">
        <v>69</v>
      </c>
      <c r="M66" s="175" t="s">
        <v>69</v>
      </c>
      <c r="N66" s="175" t="s">
        <v>69</v>
      </c>
      <c r="O66" s="175" t="s">
        <v>69</v>
      </c>
      <c r="P66" s="175" t="s">
        <v>69</v>
      </c>
      <c r="Q66" s="180" t="s">
        <v>69</v>
      </c>
      <c r="R66" s="175" t="s">
        <v>69</v>
      </c>
      <c r="S66" s="180" t="s">
        <v>69</v>
      </c>
      <c r="T66" s="175" t="s">
        <v>69</v>
      </c>
      <c r="U66" s="180" t="s">
        <v>69</v>
      </c>
      <c r="V66" s="175" t="s">
        <v>69</v>
      </c>
      <c r="W66" s="180" t="s">
        <v>69</v>
      </c>
      <c r="X66" s="175" t="s">
        <v>69</v>
      </c>
      <c r="Y66" s="180" t="s">
        <v>69</v>
      </c>
    </row>
    <row r="67" spans="1:27" ht="29.25" customHeight="1">
      <c r="A67" s="78"/>
      <c r="B67" s="37" t="s">
        <v>70</v>
      </c>
      <c r="C67" s="38">
        <v>44197</v>
      </c>
      <c r="D67" s="38">
        <v>44228</v>
      </c>
      <c r="E67" s="38" t="s">
        <v>71</v>
      </c>
      <c r="F67" s="38">
        <v>44256</v>
      </c>
      <c r="G67" s="38" t="s">
        <v>73</v>
      </c>
      <c r="H67" s="38">
        <v>44287</v>
      </c>
      <c r="I67" s="38" t="s">
        <v>74</v>
      </c>
      <c r="J67" s="38">
        <v>44317</v>
      </c>
      <c r="K67" s="38" t="s">
        <v>77</v>
      </c>
      <c r="L67" s="38">
        <v>44348</v>
      </c>
      <c r="M67" s="38" t="s">
        <v>81</v>
      </c>
      <c r="N67" s="38">
        <v>44378</v>
      </c>
      <c r="O67" s="38" t="s">
        <v>84</v>
      </c>
      <c r="P67" s="38">
        <v>44409</v>
      </c>
      <c r="Q67" s="79" t="s">
        <v>86</v>
      </c>
      <c r="R67" s="38">
        <v>44440</v>
      </c>
      <c r="S67" s="79" t="s">
        <v>87</v>
      </c>
      <c r="T67" s="38">
        <v>44470</v>
      </c>
      <c r="U67" s="79" t="s">
        <v>91</v>
      </c>
      <c r="V67" s="38">
        <v>44501</v>
      </c>
      <c r="W67" s="79" t="s">
        <v>93</v>
      </c>
      <c r="X67" s="38">
        <v>44531</v>
      </c>
      <c r="Y67" s="79" t="s">
        <v>94</v>
      </c>
    </row>
    <row r="68" spans="1:27" ht="16" customHeight="1">
      <c r="A68" s="77"/>
      <c r="B68" s="39" t="s">
        <v>0</v>
      </c>
      <c r="C68" s="39" t="s">
        <v>0</v>
      </c>
      <c r="D68" s="39" t="s">
        <v>0</v>
      </c>
      <c r="E68" s="39" t="s">
        <v>0</v>
      </c>
      <c r="F68" s="39" t="s">
        <v>0</v>
      </c>
      <c r="G68" s="39" t="s">
        <v>0</v>
      </c>
      <c r="H68" s="39" t="s">
        <v>0</v>
      </c>
      <c r="I68" s="39" t="s">
        <v>0</v>
      </c>
      <c r="J68" s="39" t="s">
        <v>0</v>
      </c>
      <c r="K68" s="39" t="s">
        <v>0</v>
      </c>
      <c r="L68" s="39" t="s">
        <v>0</v>
      </c>
      <c r="M68" s="39" t="s">
        <v>0</v>
      </c>
      <c r="N68" s="39" t="s">
        <v>0</v>
      </c>
      <c r="O68" s="39" t="s">
        <v>0</v>
      </c>
      <c r="P68" s="39" t="s">
        <v>0</v>
      </c>
      <c r="Q68" s="81" t="s">
        <v>0</v>
      </c>
      <c r="R68" s="39" t="s">
        <v>0</v>
      </c>
      <c r="S68" s="81" t="s">
        <v>0</v>
      </c>
      <c r="T68" s="39" t="s">
        <v>0</v>
      </c>
      <c r="U68" s="81" t="s">
        <v>0</v>
      </c>
      <c r="V68" s="39" t="s">
        <v>0</v>
      </c>
      <c r="W68" s="81" t="s">
        <v>0</v>
      </c>
      <c r="X68" s="39" t="s">
        <v>0</v>
      </c>
      <c r="Y68" s="81" t="s">
        <v>0</v>
      </c>
    </row>
    <row r="69" spans="1:27" ht="16" customHeight="1">
      <c r="A69" s="80" t="s">
        <v>24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84"/>
      <c r="R69" s="41"/>
      <c r="S69" s="84"/>
      <c r="T69" s="41"/>
      <c r="U69" s="84"/>
      <c r="V69" s="41"/>
      <c r="W69" s="84"/>
      <c r="X69" s="41"/>
      <c r="Y69" s="84"/>
    </row>
    <row r="70" spans="1:27" s="64" customFormat="1" ht="15.5">
      <c r="A70" s="111" t="s">
        <v>25</v>
      </c>
      <c r="B70" s="42">
        <v>0</v>
      </c>
      <c r="C70" s="42">
        <f>[23]Sheet1!$B$35+[23]Sheet1!$B$34</f>
        <v>165412.13184391992</v>
      </c>
      <c r="D70" s="42">
        <f>[23]Sheet1!$C$34+[23]Sheet1!$C$35</f>
        <v>169314.43044459997</v>
      </c>
      <c r="E70" s="42">
        <f>C70+D70</f>
        <v>334726.56228851993</v>
      </c>
      <c r="F70" s="42">
        <f>[23]Sheet1!$D$34+[23]Sheet1!$D$35</f>
        <v>247632.55690162999</v>
      </c>
      <c r="G70" s="42">
        <f>E70+F70</f>
        <v>582359.11919014994</v>
      </c>
      <c r="H70" s="42">
        <f>[23]Sheet1!$F$34+[23]Sheet1!$F$35</f>
        <v>80933.034649980007</v>
      </c>
      <c r="I70" s="42">
        <f>G70+H70</f>
        <v>663292.15384012996</v>
      </c>
      <c r="J70" s="42">
        <f>[23]Sheet1!$G$34+[23]Sheet1!$G$35</f>
        <v>175480.09700025999</v>
      </c>
      <c r="K70" s="42">
        <f>I70+J70</f>
        <v>838772.25084038998</v>
      </c>
      <c r="L70" s="42">
        <f>[23]Sheet1!$H$34+[23]Sheet1!$H$35</f>
        <v>63701.863455619998</v>
      </c>
      <c r="M70" s="42">
        <f>K70+L70</f>
        <v>902474.11429601</v>
      </c>
      <c r="N70" s="42">
        <f>[26]Sheet1!$C$35+[26]Sheet1!$C$36</f>
        <v>156567.99057028</v>
      </c>
      <c r="O70" s="42">
        <f>M70+N70</f>
        <v>1059042.10486629</v>
      </c>
      <c r="P70" s="42">
        <f>[26]Sheet1!$D$35+[26]Sheet1!$D$36</f>
        <v>340254.29644592002</v>
      </c>
      <c r="Q70" s="94">
        <f>O70+P70</f>
        <v>1399296.4013122101</v>
      </c>
      <c r="R70" s="42">
        <f>[26]Sheet1!$E$35+[26]Sheet1!$E$36</f>
        <v>85626.691209799988</v>
      </c>
      <c r="S70" s="94">
        <f>Q70+R70</f>
        <v>1484923.0925220102</v>
      </c>
      <c r="T70" s="42">
        <f>[26]Sheet1!$G$35+[26]Sheet1!$G$36</f>
        <v>178751.70565441001</v>
      </c>
      <c r="U70" s="94">
        <f>S70+T70</f>
        <v>1663674.7981764202</v>
      </c>
      <c r="V70" s="42">
        <f>[26]Sheet1!$H$35</f>
        <v>-17197.61004168</v>
      </c>
      <c r="W70" s="94">
        <f>U70+V70</f>
        <v>1646477.1881347401</v>
      </c>
      <c r="X70" s="42">
        <f>[26]Sheet1!$I$36+[26]Sheet1!$I$35</f>
        <v>-4576.757062500008</v>
      </c>
      <c r="Y70" s="94">
        <f>W70+X70</f>
        <v>1641900.43107224</v>
      </c>
    </row>
    <row r="71" spans="1:27" ht="15.5">
      <c r="A71" s="80" t="s">
        <v>29</v>
      </c>
      <c r="B71" s="42">
        <v>54626</v>
      </c>
      <c r="C71" s="42">
        <f>[1]Sheet1!$B$32</f>
        <v>208268.58130158001</v>
      </c>
      <c r="D71" s="42">
        <f>[1]Sheet1!$C$32</f>
        <v>-72171.029592130013</v>
      </c>
      <c r="E71" s="42">
        <f>C71+D71</f>
        <v>136097.55170945</v>
      </c>
      <c r="F71" s="42">
        <f>[1]Sheet1!$D$32</f>
        <v>243360.75312189999</v>
      </c>
      <c r="G71" s="42">
        <f>E71+F71</f>
        <v>379458.30483134999</v>
      </c>
      <c r="H71" s="42">
        <f>[1]Sheet1!$F$32</f>
        <v>-420878.65315165004</v>
      </c>
      <c r="I71" s="42">
        <f>G71+H71</f>
        <v>-41420.348320300051</v>
      </c>
      <c r="J71" s="42">
        <f>[1]Sheet1!$G$32</f>
        <v>18115.960806100033</v>
      </c>
      <c r="K71" s="42">
        <f>I71+J71</f>
        <v>-23304.387514200018</v>
      </c>
      <c r="L71" s="42">
        <f>[1]Sheet1!$H$32</f>
        <v>11225.649699079971</v>
      </c>
      <c r="M71" s="42">
        <f>K71+L71</f>
        <v>-12078.737815120046</v>
      </c>
      <c r="N71" s="42">
        <f>[8]Sheet1!$C$32</f>
        <v>-362010.40942193009</v>
      </c>
      <c r="O71" s="42">
        <f>M71+N71</f>
        <v>-374089.14723705011</v>
      </c>
      <c r="P71" s="42">
        <f>[8]Sheet1!$D$32</f>
        <v>252413.98577773001</v>
      </c>
      <c r="Q71" s="94">
        <f>O71+P71</f>
        <v>-121675.16145932011</v>
      </c>
      <c r="R71" s="42">
        <f>[8]Sheet1!$E$32</f>
        <v>99034.965142369998</v>
      </c>
      <c r="S71" s="94">
        <f>Q71+R71</f>
        <v>-22640.19631695011</v>
      </c>
      <c r="T71" s="42">
        <f>[19]Sheet1!$G$32</f>
        <v>-116209.49441488001</v>
      </c>
      <c r="U71" s="94">
        <f>S71+T71</f>
        <v>-138849.69073183014</v>
      </c>
      <c r="V71" s="42">
        <f>[26]Sheet1!$H$33</f>
        <v>129413.76548283003</v>
      </c>
      <c r="W71" s="94">
        <f>U71+V71</f>
        <v>-9435.925249000109</v>
      </c>
      <c r="X71" s="42">
        <f>[26]Sheet1!$I$33</f>
        <v>6391.1832102400531</v>
      </c>
      <c r="Y71" s="94">
        <f>W71+X71</f>
        <v>-3044.7420387600559</v>
      </c>
    </row>
    <row r="72" spans="1:27" s="64" customFormat="1" ht="15.5">
      <c r="A72" s="88" t="s">
        <v>26</v>
      </c>
      <c r="B72" s="42">
        <f>-1850121</f>
        <v>-1850121</v>
      </c>
      <c r="C72" s="42">
        <f>[1]Sheet1!$B$33</f>
        <v>-36675.339840300003</v>
      </c>
      <c r="D72" s="42">
        <f>[1]Sheet1!$C$33</f>
        <v>-16287.077032319999</v>
      </c>
      <c r="E72" s="42">
        <f>C72+D72</f>
        <v>-52962.416872620001</v>
      </c>
      <c r="F72" s="42">
        <f>[1]Sheet1!$D$33</f>
        <v>-74145.983400419995</v>
      </c>
      <c r="G72" s="42">
        <f>E72+F72</f>
        <v>-127108.40027304</v>
      </c>
      <c r="H72" s="42">
        <f>[1]Sheet1!$F$33</f>
        <v>-10012.845038860001</v>
      </c>
      <c r="I72" s="42">
        <f>G72+H72</f>
        <v>-137121.24531189998</v>
      </c>
      <c r="J72" s="42">
        <f>[1]Sheet1!$G$33</f>
        <v>-18228.00224708</v>
      </c>
      <c r="K72" s="42">
        <f>I72+J72</f>
        <v>-155349.24755897999</v>
      </c>
      <c r="L72" s="42">
        <f>[7]Sheet1!$H$34</f>
        <v>-36824.602965099999</v>
      </c>
      <c r="M72" s="42">
        <f>K72+L72</f>
        <v>-192173.85052407999</v>
      </c>
      <c r="N72" s="42">
        <f>[8]Sheet1!$C$33</f>
        <v>-52207.650893390004</v>
      </c>
      <c r="O72" s="42">
        <f>M72+N72</f>
        <v>-244381.50141746999</v>
      </c>
      <c r="P72" s="42">
        <f>[13]Sheet1!$D$33</f>
        <v>-56186.248253110003</v>
      </c>
      <c r="Q72" s="94">
        <f>O72+P72</f>
        <v>-300567.74967057997</v>
      </c>
      <c r="R72" s="42">
        <f>[20]Sheet1!$E$33</f>
        <v>-47403.846362470002</v>
      </c>
      <c r="S72" s="94">
        <f>Q72+R72</f>
        <v>-347971.59603304998</v>
      </c>
      <c r="T72" s="42">
        <f>[19]Sheet1!$G$33</f>
        <v>-46063.060282090002</v>
      </c>
      <c r="U72" s="94">
        <f>S72+T72</f>
        <v>-394034.65631513996</v>
      </c>
      <c r="V72" s="42">
        <f>[26]Sheet1!$H$34</f>
        <v>-35168.817689650001</v>
      </c>
      <c r="W72" s="94">
        <f>U72+V72</f>
        <v>-429203.47400478995</v>
      </c>
      <c r="X72" s="42">
        <f>[26]Sheet1!$I$34</f>
        <v>-169558.60866390998</v>
      </c>
      <c r="Y72" s="94">
        <f>W72+X72</f>
        <v>-598762.08266869991</v>
      </c>
      <c r="AA72" s="189"/>
    </row>
    <row r="73" spans="1:27" ht="15.5">
      <c r="A73" s="89" t="s">
        <v>27</v>
      </c>
      <c r="B73" s="45">
        <f t="shared" ref="B73:M73" si="48">SUM(B70:B72)</f>
        <v>-1795495</v>
      </c>
      <c r="C73" s="45">
        <f t="shared" si="48"/>
        <v>337005.3733051999</v>
      </c>
      <c r="D73" s="45">
        <f t="shared" si="48"/>
        <v>80856.323820149963</v>
      </c>
      <c r="E73" s="45">
        <f t="shared" si="48"/>
        <v>417861.69712534989</v>
      </c>
      <c r="F73" s="45">
        <f t="shared" si="48"/>
        <v>416847.32662310998</v>
      </c>
      <c r="G73" s="45">
        <f t="shared" si="48"/>
        <v>834709.02374845999</v>
      </c>
      <c r="H73" s="45">
        <f t="shared" si="48"/>
        <v>-349958.46354053001</v>
      </c>
      <c r="I73" s="45">
        <f t="shared" si="48"/>
        <v>484750.56020792999</v>
      </c>
      <c r="J73" s="45">
        <f t="shared" si="48"/>
        <v>175368.05555928001</v>
      </c>
      <c r="K73" s="45">
        <f t="shared" si="48"/>
        <v>660118.61576720991</v>
      </c>
      <c r="L73" s="45">
        <f t="shared" si="48"/>
        <v>38102.910189599963</v>
      </c>
      <c r="M73" s="45">
        <f t="shared" si="48"/>
        <v>698221.52595680999</v>
      </c>
      <c r="N73" s="45">
        <f t="shared" ref="N73:S73" si="49">SUM(N70:N72)</f>
        <v>-257650.06974504009</v>
      </c>
      <c r="O73" s="45">
        <f t="shared" si="49"/>
        <v>440571.4562117699</v>
      </c>
      <c r="P73" s="45">
        <f t="shared" si="49"/>
        <v>536482.03397054004</v>
      </c>
      <c r="Q73" s="96">
        <f t="shared" si="49"/>
        <v>977053.49018230988</v>
      </c>
      <c r="R73" s="45">
        <f t="shared" si="49"/>
        <v>137257.80998969998</v>
      </c>
      <c r="S73" s="96">
        <f t="shared" si="49"/>
        <v>1114311.3001720102</v>
      </c>
      <c r="T73" s="45">
        <f t="shared" ref="T73:Y73" si="50">SUM(T70:T72)</f>
        <v>16479.15095743999</v>
      </c>
      <c r="U73" s="96">
        <f t="shared" si="50"/>
        <v>1130790.45112945</v>
      </c>
      <c r="V73" s="45">
        <f t="shared" si="50"/>
        <v>77047.337751500017</v>
      </c>
      <c r="W73" s="96">
        <f t="shared" si="50"/>
        <v>1207837.7888809501</v>
      </c>
      <c r="X73" s="45">
        <f t="shared" si="50"/>
        <v>-167744.18251616994</v>
      </c>
      <c r="Y73" s="96">
        <f t="shared" si="50"/>
        <v>1040093.60636478</v>
      </c>
    </row>
    <row r="74" spans="1:27" ht="16" customHeight="1">
      <c r="A74" s="112"/>
      <c r="B74" s="59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113"/>
      <c r="R74" s="60"/>
      <c r="S74" s="113"/>
      <c r="T74" s="60"/>
      <c r="U74" s="113"/>
      <c r="V74" s="60"/>
      <c r="W74" s="113"/>
      <c r="X74" s="60"/>
      <c r="Y74" s="113"/>
    </row>
    <row r="75" spans="1:27" ht="31">
      <c r="A75" s="114" t="s">
        <v>38</v>
      </c>
      <c r="B75" s="45">
        <f t="shared" ref="B75:M75" si="51">B62+B73</f>
        <v>336781</v>
      </c>
      <c r="C75" s="45">
        <f t="shared" si="51"/>
        <v>-5593.4395766401431</v>
      </c>
      <c r="D75" s="45">
        <f t="shared" si="51"/>
        <v>-152537.03286697005</v>
      </c>
      <c r="E75" s="45">
        <f>E62+E73</f>
        <v>-158130.47244360985</v>
      </c>
      <c r="F75" s="45">
        <f t="shared" si="51"/>
        <v>650525.34726661001</v>
      </c>
      <c r="G75" s="45">
        <f t="shared" si="51"/>
        <v>492394.87482300051</v>
      </c>
      <c r="H75" s="45">
        <f t="shared" si="51"/>
        <v>-824544.32812099997</v>
      </c>
      <c r="I75" s="45">
        <f t="shared" si="51"/>
        <v>-332149.45329800044</v>
      </c>
      <c r="J75" s="45">
        <f t="shared" si="51"/>
        <v>53569.457532379907</v>
      </c>
      <c r="K75" s="45">
        <f t="shared" si="51"/>
        <v>-278579.99576562014</v>
      </c>
      <c r="L75" s="45">
        <f t="shared" si="51"/>
        <v>-12411.06015525994</v>
      </c>
      <c r="M75" s="45">
        <f t="shared" si="51"/>
        <v>-290991.0559208804</v>
      </c>
      <c r="N75" s="45">
        <f t="shared" ref="N75:S75" si="52">N62+N73</f>
        <v>28390.22292835993</v>
      </c>
      <c r="O75" s="45">
        <f t="shared" si="52"/>
        <v>-262600.83299251978</v>
      </c>
      <c r="P75" s="45">
        <f t="shared" si="52"/>
        <v>28376.237517750065</v>
      </c>
      <c r="Q75" s="96">
        <f t="shared" si="52"/>
        <v>-234224.59547476983</v>
      </c>
      <c r="R75" s="45">
        <f t="shared" si="52"/>
        <v>-256864.60318689025</v>
      </c>
      <c r="S75" s="96">
        <f t="shared" si="52"/>
        <v>-491089.19866165961</v>
      </c>
      <c r="T75" s="45">
        <f t="shared" ref="T75:Y75" si="53">T62+T73</f>
        <v>-90284.609862490208</v>
      </c>
      <c r="U75" s="96">
        <f t="shared" si="53"/>
        <v>-581373.80852414947</v>
      </c>
      <c r="V75" s="45">
        <f t="shared" si="53"/>
        <v>-235218.18432278</v>
      </c>
      <c r="W75" s="45">
        <f t="shared" si="53"/>
        <v>-816591.99284693063</v>
      </c>
      <c r="X75" s="45">
        <f t="shared" si="53"/>
        <v>25566.385410199902</v>
      </c>
      <c r="Y75" s="96">
        <f t="shared" si="53"/>
        <v>-791025.60743672971</v>
      </c>
    </row>
    <row r="76" spans="1:27" ht="14">
      <c r="A76" s="115"/>
      <c r="B76" s="61"/>
      <c r="C76" s="6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74"/>
      <c r="S76" s="153"/>
      <c r="U76" s="153"/>
      <c r="W76" s="153"/>
      <c r="Y76" s="153"/>
    </row>
    <row r="77" spans="1:27" ht="14">
      <c r="A77" s="115"/>
      <c r="B77" s="61"/>
      <c r="C77" s="62"/>
      <c r="D77" s="3"/>
      <c r="E77" s="3"/>
      <c r="F77" s="116"/>
      <c r="G77" s="3"/>
      <c r="H77" s="3"/>
      <c r="I77" s="3"/>
      <c r="J77" s="3"/>
      <c r="K77" s="3"/>
      <c r="L77" s="3"/>
      <c r="M77" s="116"/>
      <c r="N77" s="3"/>
      <c r="O77" s="3"/>
      <c r="P77" s="3"/>
      <c r="Q77" s="117"/>
      <c r="S77" s="74"/>
      <c r="U77" s="74"/>
      <c r="W77" s="74"/>
      <c r="X77" s="155"/>
      <c r="Y77" s="74"/>
    </row>
    <row r="78" spans="1:27" ht="0.75" customHeight="1">
      <c r="A78" s="115"/>
      <c r="B78" s="61"/>
      <c r="C78" s="61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117"/>
      <c r="S78" s="74"/>
      <c r="U78" s="74"/>
      <c r="W78" s="74"/>
      <c r="Y78" s="74"/>
    </row>
    <row r="79" spans="1:27" ht="14">
      <c r="A79" s="115"/>
      <c r="B79" s="61"/>
      <c r="C79" s="61"/>
      <c r="D79" s="3"/>
      <c r="E79" s="3"/>
      <c r="F79" s="3"/>
      <c r="G79" s="3"/>
      <c r="H79" s="116"/>
      <c r="I79" s="3"/>
      <c r="J79" s="3"/>
      <c r="K79" s="3"/>
      <c r="L79" s="116"/>
      <c r="M79" s="3"/>
      <c r="N79" s="118"/>
      <c r="O79" s="3"/>
      <c r="P79" s="3"/>
      <c r="Q79" s="117"/>
      <c r="S79" s="74"/>
      <c r="U79" s="74"/>
      <c r="W79" s="74"/>
      <c r="Y79" s="74"/>
    </row>
    <row r="80" spans="1:27" ht="14">
      <c r="A80" s="115" t="s">
        <v>32</v>
      </c>
      <c r="B80" s="61"/>
      <c r="C80" s="119"/>
      <c r="D80" s="3"/>
      <c r="E80" s="3"/>
      <c r="F80" s="116"/>
      <c r="G80" s="3"/>
      <c r="H80" s="116"/>
      <c r="I80" s="3"/>
      <c r="J80" s="3"/>
      <c r="K80" s="3"/>
      <c r="L80" s="3"/>
      <c r="M80" s="3"/>
      <c r="N80" s="3"/>
      <c r="O80" s="3"/>
      <c r="P80" s="3"/>
      <c r="Q80" s="117"/>
      <c r="S80" s="74"/>
      <c r="U80" s="74"/>
      <c r="W80" s="74"/>
      <c r="Y80" s="74"/>
    </row>
    <row r="81" spans="1:36" ht="14">
      <c r="A81" s="115"/>
      <c r="B81" s="61"/>
      <c r="C81" s="6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117"/>
      <c r="S81" s="74"/>
      <c r="U81" s="74"/>
      <c r="W81" s="74"/>
      <c r="Y81" s="74"/>
    </row>
    <row r="82" spans="1:36" ht="14">
      <c r="A82" s="115"/>
      <c r="B82" s="61"/>
      <c r="C82" s="61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74"/>
      <c r="S82" s="74"/>
      <c r="U82" s="74"/>
      <c r="W82" s="74"/>
      <c r="Y82" s="74"/>
    </row>
    <row r="83" spans="1:36" ht="14">
      <c r="A83" s="115"/>
      <c r="B83" s="61"/>
      <c r="C83" s="61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74"/>
      <c r="S83" s="74"/>
      <c r="U83" s="74"/>
      <c r="W83" s="74"/>
      <c r="Y83" s="74"/>
    </row>
    <row r="84" spans="1:36" ht="14">
      <c r="A84" s="115"/>
      <c r="B84" s="61"/>
      <c r="C84" s="61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74"/>
      <c r="S84" s="74"/>
      <c r="U84" s="74"/>
      <c r="W84" s="74"/>
      <c r="Y84" s="74"/>
    </row>
    <row r="85" spans="1:36" ht="14">
      <c r="A85" s="115"/>
      <c r="B85" s="61"/>
      <c r="C85" s="119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74"/>
      <c r="S85" s="74"/>
      <c r="U85" s="74"/>
      <c r="W85" s="74"/>
      <c r="Y85" s="74"/>
    </row>
    <row r="86" spans="1:36" ht="14">
      <c r="A86" s="115"/>
      <c r="B86" s="61"/>
      <c r="C86" s="6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74"/>
      <c r="S86" s="74"/>
      <c r="U86" s="74"/>
      <c r="W86" s="74"/>
      <c r="Y86" s="74"/>
    </row>
    <row r="87" spans="1:36" ht="14">
      <c r="A87" s="120" t="s">
        <v>67</v>
      </c>
      <c r="B87" s="61" t="s">
        <v>40</v>
      </c>
      <c r="C87" s="61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74"/>
      <c r="S87" s="74"/>
      <c r="U87" s="74"/>
      <c r="W87" s="74"/>
      <c r="Y87" s="74"/>
    </row>
    <row r="88" spans="1:36" ht="14">
      <c r="A88" s="120" t="s">
        <v>66</v>
      </c>
      <c r="B88" s="61"/>
      <c r="C88" s="61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74"/>
      <c r="S88" s="74"/>
      <c r="U88" s="74"/>
      <c r="W88" s="74"/>
      <c r="Y88" s="74"/>
    </row>
    <row r="89" spans="1:36" ht="12" thickBot="1">
      <c r="A89" s="121"/>
      <c r="B89" s="122"/>
      <c r="C89" s="122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4"/>
      <c r="T89" s="123"/>
      <c r="U89" s="124"/>
      <c r="V89" s="123"/>
      <c r="W89" s="124"/>
      <c r="X89" s="123"/>
      <c r="Y89" s="124"/>
    </row>
    <row r="93" spans="1:36">
      <c r="B93" s="63"/>
      <c r="C93" s="63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>
      <c r="B94" s="63"/>
      <c r="C94" s="63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</sheetData>
  <sheetCalcPr fullCalcOnLoad="1"/>
  <sheetProtection password="C58B" sheet="1" formatCells="0" formatColumns="0" formatRows="0" insertColumns="0" insertRows="0" insertHyperlinks="0" deleteColumns="0" deleteRows="0" sort="0" autoFilter="0" pivotTables="0"/>
  <mergeCells count="7">
    <mergeCell ref="A3:Y3"/>
    <mergeCell ref="A6:Y6"/>
    <mergeCell ref="A5:Y5"/>
    <mergeCell ref="A64:Y64"/>
    <mergeCell ref="A65:Y65"/>
    <mergeCell ref="A35:Y35"/>
    <mergeCell ref="A34:Y34"/>
  </mergeCells>
  <pageMargins left="0.43307086614173229" right="0.39370078740157483" top="0.62992125984251968" bottom="2.5590551181102366" header="0.62992125984251968" footer="0.15748031496062992"/>
  <pageSetup scale="95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40"/>
  <sheetViews>
    <sheetView tabSelected="1" topLeftCell="A5" zoomScaleNormal="100" workbookViewId="0">
      <selection activeCell="AW11" sqref="AW11"/>
    </sheetView>
  </sheetViews>
  <sheetFormatPr baseColWidth="10" defaultColWidth="28.1796875" defaultRowHeight="10.5"/>
  <cols>
    <col min="1" max="1" width="29" style="5" customWidth="1"/>
    <col min="2" max="2" width="18.1796875" style="5" hidden="1" customWidth="1"/>
    <col min="3" max="3" width="18.54296875" style="8" hidden="1" customWidth="1"/>
    <col min="4" max="4" width="15.1796875" style="5" hidden="1" customWidth="1"/>
    <col min="5" max="5" width="15.1796875" style="6" hidden="1" customWidth="1"/>
    <col min="6" max="6" width="18.1796875" style="5" hidden="1" customWidth="1"/>
    <col min="7" max="7" width="14.1796875" style="5" hidden="1" customWidth="1"/>
    <col min="8" max="8" width="13.36328125" style="5" hidden="1" customWidth="1"/>
    <col min="9" max="9" width="16.1796875" style="5" hidden="1" customWidth="1"/>
    <col min="10" max="10" width="17.1796875" style="5" hidden="1" customWidth="1"/>
    <col min="11" max="11" width="15.1796875" style="5" hidden="1" customWidth="1"/>
    <col min="12" max="12" width="16.1796875" style="5" hidden="1" customWidth="1"/>
    <col min="13" max="13" width="11.26953125" style="5" hidden="1" customWidth="1"/>
    <col min="14" max="14" width="14.36328125" style="5" hidden="1" customWidth="1"/>
    <col min="15" max="15" width="13.7265625" style="5" hidden="1" customWidth="1"/>
    <col min="16" max="16" width="14.1796875" style="5" hidden="1" customWidth="1"/>
    <col min="17" max="17" width="15.36328125" style="5" hidden="1" customWidth="1"/>
    <col min="18" max="18" width="12.7265625" style="5" hidden="1" customWidth="1"/>
    <col min="19" max="19" width="15" style="5" hidden="1" customWidth="1"/>
    <col min="20" max="20" width="12.81640625" style="5" hidden="1" customWidth="1"/>
    <col min="21" max="21" width="13.1796875" style="5" hidden="1" customWidth="1"/>
    <col min="22" max="22" width="14.7265625" style="5" hidden="1" customWidth="1"/>
    <col min="23" max="23" width="15.36328125" style="5" hidden="1" customWidth="1"/>
    <col min="24" max="24" width="14" style="5" hidden="1" customWidth="1"/>
    <col min="25" max="25" width="12.36328125" style="5" hidden="1" customWidth="1"/>
    <col min="26" max="26" width="15.1796875" style="5" hidden="1" customWidth="1"/>
    <col min="27" max="27" width="12.81640625" style="5" hidden="1" customWidth="1"/>
    <col min="28" max="28" width="15.54296875" style="5" hidden="1" customWidth="1"/>
    <col min="29" max="33" width="15.81640625" style="5" hidden="1" customWidth="1"/>
    <col min="34" max="34" width="17.26953125" style="8" hidden="1" customWidth="1"/>
    <col min="35" max="35" width="15.36328125" style="8" hidden="1" customWidth="1"/>
    <col min="36" max="36" width="13.7265625" style="5" hidden="1" customWidth="1"/>
    <col min="37" max="37" width="13.26953125" style="5" hidden="1" customWidth="1"/>
    <col min="38" max="38" width="16.26953125" style="5" hidden="1" customWidth="1"/>
    <col min="39" max="39" width="14.36328125" style="5" hidden="1" customWidth="1"/>
    <col min="40" max="40" width="14.54296875" style="5" hidden="1" customWidth="1"/>
    <col min="41" max="41" width="13.1796875" style="5" hidden="1" customWidth="1"/>
    <col min="42" max="42" width="13.7265625" style="5" hidden="1" customWidth="1"/>
    <col min="43" max="43" width="14.26953125" style="5" hidden="1" customWidth="1"/>
    <col min="44" max="44" width="13" style="5" hidden="1" customWidth="1"/>
    <col min="45" max="45" width="13.1796875" style="5" customWidth="1"/>
    <col min="46" max="46" width="15.36328125" style="5" customWidth="1"/>
    <col min="47" max="47" width="14.81640625" style="5" customWidth="1"/>
    <col min="48" max="48" width="14.36328125" style="5" customWidth="1"/>
    <col min="49" max="49" width="13.1796875" style="5" customWidth="1"/>
    <col min="50" max="16384" width="28.1796875" style="5"/>
  </cols>
  <sheetData>
    <row r="1" spans="1:49">
      <c r="A1" s="159" t="s">
        <v>40</v>
      </c>
      <c r="B1" s="160"/>
      <c r="C1" s="161"/>
      <c r="D1" s="160"/>
      <c r="E1" s="162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1"/>
      <c r="AI1" s="161"/>
      <c r="AJ1" s="160"/>
      <c r="AK1" s="160"/>
      <c r="AL1" s="160"/>
      <c r="AM1" s="160"/>
      <c r="AN1" s="160"/>
      <c r="AO1" s="160"/>
      <c r="AP1" s="160"/>
      <c r="AQ1" s="160"/>
      <c r="AR1" s="160"/>
      <c r="AS1" s="163"/>
    </row>
    <row r="2" spans="1:49" ht="33.75" customHeight="1">
      <c r="A2" s="221" t="s">
        <v>98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2"/>
      <c r="AH2" s="222"/>
      <c r="AI2" s="222"/>
      <c r="AJ2" s="222"/>
      <c r="AK2" s="222"/>
      <c r="AL2" s="222"/>
      <c r="AM2" s="222"/>
      <c r="AN2" s="222"/>
      <c r="AO2" s="222"/>
      <c r="AP2" s="222"/>
      <c r="AQ2" s="222"/>
      <c r="AR2" s="222"/>
      <c r="AS2" s="222"/>
      <c r="AT2" s="222"/>
      <c r="AU2" s="222"/>
      <c r="AV2" s="222"/>
      <c r="AW2" s="222"/>
    </row>
    <row r="3" spans="1:49" ht="12">
      <c r="A3" s="125"/>
      <c r="B3" s="225">
        <v>2021</v>
      </c>
      <c r="C3" s="216"/>
      <c r="D3" s="216"/>
      <c r="E3" s="217"/>
      <c r="F3" s="225">
        <v>2021</v>
      </c>
      <c r="G3" s="216"/>
      <c r="H3" s="216"/>
      <c r="I3" s="217"/>
      <c r="J3" s="225">
        <v>2021</v>
      </c>
      <c r="K3" s="216"/>
      <c r="L3" s="216"/>
      <c r="M3" s="217"/>
      <c r="N3" s="225"/>
      <c r="O3" s="216"/>
      <c r="P3" s="216"/>
      <c r="Q3" s="217"/>
      <c r="R3" s="213">
        <v>2021</v>
      </c>
      <c r="S3" s="213"/>
      <c r="T3" s="213"/>
      <c r="U3" s="213"/>
      <c r="V3" s="213">
        <v>2021</v>
      </c>
      <c r="W3" s="213"/>
      <c r="X3" s="213"/>
      <c r="Y3" s="213"/>
      <c r="Z3" s="213">
        <v>2021</v>
      </c>
      <c r="AA3" s="213"/>
      <c r="AB3" s="213"/>
      <c r="AC3" s="213"/>
      <c r="AD3" s="213">
        <v>2021</v>
      </c>
      <c r="AE3" s="213"/>
      <c r="AF3" s="213"/>
      <c r="AG3" s="214"/>
      <c r="AH3" s="213">
        <v>2021</v>
      </c>
      <c r="AI3" s="213"/>
      <c r="AJ3" s="213"/>
      <c r="AK3" s="213"/>
      <c r="AL3" s="217">
        <v>2021</v>
      </c>
      <c r="AM3" s="213"/>
      <c r="AN3" s="213"/>
      <c r="AO3" s="214"/>
      <c r="AP3" s="215">
        <v>2021</v>
      </c>
      <c r="AQ3" s="216"/>
      <c r="AR3" s="216"/>
      <c r="AS3" s="216"/>
      <c r="AT3" s="216"/>
      <c r="AU3" s="216"/>
      <c r="AV3" s="216"/>
      <c r="AW3" s="217"/>
    </row>
    <row r="4" spans="1:49" ht="23.25" customHeight="1">
      <c r="A4" s="125"/>
      <c r="B4" s="223" t="s">
        <v>61</v>
      </c>
      <c r="C4" s="224"/>
      <c r="D4" s="224"/>
      <c r="E4" s="218"/>
      <c r="F4" s="223" t="s">
        <v>72</v>
      </c>
      <c r="G4" s="224"/>
      <c r="H4" s="224"/>
      <c r="I4" s="218"/>
      <c r="J4" s="223" t="s">
        <v>80</v>
      </c>
      <c r="K4" s="224"/>
      <c r="L4" s="224"/>
      <c r="M4" s="218"/>
      <c r="N4" s="223" t="s">
        <v>83</v>
      </c>
      <c r="O4" s="224"/>
      <c r="P4" s="224"/>
      <c r="Q4" s="218"/>
      <c r="R4" s="219" t="s">
        <v>79</v>
      </c>
      <c r="S4" s="219"/>
      <c r="T4" s="219"/>
      <c r="U4" s="219"/>
      <c r="V4" s="219" t="s">
        <v>82</v>
      </c>
      <c r="W4" s="219"/>
      <c r="X4" s="219"/>
      <c r="Y4" s="219"/>
      <c r="Z4" s="219"/>
      <c r="AA4" s="219"/>
      <c r="AB4" s="219"/>
      <c r="AC4" s="219"/>
      <c r="AD4" s="219" t="s">
        <v>89</v>
      </c>
      <c r="AE4" s="219"/>
      <c r="AF4" s="219"/>
      <c r="AG4" s="220"/>
      <c r="AH4" s="219" t="s">
        <v>88</v>
      </c>
      <c r="AI4" s="219"/>
      <c r="AJ4" s="219"/>
      <c r="AK4" s="219"/>
      <c r="AL4" s="218" t="s">
        <v>92</v>
      </c>
      <c r="AM4" s="219"/>
      <c r="AN4" s="219"/>
      <c r="AO4" s="220"/>
      <c r="AP4" s="218"/>
      <c r="AQ4" s="219"/>
      <c r="AR4" s="219"/>
      <c r="AS4" s="220"/>
      <c r="AT4" s="218" t="s">
        <v>97</v>
      </c>
      <c r="AU4" s="219"/>
      <c r="AV4" s="219"/>
      <c r="AW4" s="220"/>
    </row>
    <row r="5" spans="1:49" ht="63.75" customHeight="1">
      <c r="A5" s="125"/>
      <c r="B5" s="20" t="s">
        <v>44</v>
      </c>
      <c r="C5" s="21" t="s">
        <v>45</v>
      </c>
      <c r="D5" s="22" t="s">
        <v>46</v>
      </c>
      <c r="E5" s="65">
        <v>44197</v>
      </c>
      <c r="F5" s="20" t="s">
        <v>44</v>
      </c>
      <c r="G5" s="21" t="s">
        <v>45</v>
      </c>
      <c r="H5" s="22" t="s">
        <v>46</v>
      </c>
      <c r="I5" s="65" t="s">
        <v>71</v>
      </c>
      <c r="J5" s="20" t="s">
        <v>44</v>
      </c>
      <c r="K5" s="21" t="s">
        <v>45</v>
      </c>
      <c r="L5" s="22" t="s">
        <v>46</v>
      </c>
      <c r="M5" s="65" t="s">
        <v>73</v>
      </c>
      <c r="N5" s="20" t="s">
        <v>44</v>
      </c>
      <c r="O5" s="21" t="s">
        <v>45</v>
      </c>
      <c r="P5" s="22" t="s">
        <v>46</v>
      </c>
      <c r="Q5" s="65" t="s">
        <v>76</v>
      </c>
      <c r="R5" s="20" t="s">
        <v>44</v>
      </c>
      <c r="S5" s="21" t="s">
        <v>45</v>
      </c>
      <c r="T5" s="22" t="s">
        <v>46</v>
      </c>
      <c r="U5" s="65" t="s">
        <v>77</v>
      </c>
      <c r="V5" s="20" t="s">
        <v>44</v>
      </c>
      <c r="W5" s="21" t="s">
        <v>45</v>
      </c>
      <c r="X5" s="22" t="s">
        <v>46</v>
      </c>
      <c r="Y5" s="65" t="s">
        <v>81</v>
      </c>
      <c r="Z5" s="20" t="s">
        <v>44</v>
      </c>
      <c r="AA5" s="21" t="s">
        <v>45</v>
      </c>
      <c r="AB5" s="22" t="s">
        <v>46</v>
      </c>
      <c r="AC5" s="65" t="s">
        <v>86</v>
      </c>
      <c r="AD5" s="20" t="s">
        <v>44</v>
      </c>
      <c r="AE5" s="21" t="s">
        <v>45</v>
      </c>
      <c r="AF5" s="22" t="s">
        <v>46</v>
      </c>
      <c r="AG5" s="126" t="s">
        <v>90</v>
      </c>
      <c r="AH5" s="21" t="s">
        <v>44</v>
      </c>
      <c r="AI5" s="21" t="s">
        <v>45</v>
      </c>
      <c r="AJ5" s="22" t="s">
        <v>46</v>
      </c>
      <c r="AK5" s="65" t="s">
        <v>87</v>
      </c>
      <c r="AL5" s="172" t="s">
        <v>44</v>
      </c>
      <c r="AM5" s="21" t="s">
        <v>45</v>
      </c>
      <c r="AN5" s="22" t="s">
        <v>46</v>
      </c>
      <c r="AO5" s="126" t="s">
        <v>91</v>
      </c>
      <c r="AP5" s="172" t="s">
        <v>44</v>
      </c>
      <c r="AQ5" s="21" t="s">
        <v>45</v>
      </c>
      <c r="AR5" s="22" t="s">
        <v>46</v>
      </c>
      <c r="AS5" s="126" t="s">
        <v>93</v>
      </c>
      <c r="AT5" s="172" t="s">
        <v>44</v>
      </c>
      <c r="AU5" s="21" t="s">
        <v>45</v>
      </c>
      <c r="AV5" s="22" t="s">
        <v>46</v>
      </c>
      <c r="AW5" s="126" t="s">
        <v>94</v>
      </c>
    </row>
    <row r="6" spans="1:49" ht="12">
      <c r="A6" s="125"/>
      <c r="B6" s="23" t="s">
        <v>0</v>
      </c>
      <c r="C6" s="24" t="s">
        <v>0</v>
      </c>
      <c r="D6" s="23" t="s">
        <v>0</v>
      </c>
      <c r="E6" s="23" t="s">
        <v>0</v>
      </c>
      <c r="F6" s="23" t="s">
        <v>0</v>
      </c>
      <c r="G6" s="24" t="s">
        <v>0</v>
      </c>
      <c r="H6" s="23" t="s">
        <v>0</v>
      </c>
      <c r="I6" s="23" t="s">
        <v>0</v>
      </c>
      <c r="J6" s="23" t="s">
        <v>0</v>
      </c>
      <c r="K6" s="24" t="s">
        <v>0</v>
      </c>
      <c r="L6" s="23" t="s">
        <v>0</v>
      </c>
      <c r="M6" s="23" t="s">
        <v>0</v>
      </c>
      <c r="N6" s="23" t="s">
        <v>0</v>
      </c>
      <c r="O6" s="24" t="s">
        <v>0</v>
      </c>
      <c r="P6" s="23" t="s">
        <v>0</v>
      </c>
      <c r="Q6" s="23" t="s">
        <v>0</v>
      </c>
      <c r="R6" s="23" t="s">
        <v>0</v>
      </c>
      <c r="S6" s="24" t="s">
        <v>0</v>
      </c>
      <c r="T6" s="23" t="s">
        <v>0</v>
      </c>
      <c r="U6" s="23" t="s">
        <v>0</v>
      </c>
      <c r="V6" s="23" t="s">
        <v>0</v>
      </c>
      <c r="W6" s="24" t="s">
        <v>0</v>
      </c>
      <c r="X6" s="23" t="s">
        <v>0</v>
      </c>
      <c r="Y6" s="23" t="s">
        <v>0</v>
      </c>
      <c r="Z6" s="23" t="s">
        <v>0</v>
      </c>
      <c r="AA6" s="24" t="s">
        <v>0</v>
      </c>
      <c r="AB6" s="23" t="s">
        <v>0</v>
      </c>
      <c r="AC6" s="23" t="s">
        <v>0</v>
      </c>
      <c r="AD6" s="23" t="s">
        <v>0</v>
      </c>
      <c r="AE6" s="24" t="s">
        <v>0</v>
      </c>
      <c r="AF6" s="23" t="s">
        <v>0</v>
      </c>
      <c r="AG6" s="127" t="s">
        <v>0</v>
      </c>
      <c r="AH6" s="24" t="s">
        <v>0</v>
      </c>
      <c r="AI6" s="24" t="s">
        <v>0</v>
      </c>
      <c r="AJ6" s="23" t="s">
        <v>0</v>
      </c>
      <c r="AK6" s="23" t="s">
        <v>0</v>
      </c>
      <c r="AL6" s="173" t="s">
        <v>0</v>
      </c>
      <c r="AM6" s="24" t="s">
        <v>0</v>
      </c>
      <c r="AN6" s="23" t="s">
        <v>0</v>
      </c>
      <c r="AO6" s="127" t="s">
        <v>0</v>
      </c>
      <c r="AP6" s="173" t="s">
        <v>0</v>
      </c>
      <c r="AQ6" s="24" t="s">
        <v>0</v>
      </c>
      <c r="AR6" s="23" t="s">
        <v>0</v>
      </c>
      <c r="AS6" s="127" t="s">
        <v>0</v>
      </c>
      <c r="AT6" s="173" t="s">
        <v>0</v>
      </c>
      <c r="AU6" s="24" t="s">
        <v>0</v>
      </c>
      <c r="AV6" s="23" t="s">
        <v>0</v>
      </c>
      <c r="AW6" s="127" t="s">
        <v>0</v>
      </c>
    </row>
    <row r="7" spans="1:49" ht="12">
      <c r="A7" s="128" t="s">
        <v>47</v>
      </c>
      <c r="B7" s="25"/>
      <c r="C7" s="26"/>
      <c r="D7" s="25"/>
      <c r="E7" s="25"/>
      <c r="F7" s="25"/>
      <c r="G7" s="26"/>
      <c r="H7" s="25"/>
      <c r="I7" s="25"/>
      <c r="J7" s="25"/>
      <c r="K7" s="26"/>
      <c r="L7" s="25"/>
      <c r="M7" s="25"/>
      <c r="N7" s="25"/>
      <c r="O7" s="26"/>
      <c r="P7" s="25"/>
      <c r="Q7" s="25"/>
      <c r="R7" s="25"/>
      <c r="S7" s="26"/>
      <c r="T7" s="25"/>
      <c r="U7" s="25"/>
      <c r="V7" s="25"/>
      <c r="W7" s="26"/>
      <c r="X7" s="25"/>
      <c r="Y7" s="25"/>
      <c r="Z7" s="25"/>
      <c r="AA7" s="26"/>
      <c r="AB7" s="25"/>
      <c r="AC7" s="25"/>
      <c r="AD7" s="25"/>
      <c r="AE7" s="26"/>
      <c r="AF7" s="25"/>
      <c r="AG7" s="129"/>
      <c r="AH7" s="26"/>
      <c r="AI7" s="26"/>
      <c r="AJ7" s="25"/>
      <c r="AK7" s="171"/>
      <c r="AL7" s="26"/>
      <c r="AM7" s="26"/>
      <c r="AN7" s="25"/>
      <c r="AO7" s="164"/>
      <c r="AP7" s="26"/>
      <c r="AQ7" s="26"/>
      <c r="AR7" s="25"/>
      <c r="AS7" s="164"/>
      <c r="AT7" s="26"/>
      <c r="AU7" s="26"/>
      <c r="AV7" s="25"/>
      <c r="AW7" s="164"/>
    </row>
    <row r="8" spans="1:49" ht="12">
      <c r="A8" s="130" t="s">
        <v>48</v>
      </c>
      <c r="B8" s="27"/>
      <c r="C8" s="28"/>
      <c r="D8" s="27"/>
      <c r="E8" s="27"/>
      <c r="F8" s="27"/>
      <c r="G8" s="28"/>
      <c r="H8" s="27"/>
      <c r="I8" s="27"/>
      <c r="J8" s="27"/>
      <c r="K8" s="28"/>
      <c r="L8" s="27"/>
      <c r="M8" s="27"/>
      <c r="N8" s="27"/>
      <c r="O8" s="28"/>
      <c r="P8" s="27"/>
      <c r="Q8" s="27"/>
      <c r="R8" s="27"/>
      <c r="S8" s="28"/>
      <c r="T8" s="27"/>
      <c r="U8" s="27"/>
      <c r="V8" s="27"/>
      <c r="W8" s="28"/>
      <c r="X8" s="27"/>
      <c r="Y8" s="27"/>
      <c r="Z8" s="27"/>
      <c r="AA8" s="28"/>
      <c r="AB8" s="27"/>
      <c r="AC8" s="27"/>
      <c r="AD8" s="27"/>
      <c r="AE8" s="28"/>
      <c r="AF8" s="27"/>
      <c r="AG8" s="131"/>
      <c r="AH8" s="28"/>
      <c r="AI8" s="28"/>
      <c r="AJ8" s="27"/>
      <c r="AK8" s="170"/>
      <c r="AL8" s="28"/>
      <c r="AM8" s="28"/>
      <c r="AN8" s="27"/>
      <c r="AO8" s="165"/>
      <c r="AP8" s="28"/>
      <c r="AQ8" s="28"/>
      <c r="AR8" s="27"/>
      <c r="AS8" s="165"/>
      <c r="AT8" s="28"/>
      <c r="AU8" s="28"/>
      <c r="AV8" s="27"/>
      <c r="AW8" s="165"/>
    </row>
    <row r="9" spans="1:49" ht="12">
      <c r="A9" s="132"/>
      <c r="B9" s="27"/>
      <c r="C9" s="28"/>
      <c r="D9" s="27"/>
      <c r="E9" s="27"/>
      <c r="F9" s="27"/>
      <c r="G9" s="28"/>
      <c r="H9" s="27"/>
      <c r="I9" s="27"/>
      <c r="J9" s="27"/>
      <c r="K9" s="28"/>
      <c r="L9" s="27"/>
      <c r="M9" s="27"/>
      <c r="N9" s="27"/>
      <c r="O9" s="28"/>
      <c r="P9" s="27"/>
      <c r="Q9" s="27"/>
      <c r="R9" s="27"/>
      <c r="S9" s="28"/>
      <c r="T9" s="27"/>
      <c r="U9" s="27"/>
      <c r="V9" s="27"/>
      <c r="W9" s="28"/>
      <c r="X9" s="27"/>
      <c r="Y9" s="27"/>
      <c r="Z9" s="27"/>
      <c r="AA9" s="28"/>
      <c r="AB9" s="27"/>
      <c r="AC9" s="27"/>
      <c r="AD9" s="27"/>
      <c r="AE9" s="28"/>
      <c r="AF9" s="27"/>
      <c r="AG9" s="131"/>
      <c r="AH9" s="28"/>
      <c r="AI9" s="28"/>
      <c r="AJ9" s="27"/>
      <c r="AK9" s="170"/>
      <c r="AL9" s="28"/>
      <c r="AM9" s="28"/>
      <c r="AN9" s="27"/>
      <c r="AO9" s="165"/>
      <c r="AP9" s="28"/>
      <c r="AQ9" s="28"/>
      <c r="AR9" s="27"/>
      <c r="AS9" s="165"/>
      <c r="AT9" s="28"/>
      <c r="AU9" s="28"/>
      <c r="AV9" s="27"/>
      <c r="AW9" s="165"/>
    </row>
    <row r="10" spans="1:49" ht="12.5">
      <c r="A10" s="133" t="s">
        <v>49</v>
      </c>
      <c r="B10" s="29">
        <v>74750.582540000003</v>
      </c>
      <c r="C10" s="30">
        <v>0</v>
      </c>
      <c r="D10" s="29">
        <v>0</v>
      </c>
      <c r="E10" s="29">
        <f>B10+C10+D10</f>
        <v>74750.582540000003</v>
      </c>
      <c r="F10" s="29">
        <v>76298.906954000005</v>
      </c>
      <c r="G10" s="29">
        <v>2015.1795649999999</v>
      </c>
      <c r="H10" s="29">
        <v>0</v>
      </c>
      <c r="I10" s="29">
        <f>E10+F10+G10+H10</f>
        <v>153064.66905900001</v>
      </c>
      <c r="J10" s="29">
        <v>77902.910229000001</v>
      </c>
      <c r="K10" s="29">
        <v>77902.910229000001</v>
      </c>
      <c r="L10" s="29">
        <f>'[4]OC SUMM'!$E$13</f>
        <v>79506.261853000004</v>
      </c>
      <c r="M10" s="29">
        <f>I10+J10+K10+L10</f>
        <v>388376.75137000007</v>
      </c>
      <c r="N10" s="29">
        <f>[6]SUMM!$E$10</f>
        <v>83228.788916999998</v>
      </c>
      <c r="O10" s="29">
        <f>'[6]OC SUMM'!$F$10</f>
        <v>42451.938531</v>
      </c>
      <c r="P10" s="29">
        <f>'[6]CAPEX summ'!$E$8</f>
        <v>597.24</v>
      </c>
      <c r="Q10" s="29">
        <f t="shared" ref="Q10:Q28" si="0">M10+N10+O10+P10</f>
        <v>514654.71881800005</v>
      </c>
      <c r="R10" s="29">
        <f>'[5]PR SUM'!$F$2</f>
        <v>82968.744286999994</v>
      </c>
      <c r="S10" s="29">
        <f>'[5]OC SUMM'!$F$10</f>
        <v>10731.150009999999</v>
      </c>
      <c r="T10" s="29">
        <f>'[5]CAPEX SUMM'!$F$7</f>
        <v>7166.8515369999996</v>
      </c>
      <c r="U10" s="29">
        <f>Q10+R10+S10+T10</f>
        <v>615521.46465200011</v>
      </c>
      <c r="V10" s="29">
        <f>'[10]PR FULL (2)'!$E$10</f>
        <v>82738.679659999994</v>
      </c>
      <c r="W10" s="29">
        <f>'[10]OC SUMM'!$E$10</f>
        <v>5563.7964270000002</v>
      </c>
      <c r="X10" s="29">
        <f>'[10]CAPX SUMM'!$E$4</f>
        <v>34957.46</v>
      </c>
      <c r="Y10" s="29">
        <f>U10+V10+W10+X10</f>
        <v>738781.40073900006</v>
      </c>
      <c r="Z10" s="29">
        <f>82568008829/1000000</f>
        <v>82568.008828999999</v>
      </c>
      <c r="AA10" s="29">
        <v>3611</v>
      </c>
      <c r="AB10" s="29">
        <f>18814489775/1000000</f>
        <v>18814.489774999998</v>
      </c>
      <c r="AC10" s="29">
        <f>Y10+Z10+AA10+AB10</f>
        <v>843774.89934300014</v>
      </c>
      <c r="AD10" s="29">
        <f>[17]PY300!$E$89</f>
        <v>133404.78647600001</v>
      </c>
      <c r="AE10" s="30">
        <f>'[18]OC 300'!$G$441</f>
        <v>2457.0289419999999</v>
      </c>
      <c r="AF10" s="29">
        <f>'[18]DEV 300'!$F$34</f>
        <v>125202.376678</v>
      </c>
      <c r="AG10" s="134">
        <f>AC10+AD10+AE10+AF10</f>
        <v>1104839.0914390001</v>
      </c>
      <c r="AH10" s="30">
        <f>[16]PY300!$G$2090</f>
        <v>84064.090379999994</v>
      </c>
      <c r="AI10" s="30">
        <f>[14]OC300!$J$194</f>
        <v>49920.703044829999</v>
      </c>
      <c r="AJ10" s="29">
        <f>[14]CAP300!$I$40</f>
        <v>55307.585864000001</v>
      </c>
      <c r="AK10" s="29">
        <f t="shared" ref="AK10:AK15" si="1">AG10+AH10+AI10+AJ10</f>
        <v>1294131.47072783</v>
      </c>
      <c r="AL10" s="174">
        <v>84533.936981999999</v>
      </c>
      <c r="AM10" s="29">
        <v>8491.1824500000002</v>
      </c>
      <c r="AN10" s="29">
        <v>115.89514800000001</v>
      </c>
      <c r="AO10" s="166">
        <f t="shared" ref="AO10:AO28" si="2">AK10+AL10+AM10+AN10</f>
        <v>1387272.4853078299</v>
      </c>
      <c r="AP10" s="183">
        <v>86120.830436999997</v>
      </c>
      <c r="AQ10" s="181">
        <v>7878.6355940000003</v>
      </c>
      <c r="AR10" s="181">
        <v>22173.574967989996</v>
      </c>
      <c r="AS10" s="166">
        <f>AO10+AP10+AQ10+AR10</f>
        <v>1503445.5263068199</v>
      </c>
      <c r="AT10" s="183">
        <v>83501.714684129998</v>
      </c>
      <c r="AU10" s="181">
        <v>722.44804679999993</v>
      </c>
      <c r="AV10" s="181">
        <v>231.03921725999999</v>
      </c>
      <c r="AW10" s="166">
        <f>AS10+AT10+AU10+AV10</f>
        <v>1587900.7282550097</v>
      </c>
    </row>
    <row r="11" spans="1:49" ht="11.5">
      <c r="A11" s="133"/>
      <c r="B11" s="32"/>
      <c r="C11" s="33"/>
      <c r="D11" s="32"/>
      <c r="E11" s="29">
        <f t="shared" ref="E11:E28" si="3">B11+C11+D11</f>
        <v>0</v>
      </c>
      <c r="F11" s="29">
        <v>0</v>
      </c>
      <c r="G11" s="29">
        <v>0</v>
      </c>
      <c r="H11" s="32"/>
      <c r="I11" s="29">
        <f t="shared" ref="I11:I28" si="4">E11+F11+G11+H11</f>
        <v>0</v>
      </c>
      <c r="J11" s="29">
        <v>0</v>
      </c>
      <c r="K11" s="29">
        <v>0</v>
      </c>
      <c r="L11" s="29">
        <v>0</v>
      </c>
      <c r="M11" s="29">
        <f t="shared" ref="M11:M28" si="5">I11+J11+K11+L11</f>
        <v>0</v>
      </c>
      <c r="N11" s="29">
        <v>0</v>
      </c>
      <c r="O11" s="29">
        <v>0</v>
      </c>
      <c r="P11" s="29">
        <v>0</v>
      </c>
      <c r="Q11" s="29">
        <f t="shared" si="0"/>
        <v>0</v>
      </c>
      <c r="R11" s="29">
        <v>0</v>
      </c>
      <c r="S11" s="29">
        <v>0</v>
      </c>
      <c r="T11" s="29">
        <v>0</v>
      </c>
      <c r="U11" s="29">
        <f t="shared" ref="U11:U28" si="6">Q11+R11+S11+T11</f>
        <v>0</v>
      </c>
      <c r="V11" s="29">
        <v>0</v>
      </c>
      <c r="W11" s="29">
        <v>0</v>
      </c>
      <c r="X11" s="29">
        <v>0</v>
      </c>
      <c r="Y11" s="29">
        <f t="shared" ref="Y11:Y28" si="7">U11+V11+W11+X11</f>
        <v>0</v>
      </c>
      <c r="Z11" s="29">
        <v>0</v>
      </c>
      <c r="AA11" s="29">
        <v>0</v>
      </c>
      <c r="AB11" s="29">
        <v>0</v>
      </c>
      <c r="AC11" s="29">
        <f>Y11+Z11+AA11+AB11</f>
        <v>0</v>
      </c>
      <c r="AD11" s="29">
        <v>0</v>
      </c>
      <c r="AE11" s="30">
        <v>0</v>
      </c>
      <c r="AF11" s="29"/>
      <c r="AG11" s="134">
        <f>AC11+AD11+AE11+AF11</f>
        <v>0</v>
      </c>
      <c r="AH11" s="30">
        <v>0</v>
      </c>
      <c r="AI11" s="30">
        <v>0</v>
      </c>
      <c r="AJ11" s="30">
        <v>0</v>
      </c>
      <c r="AK11" s="168">
        <f t="shared" si="1"/>
        <v>0</v>
      </c>
      <c r="AL11" s="30">
        <v>0</v>
      </c>
      <c r="AM11" s="29">
        <v>0</v>
      </c>
      <c r="AN11" s="158">
        <v>0</v>
      </c>
      <c r="AO11" s="166"/>
      <c r="AP11" s="184"/>
      <c r="AQ11" s="182"/>
      <c r="AR11" s="158"/>
      <c r="AS11" s="166"/>
      <c r="AT11" s="184">
        <v>0</v>
      </c>
      <c r="AU11" s="182">
        <v>0</v>
      </c>
      <c r="AV11" s="158">
        <v>0</v>
      </c>
      <c r="AW11" s="166"/>
    </row>
    <row r="12" spans="1:49" ht="12.5">
      <c r="A12" s="135" t="s">
        <v>56</v>
      </c>
      <c r="B12" s="29">
        <v>36050.562127999998</v>
      </c>
      <c r="C12" s="30">
        <v>6312.7601809999996</v>
      </c>
      <c r="D12" s="31">
        <v>0</v>
      </c>
      <c r="E12" s="29">
        <f t="shared" si="3"/>
        <v>42363.322308999996</v>
      </c>
      <c r="F12" s="29">
        <v>36160.841466999998</v>
      </c>
      <c r="G12" s="29">
        <v>13822.96149804</v>
      </c>
      <c r="H12" s="31">
        <v>3789.497719</v>
      </c>
      <c r="I12" s="29">
        <f t="shared" si="4"/>
        <v>96136.622993040015</v>
      </c>
      <c r="J12" s="29">
        <v>36165.908190000002</v>
      </c>
      <c r="K12" s="29">
        <v>36165.908190000002</v>
      </c>
      <c r="L12" s="29">
        <f>'[4]OC SUMM'!$E$12</f>
        <v>5167.4907439999997</v>
      </c>
      <c r="M12" s="29">
        <f t="shared" si="5"/>
        <v>173635.93011704</v>
      </c>
      <c r="N12" s="29">
        <f>[6]SUMM!$E$9</f>
        <v>35627.534838</v>
      </c>
      <c r="O12" s="29">
        <f>'[6]OC SUMM'!$F$9</f>
        <v>12552.8231</v>
      </c>
      <c r="P12" s="29">
        <f>'[6]CAPEX summ'!$E$7</f>
        <v>304.91298</v>
      </c>
      <c r="Q12" s="29">
        <f t="shared" si="0"/>
        <v>222121.20103503999</v>
      </c>
      <c r="R12" s="29">
        <f>'[5]PR SUM'!$F$3</f>
        <v>38663.462781000002</v>
      </c>
      <c r="S12" s="29">
        <f>'[5]OC SUMM'!$F$9</f>
        <v>1657.15765474</v>
      </c>
      <c r="T12" s="29">
        <f>'[5]CAPEX SUMM'!$F$6</f>
        <v>14643.208339000001</v>
      </c>
      <c r="U12" s="29">
        <f t="shared" si="6"/>
        <v>277085.02980978001</v>
      </c>
      <c r="V12" s="29">
        <f>'[10]PR FULL (2)'!$E$9</f>
        <v>39974.889465</v>
      </c>
      <c r="W12" s="29">
        <f>'[10]OC SUMM'!$E$9</f>
        <v>3329.6936615699997</v>
      </c>
      <c r="X12" s="29">
        <v>0</v>
      </c>
      <c r="Y12" s="29">
        <f t="shared" si="7"/>
        <v>320389.61293635005</v>
      </c>
      <c r="Z12" s="29">
        <f>40321567358/1000000</f>
        <v>40321.567358</v>
      </c>
      <c r="AA12" s="29">
        <v>15382</v>
      </c>
      <c r="AB12" s="29">
        <f>63438979404/1000000</f>
        <v>63438.979403999998</v>
      </c>
      <c r="AC12" s="29">
        <f>Y12+Z12+AA12+AB12</f>
        <v>439532.15969835001</v>
      </c>
      <c r="AD12" s="29">
        <f>[17]PY300!$E$90</f>
        <v>43160.851809</v>
      </c>
      <c r="AE12" s="30">
        <f>'[18]OC 300'!$G$442</f>
        <v>15156.38450819</v>
      </c>
      <c r="AF12" s="29">
        <f>'[18]DEV 300'!$F$35</f>
        <v>13633.325852</v>
      </c>
      <c r="AG12" s="134">
        <f>AC12+AD12+AE12+AF12</f>
        <v>511482.72186753998</v>
      </c>
      <c r="AH12" s="30">
        <f>[16]PY300!$G$2091</f>
        <v>41859.950457999999</v>
      </c>
      <c r="AI12" s="30">
        <f>[14]OC300!$J$195</f>
        <v>4925.4278329999997</v>
      </c>
      <c r="AJ12" s="29">
        <f>[14]CAP300!$I$41</f>
        <v>11129.156577</v>
      </c>
      <c r="AK12" s="29">
        <f t="shared" si="1"/>
        <v>569397.25673554</v>
      </c>
      <c r="AL12" s="174">
        <v>42387.173863000004</v>
      </c>
      <c r="AM12" s="29">
        <v>1502.5497272100001</v>
      </c>
      <c r="AN12" s="29">
        <v>7591.9496980000004</v>
      </c>
      <c r="AO12" s="166">
        <f t="shared" si="2"/>
        <v>620878.93002374994</v>
      </c>
      <c r="AP12" s="183">
        <v>43265.734971999998</v>
      </c>
      <c r="AQ12" s="181">
        <v>19062.146019970001</v>
      </c>
      <c r="AR12" s="181">
        <v>6419.8169470000003</v>
      </c>
      <c r="AS12" s="166">
        <f t="shared" ref="AS12:AS26" si="8">AO12+AP12+AQ12+AR12</f>
        <v>689626.62796271988</v>
      </c>
      <c r="AT12" s="183">
        <v>38967.359052</v>
      </c>
      <c r="AU12" s="181">
        <v>2971.3523922600002</v>
      </c>
      <c r="AV12" s="181">
        <v>573.23341841999991</v>
      </c>
      <c r="AW12" s="166">
        <f>AS12+AT12+AU12+AV12</f>
        <v>732138.57282539981</v>
      </c>
    </row>
    <row r="13" spans="1:49" ht="11.5">
      <c r="A13" s="133"/>
      <c r="B13" s="29"/>
      <c r="C13" s="33"/>
      <c r="D13" s="32"/>
      <c r="E13" s="29">
        <f t="shared" si="3"/>
        <v>0</v>
      </c>
      <c r="F13" s="29">
        <v>0</v>
      </c>
      <c r="G13" s="29">
        <v>0</v>
      </c>
      <c r="H13" s="31">
        <v>0</v>
      </c>
      <c r="I13" s="29">
        <f t="shared" si="4"/>
        <v>0</v>
      </c>
      <c r="J13" s="29">
        <v>0</v>
      </c>
      <c r="K13" s="29">
        <v>0</v>
      </c>
      <c r="L13" s="29">
        <v>0</v>
      </c>
      <c r="M13" s="29">
        <f t="shared" si="5"/>
        <v>0</v>
      </c>
      <c r="N13" s="29">
        <v>0</v>
      </c>
      <c r="O13" s="29">
        <v>0</v>
      </c>
      <c r="P13" s="29">
        <v>0</v>
      </c>
      <c r="Q13" s="29">
        <f t="shared" si="0"/>
        <v>0</v>
      </c>
      <c r="R13" s="29">
        <v>0</v>
      </c>
      <c r="S13" s="29">
        <v>0</v>
      </c>
      <c r="T13" s="29">
        <v>0</v>
      </c>
      <c r="U13" s="29">
        <f t="shared" si="6"/>
        <v>0</v>
      </c>
      <c r="V13" s="29">
        <v>0</v>
      </c>
      <c r="W13" s="29">
        <v>0</v>
      </c>
      <c r="X13" s="29">
        <v>0</v>
      </c>
      <c r="Y13" s="29">
        <f t="shared" si="7"/>
        <v>0</v>
      </c>
      <c r="Z13" s="29">
        <v>0</v>
      </c>
      <c r="AA13" s="29">
        <v>0</v>
      </c>
      <c r="AB13" s="29">
        <v>0</v>
      </c>
      <c r="AC13" s="29">
        <f>Y13+Z13+AA13+AB13</f>
        <v>0</v>
      </c>
      <c r="AD13" s="29">
        <v>0</v>
      </c>
      <c r="AE13" s="30">
        <v>0</v>
      </c>
      <c r="AF13" s="29"/>
      <c r="AG13" s="134">
        <f>AC13+AD13+AE13+AF13</f>
        <v>0</v>
      </c>
      <c r="AH13" s="30">
        <v>0</v>
      </c>
      <c r="AI13" s="30">
        <v>0</v>
      </c>
      <c r="AJ13" s="30">
        <v>0</v>
      </c>
      <c r="AK13" s="168">
        <f t="shared" si="1"/>
        <v>0</v>
      </c>
      <c r="AL13" s="157">
        <v>0</v>
      </c>
      <c r="AM13" s="29">
        <v>0</v>
      </c>
      <c r="AN13" s="30">
        <v>0</v>
      </c>
      <c r="AO13" s="166"/>
      <c r="AP13" s="184"/>
      <c r="AQ13" s="182"/>
      <c r="AR13" s="30"/>
      <c r="AS13" s="166"/>
      <c r="AT13" s="184">
        <v>0</v>
      </c>
      <c r="AU13" s="182">
        <v>0</v>
      </c>
      <c r="AV13" s="30">
        <v>0</v>
      </c>
      <c r="AW13" s="166"/>
    </row>
    <row r="14" spans="1:49" ht="12.5">
      <c r="A14" s="135" t="s">
        <v>57</v>
      </c>
      <c r="B14" s="29">
        <v>21551.365704</v>
      </c>
      <c r="C14" s="30">
        <v>767.39300000000003</v>
      </c>
      <c r="D14" s="31">
        <v>2600</v>
      </c>
      <c r="E14" s="29">
        <f t="shared" si="3"/>
        <v>24918.758704</v>
      </c>
      <c r="F14" s="29">
        <v>21142.903765999999</v>
      </c>
      <c r="G14" s="29">
        <v>11180.18353</v>
      </c>
      <c r="H14" s="31">
        <v>4468.2</v>
      </c>
      <c r="I14" s="29">
        <f t="shared" si="4"/>
        <v>61710.045999999995</v>
      </c>
      <c r="J14" s="29">
        <v>39136.454123000003</v>
      </c>
      <c r="K14" s="29">
        <v>39136.454123000003</v>
      </c>
      <c r="L14" s="29">
        <f>'[4]OC SUMM'!$E$11</f>
        <v>17962.55518395</v>
      </c>
      <c r="M14" s="29">
        <f t="shared" si="5"/>
        <v>157945.50942995001</v>
      </c>
      <c r="N14" s="29">
        <f>[6]SUMM!$E$8</f>
        <v>16556.057011000001</v>
      </c>
      <c r="O14" s="29">
        <f>'[6]OC SUMM'!$F$8</f>
        <v>3744.1213444</v>
      </c>
      <c r="P14" s="29">
        <f>'[6]CAPEX summ'!$E$6</f>
        <v>801.94</v>
      </c>
      <c r="Q14" s="29">
        <f t="shared" si="0"/>
        <v>179047.62778534999</v>
      </c>
      <c r="R14" s="29">
        <f>'[5]PR SUM'!$F$4</f>
        <v>30501.51182</v>
      </c>
      <c r="S14" s="29">
        <f>'[5]OC SUMM'!$F$8</f>
        <v>10538.381637819999</v>
      </c>
      <c r="T14" s="29">
        <f>'[5]CAPEX SUMM'!$F$5</f>
        <v>11904.7</v>
      </c>
      <c r="U14" s="29">
        <f t="shared" si="6"/>
        <v>231992.22124316997</v>
      </c>
      <c r="V14" s="29">
        <f>'[10]PR FULL (2)'!$E$8</f>
        <v>26432.283533000002</v>
      </c>
      <c r="W14" s="29">
        <f>'[10]OC SUMM'!$E$8</f>
        <v>11597.473119329999</v>
      </c>
      <c r="X14" s="29">
        <v>0</v>
      </c>
      <c r="Y14" s="29">
        <f t="shared" si="7"/>
        <v>270021.97789549996</v>
      </c>
      <c r="Z14" s="29">
        <f>24139743911.5/1000000</f>
        <v>24139.743911500002</v>
      </c>
      <c r="AA14" s="29">
        <v>4525.3999999999996</v>
      </c>
      <c r="AB14" s="29">
        <f>6370740000/1000000</f>
        <v>6370.74</v>
      </c>
      <c r="AC14" s="29">
        <f>Y14+Z14+AA14+AB14</f>
        <v>305057.86180700001</v>
      </c>
      <c r="AD14" s="29">
        <f>[17]PY300!$E$91</f>
        <v>29492.442996999998</v>
      </c>
      <c r="AE14" s="30">
        <f>'[18]OC 300'!$G$443</f>
        <v>25678.973748799999</v>
      </c>
      <c r="AF14" s="29">
        <f>'[18]DEV 300'!$F$36</f>
        <v>13000</v>
      </c>
      <c r="AG14" s="134">
        <f>AC14+AD14+AE14+AF14</f>
        <v>373229.27855280001</v>
      </c>
      <c r="AH14" s="30">
        <f>[16]PY300!$G$2092</f>
        <v>14473.587181999999</v>
      </c>
      <c r="AI14" s="30">
        <f>[14]OC300!$J$196</f>
        <v>6435.7816095500002</v>
      </c>
      <c r="AJ14" s="29">
        <f>[14]CAP300!$I$42</f>
        <v>500</v>
      </c>
      <c r="AK14" s="158">
        <f t="shared" si="1"/>
        <v>394638.64734435</v>
      </c>
      <c r="AL14" s="174">
        <v>22601.854918000001</v>
      </c>
      <c r="AM14" s="169">
        <v>9343.4197776000001</v>
      </c>
      <c r="AN14" s="29">
        <v>0</v>
      </c>
      <c r="AO14" s="166">
        <f t="shared" si="2"/>
        <v>426583.92203994998</v>
      </c>
      <c r="AP14" s="183">
        <v>25612.587464</v>
      </c>
      <c r="AQ14" s="174">
        <v>17714.9670329</v>
      </c>
      <c r="AR14" s="29">
        <v>0</v>
      </c>
      <c r="AS14" s="166">
        <f t="shared" si="8"/>
        <v>469911.47653684998</v>
      </c>
      <c r="AT14" s="183">
        <v>25662.7817985</v>
      </c>
      <c r="AU14" s="174">
        <v>10980.191785819999</v>
      </c>
      <c r="AV14" s="29">
        <v>450</v>
      </c>
      <c r="AW14" s="166">
        <f>AS14+AT14+AU14+AV14</f>
        <v>507004.45012116997</v>
      </c>
    </row>
    <row r="15" spans="1:49" ht="11.5">
      <c r="A15" s="133"/>
      <c r="B15" s="29"/>
      <c r="C15" s="33"/>
      <c r="D15" s="32"/>
      <c r="E15" s="29">
        <f t="shared" si="3"/>
        <v>0</v>
      </c>
      <c r="F15" s="29">
        <v>0</v>
      </c>
      <c r="G15" s="29">
        <v>0</v>
      </c>
      <c r="H15" s="31">
        <v>0</v>
      </c>
      <c r="I15" s="29">
        <f t="shared" si="4"/>
        <v>0</v>
      </c>
      <c r="J15" s="29">
        <v>0</v>
      </c>
      <c r="K15" s="29">
        <v>0</v>
      </c>
      <c r="L15" s="29">
        <v>0</v>
      </c>
      <c r="M15" s="29">
        <f t="shared" si="5"/>
        <v>0</v>
      </c>
      <c r="N15" s="29">
        <v>0</v>
      </c>
      <c r="O15" s="29">
        <v>0</v>
      </c>
      <c r="P15" s="29">
        <v>0</v>
      </c>
      <c r="Q15" s="29">
        <f t="shared" si="0"/>
        <v>0</v>
      </c>
      <c r="R15" s="29">
        <v>0</v>
      </c>
      <c r="S15" s="29">
        <v>0</v>
      </c>
      <c r="T15" s="29">
        <v>0</v>
      </c>
      <c r="U15" s="29">
        <f t="shared" si="6"/>
        <v>0</v>
      </c>
      <c r="V15" s="29">
        <v>0</v>
      </c>
      <c r="W15" s="29" t="s">
        <v>85</v>
      </c>
      <c r="X15" s="29">
        <v>0</v>
      </c>
      <c r="Y15" s="29"/>
      <c r="Z15" s="29">
        <v>0</v>
      </c>
      <c r="AA15" s="29" t="s">
        <v>85</v>
      </c>
      <c r="AB15" s="29">
        <v>0</v>
      </c>
      <c r="AC15" s="29">
        <v>0</v>
      </c>
      <c r="AD15" s="29">
        <v>0</v>
      </c>
      <c r="AE15" s="30">
        <v>0</v>
      </c>
      <c r="AF15" s="29">
        <v>0</v>
      </c>
      <c r="AG15" s="134">
        <v>0</v>
      </c>
      <c r="AH15" s="30">
        <v>0</v>
      </c>
      <c r="AI15" s="30">
        <v>0</v>
      </c>
      <c r="AJ15" s="30">
        <v>0</v>
      </c>
      <c r="AK15" s="29">
        <f t="shared" si="1"/>
        <v>0</v>
      </c>
      <c r="AL15" s="158">
        <v>0</v>
      </c>
      <c r="AM15" s="30">
        <v>0</v>
      </c>
      <c r="AN15" s="30">
        <v>0</v>
      </c>
      <c r="AO15" s="166"/>
      <c r="AP15" s="184"/>
      <c r="AQ15" s="158"/>
      <c r="AR15" s="30"/>
      <c r="AS15" s="166"/>
      <c r="AT15" s="184">
        <v>0</v>
      </c>
      <c r="AU15" s="158">
        <v>0</v>
      </c>
      <c r="AV15" s="30">
        <v>0</v>
      </c>
      <c r="AW15" s="166"/>
    </row>
    <row r="16" spans="1:49" ht="12.5">
      <c r="A16" s="133" t="s">
        <v>50</v>
      </c>
      <c r="B16" s="29">
        <v>12980.425504999999</v>
      </c>
      <c r="C16" s="34">
        <v>14917.652801260001</v>
      </c>
      <c r="D16" s="31">
        <v>0</v>
      </c>
      <c r="E16" s="29">
        <f t="shared" si="3"/>
        <v>27898.078306260002</v>
      </c>
      <c r="F16" s="29">
        <v>14050.579304000001</v>
      </c>
      <c r="G16" s="29">
        <v>5623.0840449999996</v>
      </c>
      <c r="H16" s="31">
        <v>2809.171613</v>
      </c>
      <c r="I16" s="29">
        <f t="shared" si="4"/>
        <v>50380.913268260003</v>
      </c>
      <c r="J16" s="29">
        <v>13592.243297000001</v>
      </c>
      <c r="K16" s="29">
        <v>13592.243297000001</v>
      </c>
      <c r="L16" s="29">
        <f>'[4]OC SUMM'!$E$10</f>
        <v>5917.9359999999997</v>
      </c>
      <c r="M16" s="29">
        <f t="shared" si="5"/>
        <v>83483.335862260006</v>
      </c>
      <c r="N16" s="29">
        <f>[6]SUMM!$E$7</f>
        <v>15833.745838999999</v>
      </c>
      <c r="O16" s="29">
        <f>'[6]OC SUMM'!$F$7</f>
        <v>8360.6767960200013</v>
      </c>
      <c r="P16" s="29">
        <f>'[6]CAPEX summ'!$E$5</f>
        <v>3454.2647000000002</v>
      </c>
      <c r="Q16" s="29">
        <f t="shared" si="0"/>
        <v>111132.02319728001</v>
      </c>
      <c r="R16" s="29">
        <f>'[5]PR SUM'!$F$5</f>
        <v>15784.225414</v>
      </c>
      <c r="S16" s="29">
        <f>'[5]OC SUMM'!$F$7</f>
        <v>124026.836235</v>
      </c>
      <c r="T16" s="29">
        <v>0</v>
      </c>
      <c r="U16" s="29">
        <f t="shared" si="6"/>
        <v>250943.08484627999</v>
      </c>
      <c r="V16" s="29">
        <f>'[10]PR FULL (2)'!$E$7</f>
        <v>15686.783788000001</v>
      </c>
      <c r="W16" s="29">
        <f>'[10]OC SUMM'!$E$7</f>
        <v>14045.701444</v>
      </c>
      <c r="X16" s="29">
        <v>0</v>
      </c>
      <c r="Y16" s="29">
        <f t="shared" si="7"/>
        <v>280675.57007828</v>
      </c>
      <c r="Z16" s="29">
        <f>16878993814/1000000</f>
        <v>16878.993814000001</v>
      </c>
      <c r="AA16" s="29">
        <v>13906</v>
      </c>
      <c r="AB16" s="29">
        <v>0</v>
      </c>
      <c r="AC16" s="29">
        <f t="shared" ref="AC16:AC28" si="9">Y16+Z16+AA16+AB16</f>
        <v>311460.56389227998</v>
      </c>
      <c r="AD16" s="29">
        <f>[17]PY300!$E$92</f>
        <v>19481.412380000002</v>
      </c>
      <c r="AE16" s="30">
        <f>'[18]OC 300'!$G$444</f>
        <v>35706.647100000002</v>
      </c>
      <c r="AF16" s="29"/>
      <c r="AG16" s="134">
        <f t="shared" ref="AG16:AG28" si="10">AC16+AD16+AE16+AF16</f>
        <v>366648.62337227998</v>
      </c>
      <c r="AH16" s="30">
        <f>[16]PY300!$G$2093</f>
        <v>16147.774777000001</v>
      </c>
      <c r="AI16" s="30">
        <f>[14]OC300!$J$197</f>
        <v>28052.567060000001</v>
      </c>
      <c r="AJ16" s="29">
        <v>0</v>
      </c>
      <c r="AK16" s="29">
        <f t="shared" ref="AK16:AK28" si="11">AG16+AH16+AI16+AJ16</f>
        <v>410848.96520928002</v>
      </c>
      <c r="AL16" s="174">
        <v>16121.647757000001</v>
      </c>
      <c r="AM16" s="169">
        <v>2902.1484310000001</v>
      </c>
      <c r="AN16" s="29">
        <v>0</v>
      </c>
      <c r="AO16" s="166">
        <f t="shared" si="2"/>
        <v>429872.76139728003</v>
      </c>
      <c r="AP16" s="183">
        <v>17115.564306</v>
      </c>
      <c r="AQ16" s="174">
        <v>19875.051287450002</v>
      </c>
      <c r="AR16" s="29">
        <v>0</v>
      </c>
      <c r="AS16" s="166">
        <f t="shared" si="8"/>
        <v>466863.37699073006</v>
      </c>
      <c r="AT16" s="183">
        <v>14824.486304</v>
      </c>
      <c r="AU16" s="174">
        <v>3404.32613004</v>
      </c>
      <c r="AV16" s="29">
        <v>0</v>
      </c>
      <c r="AW16" s="166">
        <f>AS16+AT16+AU16+AV16</f>
        <v>485092.18942477007</v>
      </c>
    </row>
    <row r="17" spans="1:51" ht="11.5">
      <c r="A17" s="133"/>
      <c r="B17" s="29"/>
      <c r="C17" s="33"/>
      <c r="D17" s="31"/>
      <c r="E17" s="29">
        <f t="shared" si="3"/>
        <v>0</v>
      </c>
      <c r="F17" s="29">
        <v>0</v>
      </c>
      <c r="G17" s="29">
        <v>0</v>
      </c>
      <c r="H17" s="31">
        <v>0</v>
      </c>
      <c r="I17" s="29">
        <f t="shared" si="4"/>
        <v>0</v>
      </c>
      <c r="J17" s="29">
        <v>0</v>
      </c>
      <c r="K17" s="29">
        <v>0</v>
      </c>
      <c r="L17" s="29">
        <v>0</v>
      </c>
      <c r="M17" s="29">
        <f t="shared" si="5"/>
        <v>0</v>
      </c>
      <c r="N17" s="29">
        <v>0</v>
      </c>
      <c r="O17" s="29">
        <v>0</v>
      </c>
      <c r="P17" s="29">
        <v>0</v>
      </c>
      <c r="Q17" s="29">
        <f t="shared" si="0"/>
        <v>0</v>
      </c>
      <c r="R17" s="29">
        <v>0</v>
      </c>
      <c r="S17" s="29">
        <v>0</v>
      </c>
      <c r="T17" s="29">
        <v>0</v>
      </c>
      <c r="U17" s="29">
        <f t="shared" si="6"/>
        <v>0</v>
      </c>
      <c r="V17" s="29">
        <v>0</v>
      </c>
      <c r="W17" s="29">
        <v>0</v>
      </c>
      <c r="X17" s="29">
        <v>0</v>
      </c>
      <c r="Y17" s="29">
        <f t="shared" si="7"/>
        <v>0</v>
      </c>
      <c r="Z17" s="29">
        <v>0</v>
      </c>
      <c r="AA17" s="29">
        <v>0</v>
      </c>
      <c r="AB17" s="29">
        <v>0</v>
      </c>
      <c r="AC17" s="29">
        <f t="shared" si="9"/>
        <v>0</v>
      </c>
      <c r="AD17" s="29">
        <v>0</v>
      </c>
      <c r="AE17" s="30">
        <v>0</v>
      </c>
      <c r="AF17" s="29"/>
      <c r="AG17" s="134">
        <f t="shared" si="10"/>
        <v>0</v>
      </c>
      <c r="AH17" s="30">
        <v>0</v>
      </c>
      <c r="AI17" s="30">
        <v>0</v>
      </c>
      <c r="AJ17" s="30">
        <v>0</v>
      </c>
      <c r="AK17" s="29">
        <f t="shared" si="11"/>
        <v>0</v>
      </c>
      <c r="AL17" s="158">
        <v>0</v>
      </c>
      <c r="AM17" s="30">
        <v>0</v>
      </c>
      <c r="AN17" s="30">
        <v>0</v>
      </c>
      <c r="AO17" s="166"/>
      <c r="AP17" s="184"/>
      <c r="AQ17" s="158"/>
      <c r="AR17" s="30"/>
      <c r="AS17" s="166"/>
      <c r="AT17" s="184">
        <v>0</v>
      </c>
      <c r="AU17" s="158">
        <v>0</v>
      </c>
      <c r="AV17" s="30">
        <v>0</v>
      </c>
      <c r="AW17" s="166"/>
    </row>
    <row r="18" spans="1:51" ht="12.5">
      <c r="A18" s="135" t="s">
        <v>58</v>
      </c>
      <c r="B18" s="29">
        <v>31133.414126</v>
      </c>
      <c r="C18" s="34">
        <v>22003.442094000002</v>
      </c>
      <c r="D18" s="31">
        <v>1536.9434029200002</v>
      </c>
      <c r="E18" s="29">
        <f t="shared" si="3"/>
        <v>54673.79962292</v>
      </c>
      <c r="F18" s="29">
        <v>33614.797619999998</v>
      </c>
      <c r="G18" s="29">
        <v>29956.2628</v>
      </c>
      <c r="H18" s="31">
        <v>0</v>
      </c>
      <c r="I18" s="29">
        <f t="shared" si="4"/>
        <v>118244.86004291999</v>
      </c>
      <c r="J18" s="29">
        <v>30202.502564999999</v>
      </c>
      <c r="K18" s="29">
        <v>30202.502564999999</v>
      </c>
      <c r="L18" s="29">
        <f>'[4]OC SUMM'!$E$9</f>
        <v>45166.886037999997</v>
      </c>
      <c r="M18" s="29">
        <f t="shared" si="5"/>
        <v>223816.75121091999</v>
      </c>
      <c r="N18" s="29">
        <f>[6]SUMM!$E$6</f>
        <v>35544.048676999999</v>
      </c>
      <c r="O18" s="29">
        <f>'[6]OC SUMM'!$F$6</f>
        <v>13216.743700000001</v>
      </c>
      <c r="P18" s="29">
        <f>'[6]CAPEX summ'!$E$4</f>
        <v>4268.0355623200003</v>
      </c>
      <c r="Q18" s="29">
        <f t="shared" si="0"/>
        <v>276845.57915023994</v>
      </c>
      <c r="R18" s="29">
        <f>'[5]PR SUM'!$F$6</f>
        <v>35352.785306999998</v>
      </c>
      <c r="S18" s="29">
        <f>'[5]OC SUMM'!$F$6</f>
        <v>28770.600859980001</v>
      </c>
      <c r="T18" s="29">
        <f>'[5]CAPEX SUMM'!$F$4</f>
        <v>32604.58914</v>
      </c>
      <c r="U18" s="29">
        <f t="shared" si="6"/>
        <v>373573.5544572199</v>
      </c>
      <c r="V18" s="29">
        <f>'[10]PR FULL (2)'!$E$6</f>
        <v>34729.361617000002</v>
      </c>
      <c r="W18" s="29">
        <f>'[10]OC SUMM'!$E$6</f>
        <v>29086.855385999999</v>
      </c>
      <c r="X18" s="29">
        <v>0</v>
      </c>
      <c r="Y18" s="29">
        <f t="shared" si="7"/>
        <v>437389.77146021993</v>
      </c>
      <c r="Z18" s="30">
        <f>34248904146.5/1000000</f>
        <v>34248.904146499997</v>
      </c>
      <c r="AA18" s="29">
        <v>26265</v>
      </c>
      <c r="AB18" s="29">
        <f>130249521.83/1000000</f>
        <v>130.24952182999999</v>
      </c>
      <c r="AC18" s="29">
        <f t="shared" si="9"/>
        <v>498033.92512854992</v>
      </c>
      <c r="AD18" s="30">
        <f>[17]PY300!$E$93</f>
        <v>37145.848222000001</v>
      </c>
      <c r="AE18" s="30">
        <f>'[18]OC 300'!$G$445</f>
        <v>13080.125249999999</v>
      </c>
      <c r="AF18" s="29"/>
      <c r="AG18" s="134">
        <f t="shared" si="10"/>
        <v>548259.8986005499</v>
      </c>
      <c r="AH18" s="30">
        <f>[16]PY300!$G$2094</f>
        <v>32781.267564000002</v>
      </c>
      <c r="AI18" s="30">
        <f>[14]OC300!$J$198</f>
        <v>63146.954921380006</v>
      </c>
      <c r="AJ18" s="29">
        <f>[14]CAP300!$I$43</f>
        <v>5128.0289786200001</v>
      </c>
      <c r="AK18" s="29">
        <f t="shared" si="11"/>
        <v>649316.15006454987</v>
      </c>
      <c r="AL18" s="174">
        <v>32968.758692000003</v>
      </c>
      <c r="AM18" s="29">
        <v>35853.091586000002</v>
      </c>
      <c r="AN18" s="29">
        <v>3309.7739000000001</v>
      </c>
      <c r="AO18" s="166">
        <f t="shared" si="2"/>
        <v>721447.77424255002</v>
      </c>
      <c r="AP18" s="183">
        <v>31468.432778999999</v>
      </c>
      <c r="AQ18" s="181">
        <v>14209.832</v>
      </c>
      <c r="AR18" s="181">
        <v>3617.4567190600001</v>
      </c>
      <c r="AS18" s="166">
        <f t="shared" si="8"/>
        <v>770743.49574061006</v>
      </c>
      <c r="AT18" s="183">
        <v>29464.565568000002</v>
      </c>
      <c r="AU18" s="181">
        <v>16696.18361598</v>
      </c>
      <c r="AV18" s="181">
        <v>9900</v>
      </c>
      <c r="AW18" s="166">
        <f>AS18+AT18+AU18+AV18</f>
        <v>826804.24492458999</v>
      </c>
    </row>
    <row r="19" spans="1:51" ht="11.5">
      <c r="A19" s="133"/>
      <c r="B19" s="29"/>
      <c r="C19" s="33"/>
      <c r="D19" s="31"/>
      <c r="E19" s="29">
        <f t="shared" si="3"/>
        <v>0</v>
      </c>
      <c r="F19" s="29">
        <v>0</v>
      </c>
      <c r="G19" s="29">
        <v>0</v>
      </c>
      <c r="H19" s="31">
        <v>0</v>
      </c>
      <c r="I19" s="29">
        <f t="shared" si="4"/>
        <v>0</v>
      </c>
      <c r="J19" s="29">
        <v>0</v>
      </c>
      <c r="K19" s="29">
        <v>0</v>
      </c>
      <c r="L19" s="29">
        <v>0</v>
      </c>
      <c r="M19" s="29">
        <f t="shared" si="5"/>
        <v>0</v>
      </c>
      <c r="N19" s="29">
        <v>0</v>
      </c>
      <c r="O19" s="29">
        <v>0</v>
      </c>
      <c r="P19" s="29">
        <v>0</v>
      </c>
      <c r="Q19" s="29">
        <f t="shared" si="0"/>
        <v>0</v>
      </c>
      <c r="R19" s="29">
        <v>0</v>
      </c>
      <c r="S19" s="29">
        <v>0</v>
      </c>
      <c r="T19" s="29">
        <v>0</v>
      </c>
      <c r="U19" s="29">
        <f t="shared" si="6"/>
        <v>0</v>
      </c>
      <c r="V19" s="29">
        <v>0</v>
      </c>
      <c r="W19" s="29">
        <v>0</v>
      </c>
      <c r="X19" s="29">
        <v>0</v>
      </c>
      <c r="Y19" s="29">
        <f t="shared" si="7"/>
        <v>0</v>
      </c>
      <c r="Z19" s="30">
        <v>0</v>
      </c>
      <c r="AA19" s="29">
        <v>0</v>
      </c>
      <c r="AB19" s="29">
        <v>0</v>
      </c>
      <c r="AC19" s="29">
        <f t="shared" si="9"/>
        <v>0</v>
      </c>
      <c r="AD19" s="30">
        <v>0</v>
      </c>
      <c r="AE19" s="30">
        <v>0</v>
      </c>
      <c r="AF19" s="29"/>
      <c r="AG19" s="134">
        <f t="shared" si="10"/>
        <v>0</v>
      </c>
      <c r="AH19" s="30">
        <v>0</v>
      </c>
      <c r="AI19" s="30">
        <v>0</v>
      </c>
      <c r="AJ19" s="30">
        <v>0</v>
      </c>
      <c r="AK19" s="29">
        <f t="shared" si="11"/>
        <v>0</v>
      </c>
      <c r="AL19" s="158">
        <v>0</v>
      </c>
      <c r="AM19" s="30">
        <v>0</v>
      </c>
      <c r="AN19" s="30">
        <v>0</v>
      </c>
      <c r="AO19" s="166"/>
      <c r="AP19" s="184"/>
      <c r="AQ19" s="158"/>
      <c r="AR19" s="30"/>
      <c r="AS19" s="166"/>
      <c r="AT19" s="184">
        <v>0</v>
      </c>
      <c r="AU19" s="158">
        <v>0</v>
      </c>
      <c r="AV19" s="30">
        <v>0</v>
      </c>
      <c r="AW19" s="166"/>
    </row>
    <row r="20" spans="1:51" ht="12.5">
      <c r="A20" s="135" t="s">
        <v>59</v>
      </c>
      <c r="B20" s="29">
        <v>1608.5222659999999</v>
      </c>
      <c r="C20" s="30">
        <v>436.67500000000001</v>
      </c>
      <c r="D20" s="31">
        <v>0</v>
      </c>
      <c r="E20" s="29">
        <f t="shared" si="3"/>
        <v>2045.1972659999999</v>
      </c>
      <c r="F20" s="29">
        <v>1706.766691</v>
      </c>
      <c r="G20" s="29">
        <v>647.149</v>
      </c>
      <c r="H20" s="31">
        <v>0</v>
      </c>
      <c r="I20" s="29">
        <f t="shared" si="4"/>
        <v>4399.1129570000003</v>
      </c>
      <c r="J20" s="29">
        <v>1434.8196479999999</v>
      </c>
      <c r="K20" s="29">
        <v>1434.8196479999999</v>
      </c>
      <c r="L20" s="29">
        <f>'[4]OC SUMM'!$E$8</f>
        <v>1387.57111728</v>
      </c>
      <c r="M20" s="29">
        <f t="shared" si="5"/>
        <v>8656.3233702799989</v>
      </c>
      <c r="N20" s="29">
        <f>[6]SUMM!$E$5</f>
        <v>1405.535513</v>
      </c>
      <c r="O20" s="29">
        <f>'[6]OC SUMM'!$F$5</f>
        <v>1604.4929299999999</v>
      </c>
      <c r="P20" s="29">
        <v>0</v>
      </c>
      <c r="Q20" s="29">
        <f t="shared" si="0"/>
        <v>11666.35181328</v>
      </c>
      <c r="R20" s="29">
        <f>'[5]PR SUM'!$F$7</f>
        <v>1262.3397460000001</v>
      </c>
      <c r="S20" s="29">
        <f>'[5]OC SUMM'!$F$5</f>
        <v>3349.5990000000002</v>
      </c>
      <c r="T20" s="29">
        <v>0</v>
      </c>
      <c r="U20" s="29">
        <f t="shared" si="6"/>
        <v>16278.29055928</v>
      </c>
      <c r="V20" s="29">
        <f>'[10]PR FULL (2)'!$E$5</f>
        <v>1310.804637</v>
      </c>
      <c r="W20" s="29">
        <f>'[10]OC SUMM'!$E$5</f>
        <v>197.26624000000001</v>
      </c>
      <c r="X20" s="29">
        <v>0</v>
      </c>
      <c r="Y20" s="29">
        <f t="shared" si="7"/>
        <v>17786.36143628</v>
      </c>
      <c r="Z20" s="30">
        <f>1323402540.5/1000000</f>
        <v>1323.4025405</v>
      </c>
      <c r="AA20" s="29">
        <v>109.2</v>
      </c>
      <c r="AB20" s="29">
        <v>0</v>
      </c>
      <c r="AC20" s="29">
        <f t="shared" si="9"/>
        <v>19218.96397678</v>
      </c>
      <c r="AD20" s="30">
        <f>[17]PY300!$E$94</f>
        <v>1339.4515200000001</v>
      </c>
      <c r="AE20" s="30">
        <f>'[18]OC 300'!$G$447</f>
        <v>2340.01404</v>
      </c>
      <c r="AF20" s="29">
        <f>'[18]DEV 300'!$F$37</f>
        <v>500</v>
      </c>
      <c r="AG20" s="134">
        <f t="shared" si="10"/>
        <v>23398.42953678</v>
      </c>
      <c r="AH20" s="30">
        <f>[16]PY300!$G$2095</f>
        <v>599.16159100000004</v>
      </c>
      <c r="AI20" s="30">
        <f>[14]OC300!$J$199</f>
        <v>232.946</v>
      </c>
      <c r="AJ20" s="29">
        <f>[14]CAP300!$I$44</f>
        <v>1000</v>
      </c>
      <c r="AK20" s="29">
        <f t="shared" si="11"/>
        <v>25230.53712778</v>
      </c>
      <c r="AL20" s="174">
        <v>1186.943354</v>
      </c>
      <c r="AM20" s="29">
        <v>518.05499999999995</v>
      </c>
      <c r="AN20" s="29">
        <v>0</v>
      </c>
      <c r="AO20" s="166">
        <f t="shared" si="2"/>
        <v>26935.53548178</v>
      </c>
      <c r="AP20" s="183">
        <v>1360.4200599999999</v>
      </c>
      <c r="AQ20" s="174">
        <v>2586.7183279999999</v>
      </c>
      <c r="AR20" s="29">
        <v>0</v>
      </c>
      <c r="AS20" s="166">
        <f t="shared" si="8"/>
        <v>30882.673869779999</v>
      </c>
      <c r="AT20" s="183">
        <v>1191.8888489999999</v>
      </c>
      <c r="AU20" s="174">
        <v>1657.8773610000001</v>
      </c>
      <c r="AV20" s="29">
        <v>0</v>
      </c>
      <c r="AW20" s="166">
        <f>AS20+AT20+AU20+AV20</f>
        <v>33732.440079779997</v>
      </c>
    </row>
    <row r="21" spans="1:51" ht="11.5">
      <c r="A21" s="133"/>
      <c r="B21" s="29"/>
      <c r="C21" s="34"/>
      <c r="D21" s="32"/>
      <c r="E21" s="29">
        <f t="shared" si="3"/>
        <v>0</v>
      </c>
      <c r="F21" s="29">
        <v>0</v>
      </c>
      <c r="G21" s="29">
        <v>0</v>
      </c>
      <c r="H21" s="31">
        <v>0</v>
      </c>
      <c r="I21" s="29">
        <f t="shared" si="4"/>
        <v>0</v>
      </c>
      <c r="J21" s="29">
        <v>0</v>
      </c>
      <c r="K21" s="29">
        <v>0</v>
      </c>
      <c r="L21" s="29">
        <v>0</v>
      </c>
      <c r="M21" s="29">
        <f t="shared" si="5"/>
        <v>0</v>
      </c>
      <c r="N21" s="29">
        <v>0</v>
      </c>
      <c r="O21" s="29">
        <v>0</v>
      </c>
      <c r="P21" s="29">
        <v>0</v>
      </c>
      <c r="Q21" s="29">
        <f t="shared" si="0"/>
        <v>0</v>
      </c>
      <c r="R21" s="29">
        <v>0</v>
      </c>
      <c r="S21" s="29">
        <v>0</v>
      </c>
      <c r="T21" s="29">
        <v>0</v>
      </c>
      <c r="U21" s="29">
        <f t="shared" si="6"/>
        <v>0</v>
      </c>
      <c r="V21" s="29">
        <v>0</v>
      </c>
      <c r="W21" s="29">
        <v>0</v>
      </c>
      <c r="X21" s="29">
        <v>0</v>
      </c>
      <c r="Y21" s="29">
        <f t="shared" si="7"/>
        <v>0</v>
      </c>
      <c r="Z21" s="29">
        <v>0</v>
      </c>
      <c r="AA21" s="29">
        <v>0</v>
      </c>
      <c r="AB21" s="29">
        <v>0</v>
      </c>
      <c r="AC21" s="29">
        <f t="shared" si="9"/>
        <v>0</v>
      </c>
      <c r="AD21" s="29">
        <v>0</v>
      </c>
      <c r="AE21" s="30">
        <v>0</v>
      </c>
      <c r="AF21" s="29"/>
      <c r="AG21" s="134">
        <f t="shared" si="10"/>
        <v>0</v>
      </c>
      <c r="AH21" s="30">
        <v>0</v>
      </c>
      <c r="AI21" s="30">
        <v>0</v>
      </c>
      <c r="AJ21" s="30">
        <v>0</v>
      </c>
      <c r="AK21" s="29">
        <f t="shared" si="11"/>
        <v>0</v>
      </c>
      <c r="AL21" s="158">
        <v>0</v>
      </c>
      <c r="AM21" s="30">
        <v>0</v>
      </c>
      <c r="AN21" s="30">
        <v>0</v>
      </c>
      <c r="AO21" s="166"/>
      <c r="AP21" s="184"/>
      <c r="AQ21" s="158"/>
      <c r="AR21" s="30"/>
      <c r="AS21" s="166"/>
      <c r="AT21" s="184">
        <v>0</v>
      </c>
      <c r="AU21" s="158">
        <v>0</v>
      </c>
      <c r="AV21" s="30">
        <v>0</v>
      </c>
      <c r="AW21" s="166"/>
    </row>
    <row r="22" spans="1:51" ht="12.5">
      <c r="A22" s="135" t="s">
        <v>60</v>
      </c>
      <c r="B22" s="29">
        <v>404.967555</v>
      </c>
      <c r="C22" s="34">
        <v>690.42100000000005</v>
      </c>
      <c r="D22" s="31">
        <v>0</v>
      </c>
      <c r="E22" s="29">
        <f t="shared" si="3"/>
        <v>1095.388555</v>
      </c>
      <c r="F22" s="29">
        <v>841.58477300000004</v>
      </c>
      <c r="G22" s="29">
        <v>904.46699999999998</v>
      </c>
      <c r="H22" s="31">
        <v>500</v>
      </c>
      <c r="I22" s="29">
        <f t="shared" si="4"/>
        <v>3341.4403280000001</v>
      </c>
      <c r="J22" s="29">
        <v>504.99602900000002</v>
      </c>
      <c r="K22" s="29">
        <v>504.99602900000002</v>
      </c>
      <c r="L22" s="29">
        <f>'[4]OC SUMM'!$E$7</f>
        <v>2530.9454999999998</v>
      </c>
      <c r="M22" s="29">
        <f t="shared" si="5"/>
        <v>6882.3778860000002</v>
      </c>
      <c r="N22" s="29">
        <f>[6]SUMM!$E$4</f>
        <v>453.91146800000001</v>
      </c>
      <c r="O22" s="29">
        <v>0</v>
      </c>
      <c r="P22" s="29">
        <v>0</v>
      </c>
      <c r="Q22" s="29">
        <f t="shared" si="0"/>
        <v>7336.2893540000005</v>
      </c>
      <c r="R22" s="29">
        <f>'[5]PR SUM'!$F$8</f>
        <v>439.590172</v>
      </c>
      <c r="S22" s="29">
        <v>0</v>
      </c>
      <c r="T22" s="29">
        <v>0</v>
      </c>
      <c r="U22" s="29">
        <f t="shared" si="6"/>
        <v>7775.8795260000006</v>
      </c>
      <c r="V22" s="29">
        <f>'[10]PR FULL (2)'!$E$4</f>
        <v>488.15344499999998</v>
      </c>
      <c r="W22" s="29">
        <v>0</v>
      </c>
      <c r="X22" s="29">
        <v>0</v>
      </c>
      <c r="Y22" s="29">
        <f t="shared" si="7"/>
        <v>8264.0329710000005</v>
      </c>
      <c r="Z22" s="29">
        <f>475433646.5/1000000</f>
        <v>475.43364650000001</v>
      </c>
      <c r="AA22" s="29">
        <v>58</v>
      </c>
      <c r="AB22" s="29">
        <v>0</v>
      </c>
      <c r="AC22" s="29">
        <f t="shared" si="9"/>
        <v>8797.4666175000002</v>
      </c>
      <c r="AD22" s="29">
        <f>[17]PY300!$E$95</f>
        <v>518.87624700000003</v>
      </c>
      <c r="AE22" s="30">
        <f>'[18]OC 300'!$G$448</f>
        <v>0.50595840000000003</v>
      </c>
      <c r="AF22" s="29">
        <f>'[18]DEV 300'!$F$38</f>
        <v>396.85</v>
      </c>
      <c r="AG22" s="134">
        <f t="shared" si="10"/>
        <v>9713.6988228999999</v>
      </c>
      <c r="AH22" s="30">
        <f>[16]PY300!$G$2096</f>
        <v>530.28518799999995</v>
      </c>
      <c r="AI22" s="30">
        <v>0</v>
      </c>
      <c r="AJ22" s="29">
        <v>0</v>
      </c>
      <c r="AK22" s="29">
        <f t="shared" si="11"/>
        <v>10243.9840109</v>
      </c>
      <c r="AL22" s="174">
        <v>498.11509799999999</v>
      </c>
      <c r="AM22" s="30">
        <v>0</v>
      </c>
      <c r="AN22" s="29">
        <v>0</v>
      </c>
      <c r="AO22" s="166">
        <f t="shared" si="2"/>
        <v>10742.0991089</v>
      </c>
      <c r="AP22" s="183">
        <v>555.47009100000002</v>
      </c>
      <c r="AQ22" s="174">
        <v>2225.9454999999998</v>
      </c>
      <c r="AR22" s="29">
        <v>0</v>
      </c>
      <c r="AS22" s="166">
        <f t="shared" si="8"/>
        <v>13523.514699899999</v>
      </c>
      <c r="AT22" s="183">
        <v>305.1706805</v>
      </c>
      <c r="AU22" s="174">
        <v>0</v>
      </c>
      <c r="AV22" s="29">
        <v>0</v>
      </c>
      <c r="AW22" s="166">
        <f>AS22+AT22+AU22+AV22</f>
        <v>13828.685380399998</v>
      </c>
    </row>
    <row r="23" spans="1:51" ht="11.5">
      <c r="A23" s="135"/>
      <c r="B23" s="29"/>
      <c r="C23" s="34"/>
      <c r="D23" s="31"/>
      <c r="E23" s="29">
        <f t="shared" si="3"/>
        <v>0</v>
      </c>
      <c r="F23" s="29">
        <v>0</v>
      </c>
      <c r="G23" s="29">
        <v>0</v>
      </c>
      <c r="H23" s="31">
        <v>0</v>
      </c>
      <c r="I23" s="29">
        <f t="shared" si="4"/>
        <v>0</v>
      </c>
      <c r="J23" s="29">
        <v>0</v>
      </c>
      <c r="K23" s="29">
        <v>0</v>
      </c>
      <c r="L23" s="29">
        <v>0</v>
      </c>
      <c r="M23" s="29">
        <f t="shared" si="5"/>
        <v>0</v>
      </c>
      <c r="N23" s="29">
        <v>0</v>
      </c>
      <c r="O23" s="29">
        <v>0</v>
      </c>
      <c r="P23" s="29">
        <v>0</v>
      </c>
      <c r="Q23" s="29">
        <f t="shared" si="0"/>
        <v>0</v>
      </c>
      <c r="R23" s="29">
        <v>0</v>
      </c>
      <c r="S23" s="29">
        <v>0</v>
      </c>
      <c r="T23" s="29">
        <v>0</v>
      </c>
      <c r="U23" s="29">
        <f t="shared" si="6"/>
        <v>0</v>
      </c>
      <c r="V23" s="29">
        <v>0</v>
      </c>
      <c r="W23" s="29">
        <v>0</v>
      </c>
      <c r="X23" s="29">
        <v>0</v>
      </c>
      <c r="Y23" s="29">
        <f t="shared" si="7"/>
        <v>0</v>
      </c>
      <c r="Z23" s="29">
        <v>0</v>
      </c>
      <c r="AA23" s="29">
        <v>0</v>
      </c>
      <c r="AB23" s="29">
        <v>0</v>
      </c>
      <c r="AC23" s="29">
        <f t="shared" si="9"/>
        <v>0</v>
      </c>
      <c r="AD23" s="29">
        <v>0</v>
      </c>
      <c r="AE23" s="30">
        <v>0</v>
      </c>
      <c r="AF23" s="29"/>
      <c r="AG23" s="134">
        <f t="shared" si="10"/>
        <v>0</v>
      </c>
      <c r="AH23" s="30">
        <v>0</v>
      </c>
      <c r="AI23" s="30">
        <v>0</v>
      </c>
      <c r="AJ23" s="30">
        <v>0</v>
      </c>
      <c r="AK23" s="29">
        <f t="shared" si="11"/>
        <v>0</v>
      </c>
      <c r="AL23" s="158">
        <v>0</v>
      </c>
      <c r="AM23" s="30">
        <v>0</v>
      </c>
      <c r="AN23" s="30">
        <v>0</v>
      </c>
      <c r="AO23" s="166"/>
      <c r="AP23" s="184"/>
      <c r="AQ23" s="158"/>
      <c r="AR23" s="30"/>
      <c r="AS23" s="166"/>
      <c r="AT23" s="184">
        <v>0</v>
      </c>
      <c r="AU23" s="158">
        <v>0</v>
      </c>
      <c r="AV23" s="30">
        <v>0</v>
      </c>
      <c r="AW23" s="166"/>
    </row>
    <row r="24" spans="1:51" ht="11.5">
      <c r="A24" s="133" t="s">
        <v>65</v>
      </c>
      <c r="B24" s="29">
        <v>0</v>
      </c>
      <c r="C24" s="34">
        <v>4902</v>
      </c>
      <c r="D24" s="31">
        <v>0</v>
      </c>
      <c r="E24" s="29">
        <f t="shared" si="3"/>
        <v>4902</v>
      </c>
      <c r="F24" s="29">
        <v>0</v>
      </c>
      <c r="G24" s="29">
        <v>747.32552279999993</v>
      </c>
      <c r="H24" s="31">
        <v>0</v>
      </c>
      <c r="I24" s="29">
        <f t="shared" si="4"/>
        <v>5649.3255227999998</v>
      </c>
      <c r="J24" s="29">
        <v>0</v>
      </c>
      <c r="K24" s="29">
        <v>0</v>
      </c>
      <c r="L24" s="29">
        <f>'[4]OC SUMM'!$E$5</f>
        <v>3290.94429524</v>
      </c>
      <c r="M24" s="29">
        <f t="shared" si="5"/>
        <v>8940.2698180400002</v>
      </c>
      <c r="N24" s="29">
        <v>0</v>
      </c>
      <c r="O24" s="29">
        <f>'[6]OC SUMM'!$F$4</f>
        <v>3632.1048159699999</v>
      </c>
      <c r="P24" s="29">
        <v>0</v>
      </c>
      <c r="Q24" s="29">
        <f t="shared" si="0"/>
        <v>12572.374634010001</v>
      </c>
      <c r="R24" s="29">
        <v>0</v>
      </c>
      <c r="S24" s="29">
        <f>'[5]OC SUMM'!$F$4</f>
        <v>2396.2894685700003</v>
      </c>
      <c r="T24" s="29">
        <v>0</v>
      </c>
      <c r="U24" s="29">
        <f t="shared" si="6"/>
        <v>14968.664102580002</v>
      </c>
      <c r="V24" s="29">
        <v>0</v>
      </c>
      <c r="W24" s="29">
        <f>'[10]OC SUMM'!$E$3</f>
        <v>1681.93533166</v>
      </c>
      <c r="X24" s="29">
        <v>0</v>
      </c>
      <c r="Y24" s="29">
        <f t="shared" si="7"/>
        <v>16650.599434240001</v>
      </c>
      <c r="Z24" s="29">
        <v>0</v>
      </c>
      <c r="AA24" s="29">
        <v>0</v>
      </c>
      <c r="AB24" s="29">
        <v>0</v>
      </c>
      <c r="AC24" s="29">
        <f t="shared" si="9"/>
        <v>16650.599434240001</v>
      </c>
      <c r="AD24" s="29">
        <v>0</v>
      </c>
      <c r="AE24" s="30">
        <v>0</v>
      </c>
      <c r="AF24" s="29"/>
      <c r="AG24" s="134">
        <f t="shared" si="10"/>
        <v>16650.599434240001</v>
      </c>
      <c r="AH24" s="30">
        <v>0</v>
      </c>
      <c r="AI24" s="30">
        <f>[14]OC300!$J$201</f>
        <v>4312.2508662</v>
      </c>
      <c r="AJ24" s="29">
        <v>0</v>
      </c>
      <c r="AK24" s="29">
        <f t="shared" si="11"/>
        <v>20962.850300440001</v>
      </c>
      <c r="AL24" s="158">
        <v>0</v>
      </c>
      <c r="AM24" s="30">
        <v>0</v>
      </c>
      <c r="AN24" s="29">
        <v>0</v>
      </c>
      <c r="AO24" s="166">
        <f t="shared" si="2"/>
        <v>20962.850300440001</v>
      </c>
      <c r="AP24" s="184">
        <v>0</v>
      </c>
      <c r="AQ24" s="158">
        <v>0</v>
      </c>
      <c r="AR24" s="29">
        <v>0</v>
      </c>
      <c r="AS24" s="166">
        <f t="shared" si="8"/>
        <v>20962.850300440001</v>
      </c>
      <c r="AT24" s="184">
        <v>0</v>
      </c>
      <c r="AU24" s="158">
        <v>4464.9052856799999</v>
      </c>
      <c r="AV24" s="29">
        <v>0</v>
      </c>
      <c r="AW24" s="166">
        <f>AS24+AT24+AU24+AV24</f>
        <v>25427.755586120002</v>
      </c>
    </row>
    <row r="25" spans="1:51" ht="11.5">
      <c r="A25" s="133"/>
      <c r="B25" s="29"/>
      <c r="C25" s="34"/>
      <c r="D25" s="32"/>
      <c r="E25" s="29">
        <f t="shared" si="3"/>
        <v>0</v>
      </c>
      <c r="F25" s="29">
        <v>0</v>
      </c>
      <c r="G25" s="29">
        <v>0</v>
      </c>
      <c r="H25" s="31">
        <v>0</v>
      </c>
      <c r="I25" s="29">
        <f t="shared" si="4"/>
        <v>0</v>
      </c>
      <c r="J25" s="29">
        <v>0</v>
      </c>
      <c r="K25" s="29">
        <v>0</v>
      </c>
      <c r="L25" s="29">
        <v>0</v>
      </c>
      <c r="M25" s="29">
        <f t="shared" si="5"/>
        <v>0</v>
      </c>
      <c r="N25" s="29">
        <v>0</v>
      </c>
      <c r="O25" s="29">
        <v>0</v>
      </c>
      <c r="P25" s="29">
        <v>0</v>
      </c>
      <c r="Q25" s="29">
        <f t="shared" si="0"/>
        <v>0</v>
      </c>
      <c r="R25" s="29">
        <v>0</v>
      </c>
      <c r="S25" s="29">
        <v>0</v>
      </c>
      <c r="T25" s="29">
        <v>0</v>
      </c>
      <c r="U25" s="29">
        <f t="shared" si="6"/>
        <v>0</v>
      </c>
      <c r="V25" s="29">
        <v>0</v>
      </c>
      <c r="W25" s="29">
        <v>0</v>
      </c>
      <c r="X25" s="29">
        <v>0</v>
      </c>
      <c r="Y25" s="29">
        <f t="shared" si="7"/>
        <v>0</v>
      </c>
      <c r="Z25" s="29">
        <v>0</v>
      </c>
      <c r="AA25" s="29">
        <v>0</v>
      </c>
      <c r="AB25" s="29">
        <v>0</v>
      </c>
      <c r="AC25" s="29">
        <f t="shared" si="9"/>
        <v>0</v>
      </c>
      <c r="AD25" s="29">
        <v>0</v>
      </c>
      <c r="AE25" s="30">
        <v>0</v>
      </c>
      <c r="AF25" s="29"/>
      <c r="AG25" s="134">
        <f t="shared" si="10"/>
        <v>0</v>
      </c>
      <c r="AH25" s="30">
        <v>0</v>
      </c>
      <c r="AI25" s="30">
        <v>0</v>
      </c>
      <c r="AJ25" s="29">
        <v>0</v>
      </c>
      <c r="AK25" s="29">
        <f t="shared" si="11"/>
        <v>0</v>
      </c>
      <c r="AL25" s="158">
        <v>0</v>
      </c>
      <c r="AM25" s="30">
        <v>0</v>
      </c>
      <c r="AN25" s="29">
        <v>0</v>
      </c>
      <c r="AO25" s="166"/>
      <c r="AP25" s="184"/>
      <c r="AQ25" s="158"/>
      <c r="AR25" s="29"/>
      <c r="AS25" s="166"/>
      <c r="AT25" s="184">
        <v>0</v>
      </c>
      <c r="AU25" s="158">
        <v>0</v>
      </c>
      <c r="AV25" s="29">
        <v>0</v>
      </c>
      <c r="AW25" s="166"/>
    </row>
    <row r="26" spans="1:51" ht="12.5">
      <c r="A26" s="133" t="s">
        <v>51</v>
      </c>
      <c r="B26" s="29">
        <v>17267.509814000001</v>
      </c>
      <c r="C26" s="34">
        <v>21062.653699350001</v>
      </c>
      <c r="D26" s="31">
        <v>58122.841496000001</v>
      </c>
      <c r="E26" s="29">
        <f t="shared" si="3"/>
        <v>96453.005009350003</v>
      </c>
      <c r="F26" s="29">
        <v>17114.989724999999</v>
      </c>
      <c r="G26" s="29">
        <v>72720.365268969996</v>
      </c>
      <c r="H26" s="31">
        <v>56932.626031</v>
      </c>
      <c r="I26" s="29">
        <f t="shared" si="4"/>
        <v>243220.98603432</v>
      </c>
      <c r="J26" s="29">
        <v>16273.441213</v>
      </c>
      <c r="K26" s="29">
        <v>16273.441213</v>
      </c>
      <c r="L26" s="29">
        <f>'[4]OC SUMM'!$E$6</f>
        <v>98716.644126519997</v>
      </c>
      <c r="M26" s="29">
        <f t="shared" si="5"/>
        <v>374484.51258683996</v>
      </c>
      <c r="N26" s="29">
        <f>[6]SUMM!$E$3</f>
        <v>17179.266185</v>
      </c>
      <c r="O26" s="29">
        <f>'[6]OC SUMM'!$F$3</f>
        <v>55977.120355800005</v>
      </c>
      <c r="P26" s="29">
        <f>'[6]CAPEX summ'!$E$3</f>
        <v>66778.368939330001</v>
      </c>
      <c r="Q26" s="29">
        <f t="shared" si="0"/>
        <v>514419.26806696999</v>
      </c>
      <c r="R26" s="29">
        <f>'[5]PR SUM'!$F$9</f>
        <v>15989.658249</v>
      </c>
      <c r="S26" s="29">
        <f>'[5]OC SUMM'!$F$3</f>
        <v>68710.464898999999</v>
      </c>
      <c r="T26" s="29">
        <f>'[5]CAPEX SUMM'!$F$3</f>
        <v>105100.02686605</v>
      </c>
      <c r="U26" s="29">
        <f t="shared" si="6"/>
        <v>704219.41808102001</v>
      </c>
      <c r="V26" s="29">
        <f>'[10]PR FULL (2)'!$E$3</f>
        <v>18869.87083</v>
      </c>
      <c r="W26" s="29">
        <f>'[10]OC SUMM'!$E$4</f>
        <v>69283.06397701001</v>
      </c>
      <c r="X26" s="29">
        <f>'[10]CAPX SUMM'!$E$3</f>
        <v>172145.24712245</v>
      </c>
      <c r="Y26" s="29">
        <f t="shared" si="7"/>
        <v>964517.60001048003</v>
      </c>
      <c r="Z26" s="29">
        <f>19273247861/1000000</f>
        <v>19273.247861</v>
      </c>
      <c r="AA26" s="29">
        <v>39831</v>
      </c>
      <c r="AB26" s="29">
        <f>21741747525.48/1000000</f>
        <v>21741.747525480001</v>
      </c>
      <c r="AC26" s="29">
        <f t="shared" si="9"/>
        <v>1045363.59539696</v>
      </c>
      <c r="AD26" s="29">
        <f>[17]PY300!$E$96</f>
        <v>17109.939415000001</v>
      </c>
      <c r="AE26" s="30">
        <f>'[18]OC 300'!$G$446</f>
        <v>81446.355866859987</v>
      </c>
      <c r="AF26" s="29">
        <f>'[18]DEV 300'!$F$39</f>
        <v>43812.898016410007</v>
      </c>
      <c r="AG26" s="134">
        <f t="shared" si="10"/>
        <v>1187732.7886952299</v>
      </c>
      <c r="AH26" s="30">
        <f>[16]PY300!$G$2097</f>
        <v>17867.301089000001</v>
      </c>
      <c r="AI26" s="30">
        <f>[14]OC300!$J$200</f>
        <v>40351.605146580005</v>
      </c>
      <c r="AJ26" s="29">
        <f>[14]CAP300!$I$45</f>
        <v>36458.767315159996</v>
      </c>
      <c r="AK26" s="29">
        <f t="shared" si="11"/>
        <v>1282410.4622459698</v>
      </c>
      <c r="AL26" s="174">
        <v>16725.848545000001</v>
      </c>
      <c r="AM26" s="29">
        <v>34700.743390279997</v>
      </c>
      <c r="AN26" s="29">
        <v>4075.5355551299995</v>
      </c>
      <c r="AO26" s="166">
        <f t="shared" si="2"/>
        <v>1337912.5897363799</v>
      </c>
      <c r="AP26" s="183">
        <v>17323.554097</v>
      </c>
      <c r="AQ26" s="181">
        <v>67619.135949110001</v>
      </c>
      <c r="AR26" s="181">
        <v>124587.73002282</v>
      </c>
      <c r="AS26" s="166">
        <f t="shared" si="8"/>
        <v>1547443.0098053098</v>
      </c>
      <c r="AT26" s="183">
        <v>14025.391518500001</v>
      </c>
      <c r="AU26" s="181">
        <v>232465.68873580996</v>
      </c>
      <c r="AV26" s="181">
        <v>33459.431937420006</v>
      </c>
      <c r="AW26" s="166">
        <f>AS26+AT26+AU26+AV26</f>
        <v>1827393.5219970397</v>
      </c>
    </row>
    <row r="27" spans="1:51" ht="11.5">
      <c r="A27" s="133"/>
      <c r="B27" s="29"/>
      <c r="C27" s="33"/>
      <c r="D27" s="31"/>
      <c r="E27" s="29">
        <f t="shared" si="3"/>
        <v>0</v>
      </c>
      <c r="F27" s="29">
        <v>0</v>
      </c>
      <c r="G27" s="29">
        <v>0</v>
      </c>
      <c r="H27" s="31">
        <v>0</v>
      </c>
      <c r="I27" s="29">
        <f t="shared" si="4"/>
        <v>0</v>
      </c>
      <c r="J27" s="29">
        <v>0</v>
      </c>
      <c r="K27" s="29">
        <v>0</v>
      </c>
      <c r="L27" s="29">
        <v>0</v>
      </c>
      <c r="M27" s="29">
        <f t="shared" si="5"/>
        <v>0</v>
      </c>
      <c r="N27" s="29">
        <v>0</v>
      </c>
      <c r="O27" s="29">
        <v>0</v>
      </c>
      <c r="P27" s="29">
        <v>0</v>
      </c>
      <c r="Q27" s="29">
        <f t="shared" si="0"/>
        <v>0</v>
      </c>
      <c r="R27" s="29">
        <v>0</v>
      </c>
      <c r="S27" s="29">
        <v>0</v>
      </c>
      <c r="T27" s="29">
        <v>0</v>
      </c>
      <c r="U27" s="29">
        <f t="shared" si="6"/>
        <v>0</v>
      </c>
      <c r="V27" s="29">
        <v>0</v>
      </c>
      <c r="W27" s="29">
        <v>0</v>
      </c>
      <c r="X27" s="29">
        <v>0</v>
      </c>
      <c r="Y27" s="29">
        <f t="shared" si="7"/>
        <v>0</v>
      </c>
      <c r="Z27" s="29">
        <v>0</v>
      </c>
      <c r="AA27" s="29">
        <v>0</v>
      </c>
      <c r="AB27" s="29">
        <v>0</v>
      </c>
      <c r="AC27" s="29">
        <f t="shared" si="9"/>
        <v>0</v>
      </c>
      <c r="AD27" s="29">
        <v>0</v>
      </c>
      <c r="AE27" s="30">
        <v>0</v>
      </c>
      <c r="AF27" s="29"/>
      <c r="AG27" s="134">
        <f t="shared" si="10"/>
        <v>0</v>
      </c>
      <c r="AH27" s="30">
        <v>0</v>
      </c>
      <c r="AI27" s="30">
        <v>0</v>
      </c>
      <c r="AJ27" s="30">
        <v>0</v>
      </c>
      <c r="AK27" s="29">
        <f t="shared" si="11"/>
        <v>0</v>
      </c>
      <c r="AL27" s="158">
        <v>0</v>
      </c>
      <c r="AM27" s="30">
        <v>0</v>
      </c>
      <c r="AN27" s="30">
        <v>0</v>
      </c>
      <c r="AO27" s="134"/>
      <c r="AP27" s="158"/>
      <c r="AQ27" s="30"/>
      <c r="AR27" s="30"/>
      <c r="AS27" s="166"/>
      <c r="AT27" s="158">
        <v>0</v>
      </c>
      <c r="AU27" s="30">
        <v>0</v>
      </c>
      <c r="AV27" s="30">
        <v>0</v>
      </c>
      <c r="AW27" s="166"/>
    </row>
    <row r="28" spans="1:51" ht="12.5">
      <c r="A28" s="136" t="s">
        <v>52</v>
      </c>
      <c r="B28" s="29">
        <v>86247.858739000003</v>
      </c>
      <c r="C28" s="35">
        <v>183302.15539504998</v>
      </c>
      <c r="D28" s="36">
        <v>8384.0102630000001</v>
      </c>
      <c r="E28" s="29">
        <f t="shared" si="3"/>
        <v>277934.02439704997</v>
      </c>
      <c r="F28" s="29">
        <v>84750.232497999998</v>
      </c>
      <c r="G28" s="35">
        <v>252104.82806627004</v>
      </c>
      <c r="H28" s="31">
        <v>8532.1891930000002</v>
      </c>
      <c r="I28" s="29">
        <f t="shared" si="4"/>
        <v>623321.27415432001</v>
      </c>
      <c r="J28" s="29">
        <v>179360.8333423</v>
      </c>
      <c r="K28" s="29">
        <v>129360.8333423</v>
      </c>
      <c r="L28" s="68">
        <f>'[4]OC SUMM'!$E$4</f>
        <v>258972.46810755998</v>
      </c>
      <c r="M28" s="29">
        <f t="shared" si="5"/>
        <v>1191015.4089464801</v>
      </c>
      <c r="N28" s="29">
        <f>[6]SUMM!$E$2</f>
        <v>95663.014488999994</v>
      </c>
      <c r="O28" s="29">
        <f>'[6]OC SUMM'!$F$2</f>
        <v>260286.06418441</v>
      </c>
      <c r="P28" s="68">
        <f>'[6]CAPEX summ'!$E$2</f>
        <v>6197.32</v>
      </c>
      <c r="Q28" s="29">
        <f t="shared" si="0"/>
        <v>1553161.8076198902</v>
      </c>
      <c r="R28" s="29">
        <f>'[5]PR SUM'!$F$10</f>
        <v>93483.476945959992</v>
      </c>
      <c r="S28" s="29">
        <f>'[5]OC SUMM'!$F$2</f>
        <v>180464.24649029001</v>
      </c>
      <c r="T28" s="68">
        <f>'[5]CAPEX SUMM'!$F$2</f>
        <v>17014.030903999999</v>
      </c>
      <c r="U28" s="29">
        <f t="shared" si="6"/>
        <v>1844123.56196014</v>
      </c>
      <c r="V28" s="29">
        <f>'[10]PR FULL (2)'!$E$2</f>
        <v>90798.693092320013</v>
      </c>
      <c r="W28" s="29">
        <f>'[10]OC SUMM'!$E$2</f>
        <v>161903.82125064998</v>
      </c>
      <c r="X28" s="68">
        <f>'[10]CAPX SUMM'!$E$2</f>
        <v>1553.1849999999999</v>
      </c>
      <c r="Y28" s="29">
        <f t="shared" si="7"/>
        <v>2098379.26130311</v>
      </c>
      <c r="Z28" s="29">
        <v>95609.3</v>
      </c>
      <c r="AA28" s="29">
        <v>133234.69</v>
      </c>
      <c r="AB28" s="68">
        <f>23040556000/1000000</f>
        <v>23040.556</v>
      </c>
      <c r="AC28" s="29">
        <f t="shared" si="9"/>
        <v>2350263.8073031097</v>
      </c>
      <c r="AD28" s="29">
        <f>[17]PY300!$E$97</f>
        <v>81053.156449000002</v>
      </c>
      <c r="AE28" s="30">
        <f>'[18]OC 300'!$G$449</f>
        <v>164478.29554980999</v>
      </c>
      <c r="AF28" s="68">
        <f>'[18]DEV 300'!$F$40</f>
        <v>3685.5301450000002</v>
      </c>
      <c r="AG28" s="134">
        <f t="shared" si="10"/>
        <v>2599480.7894469197</v>
      </c>
      <c r="AH28" s="30">
        <f>[16]PY300!$G$2098</f>
        <v>97628.758111000003</v>
      </c>
      <c r="AI28" s="30">
        <f>[14]OC300!$J$202</f>
        <v>163021.57857859004</v>
      </c>
      <c r="AJ28" s="68">
        <f>[14]CAP300!$I$46</f>
        <v>6522.5475999999999</v>
      </c>
      <c r="AK28" s="29">
        <f t="shared" si="11"/>
        <v>2866653.6737365099</v>
      </c>
      <c r="AL28" s="174">
        <v>96355.519894739991</v>
      </c>
      <c r="AM28" s="169">
        <v>187530.21507391997</v>
      </c>
      <c r="AN28" s="167">
        <v>2678.1626000000001</v>
      </c>
      <c r="AO28" s="134">
        <f t="shared" si="2"/>
        <v>3153217.5713051697</v>
      </c>
      <c r="AP28" s="185">
        <f>112905.42194486+39.95</f>
        <v>112945.37194486</v>
      </c>
      <c r="AQ28" s="174">
        <v>147714.47770454999</v>
      </c>
      <c r="AR28" s="167">
        <v>65572.103300000002</v>
      </c>
      <c r="AS28" s="166">
        <v>3022737.6033055512</v>
      </c>
      <c r="AT28" s="185">
        <v>101636.29316677</v>
      </c>
      <c r="AU28" s="174">
        <v>93510.486470660006</v>
      </c>
      <c r="AV28" s="167">
        <v>0</v>
      </c>
      <c r="AW28" s="166">
        <f>AS28+AT28+AU28+AV28</f>
        <v>3217884.3829429816</v>
      </c>
    </row>
    <row r="29" spans="1:51" ht="22.5" customHeight="1" thickBot="1">
      <c r="A29" s="194" t="s">
        <v>53</v>
      </c>
      <c r="B29" s="195">
        <f t="shared" ref="B29:I29" si="12">SUM(B10:B28)</f>
        <v>281995.208377</v>
      </c>
      <c r="C29" s="195">
        <f t="shared" si="12"/>
        <v>254395.15317065999</v>
      </c>
      <c r="D29" s="195">
        <f t="shared" si="12"/>
        <v>70643.795161920003</v>
      </c>
      <c r="E29" s="195">
        <f t="shared" si="12"/>
        <v>607034.15670957998</v>
      </c>
      <c r="F29" s="195">
        <f t="shared" si="12"/>
        <v>285681.60279799998</v>
      </c>
      <c r="G29" s="195">
        <f t="shared" si="12"/>
        <v>389721.80629608</v>
      </c>
      <c r="H29" s="195">
        <f t="shared" si="12"/>
        <v>77031.684555999993</v>
      </c>
      <c r="I29" s="195">
        <f t="shared" si="12"/>
        <v>1359469.25035966</v>
      </c>
      <c r="J29" s="195">
        <f t="shared" ref="J29:Q29" si="13">SUM(J10:J28)</f>
        <v>394574.10863630002</v>
      </c>
      <c r="K29" s="195">
        <f t="shared" si="13"/>
        <v>344574.10863630002</v>
      </c>
      <c r="L29" s="195">
        <f t="shared" si="13"/>
        <v>518619.70296555001</v>
      </c>
      <c r="M29" s="195">
        <f t="shared" si="13"/>
        <v>2617237.1705978103</v>
      </c>
      <c r="N29" s="195">
        <f t="shared" si="13"/>
        <v>301491.90293700004</v>
      </c>
      <c r="O29" s="195">
        <f t="shared" si="13"/>
        <v>401826.08575760003</v>
      </c>
      <c r="P29" s="195">
        <f t="shared" si="13"/>
        <v>82402.08218165001</v>
      </c>
      <c r="Q29" s="195">
        <f t="shared" si="13"/>
        <v>3402957.2414740603</v>
      </c>
      <c r="R29" s="195">
        <f t="shared" ref="R29:Y29" si="14">SUM(R10:R28)</f>
        <v>314445.79472195997</v>
      </c>
      <c r="S29" s="195">
        <f t="shared" si="14"/>
        <v>430644.72625539999</v>
      </c>
      <c r="T29" s="195">
        <f t="shared" si="14"/>
        <v>188433.40678605001</v>
      </c>
      <c r="U29" s="195">
        <f t="shared" si="14"/>
        <v>4336481.1692374703</v>
      </c>
      <c r="V29" s="195">
        <f t="shared" si="14"/>
        <v>311029.52006731997</v>
      </c>
      <c r="W29" s="195">
        <f t="shared" si="14"/>
        <v>296689.60683722002</v>
      </c>
      <c r="X29" s="195">
        <f t="shared" si="14"/>
        <v>208655.89212244999</v>
      </c>
      <c r="Y29" s="195">
        <f t="shared" si="14"/>
        <v>5152856.1882644603</v>
      </c>
      <c r="Z29" s="195">
        <f t="shared" ref="Z29:AJ29" si="15">SUM(Z10:Z28)</f>
        <v>314838.60210700001</v>
      </c>
      <c r="AA29" s="195">
        <f t="shared" si="15"/>
        <v>236922.29</v>
      </c>
      <c r="AB29" s="195">
        <f t="shared" si="15"/>
        <v>133536.76222631001</v>
      </c>
      <c r="AC29" s="195">
        <f t="shared" si="15"/>
        <v>5838153.8425977696</v>
      </c>
      <c r="AD29" s="195">
        <f>SUM(AD10:AD28)</f>
        <v>362706.76551499998</v>
      </c>
      <c r="AE29" s="195">
        <f>SUM(AE10:AE28)</f>
        <v>340344.33096405998</v>
      </c>
      <c r="AF29" s="195">
        <f>SUM(AF10:AF28)</f>
        <v>200230.98069141002</v>
      </c>
      <c r="AG29" s="195">
        <f>SUM(AG10:AG28)</f>
        <v>6741435.9197682384</v>
      </c>
      <c r="AH29" s="196">
        <f t="shared" si="15"/>
        <v>305952.17634000001</v>
      </c>
      <c r="AI29" s="196">
        <f t="shared" si="15"/>
        <v>360399.81506013003</v>
      </c>
      <c r="AJ29" s="195">
        <f t="shared" si="15"/>
        <v>116046.08633477999</v>
      </c>
      <c r="AK29" s="195">
        <f t="shared" ref="AK29:AS29" si="16">SUM(AK10:AK28)</f>
        <v>7523833.9975031493</v>
      </c>
      <c r="AL29" s="193">
        <f t="shared" si="16"/>
        <v>313379.79910374002</v>
      </c>
      <c r="AM29" s="196">
        <f t="shared" si="16"/>
        <v>280841.40543600998</v>
      </c>
      <c r="AN29" s="195">
        <f t="shared" si="16"/>
        <v>17771.316901130001</v>
      </c>
      <c r="AO29" s="192">
        <f t="shared" si="16"/>
        <v>8135826.5189440297</v>
      </c>
      <c r="AP29" s="193">
        <f t="shared" si="16"/>
        <v>335767.96615086007</v>
      </c>
      <c r="AQ29" s="196">
        <f t="shared" si="16"/>
        <v>298886.90941597999</v>
      </c>
      <c r="AR29" s="195">
        <f t="shared" si="16"/>
        <v>222370.68195687002</v>
      </c>
      <c r="AS29" s="192">
        <f t="shared" si="16"/>
        <v>8536140.1555187106</v>
      </c>
      <c r="AT29" s="193">
        <f>SUM(AT10:AT28)</f>
        <v>309579.65162140003</v>
      </c>
      <c r="AU29" s="196">
        <f>SUM(AU10:AU28)</f>
        <v>366873.45982404996</v>
      </c>
      <c r="AV29" s="195">
        <f>SUM(AV10:AV28)</f>
        <v>44613.704573100003</v>
      </c>
      <c r="AW29" s="192">
        <f>SUM(AW10:AW28)</f>
        <v>9257206.9715372603</v>
      </c>
      <c r="AY29" s="204"/>
    </row>
    <row r="30" spans="1:51" ht="22.5" customHeight="1">
      <c r="A30" s="197"/>
      <c r="B30" s="198"/>
      <c r="C30" s="199"/>
      <c r="D30" s="198"/>
      <c r="E30" s="162"/>
      <c r="F30" s="200"/>
      <c r="G30" s="201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>
        <v>4310474</v>
      </c>
      <c r="Z30" s="160"/>
      <c r="AA30" s="202"/>
      <c r="AB30" s="203"/>
      <c r="AC30" s="160"/>
      <c r="AD30" s="160"/>
      <c r="AE30" s="160"/>
      <c r="AF30" s="160"/>
      <c r="AG30" s="160"/>
      <c r="AH30" s="161"/>
      <c r="AI30" s="161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3"/>
    </row>
    <row r="31" spans="1:51" ht="22.5" customHeight="1">
      <c r="A31" s="137"/>
      <c r="B31" s="18"/>
      <c r="C31" s="9"/>
      <c r="D31" s="14"/>
      <c r="E31" s="138"/>
      <c r="F31" s="17"/>
      <c r="G31" s="15"/>
      <c r="H31" s="140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7"/>
      <c r="X31" s="15"/>
      <c r="Y31" s="17">
        <f>Y29-Y30</f>
        <v>842382.1882644603</v>
      </c>
      <c r="Z31" s="17"/>
      <c r="AA31" s="15"/>
      <c r="AB31" s="15"/>
      <c r="AC31" s="15"/>
      <c r="AD31" s="15"/>
      <c r="AE31" s="15"/>
      <c r="AF31" s="15"/>
      <c r="AG31" s="15"/>
      <c r="AH31" s="12"/>
      <c r="AI31" s="150"/>
      <c r="AJ31" s="138"/>
      <c r="AK31" s="15"/>
      <c r="AL31" s="15"/>
      <c r="AM31" s="15"/>
      <c r="AN31" s="15"/>
      <c r="AO31" s="15"/>
      <c r="AP31" s="15"/>
      <c r="AQ31" s="15"/>
      <c r="AR31" s="15"/>
      <c r="AS31" s="15"/>
      <c r="AT31" s="17"/>
      <c r="AU31" s="15"/>
      <c r="AV31" s="15"/>
      <c r="AW31" s="141"/>
    </row>
    <row r="32" spans="1:51" ht="22.5" customHeight="1">
      <c r="A32" s="137"/>
      <c r="B32" s="7"/>
      <c r="C32" s="9"/>
      <c r="D32" s="14"/>
      <c r="E32" s="138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7"/>
      <c r="Y32" s="15"/>
      <c r="Z32" s="15"/>
      <c r="AA32" s="15"/>
      <c r="AB32" s="151"/>
      <c r="AC32" s="15"/>
      <c r="AD32" s="151"/>
      <c r="AE32" s="15"/>
      <c r="AF32" s="15"/>
      <c r="AG32" s="15"/>
      <c r="AH32" s="12"/>
      <c r="AI32" s="150"/>
      <c r="AJ32" s="138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41"/>
    </row>
    <row r="33" spans="1:49" ht="11.5">
      <c r="A33" s="142" t="s">
        <v>32</v>
      </c>
      <c r="B33" s="15"/>
      <c r="C33" s="10"/>
      <c r="D33" s="16"/>
      <c r="E33" s="138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39"/>
      <c r="Y33" s="15"/>
      <c r="Z33" s="15"/>
      <c r="AA33" s="15"/>
      <c r="AB33" s="15"/>
      <c r="AC33" s="15"/>
      <c r="AD33" s="15"/>
      <c r="AE33" s="15"/>
      <c r="AF33" s="15"/>
      <c r="AG33" s="15"/>
      <c r="AH33" s="12"/>
      <c r="AI33" s="150"/>
      <c r="AJ33" s="138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41"/>
    </row>
    <row r="34" spans="1:49">
      <c r="A34" s="143"/>
      <c r="B34" s="15"/>
      <c r="C34" s="10"/>
      <c r="D34" s="16"/>
      <c r="E34" s="138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2"/>
      <c r="AI34" s="150"/>
      <c r="AJ34" s="138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41"/>
    </row>
    <row r="35" spans="1:49">
      <c r="A35" s="143"/>
      <c r="B35" s="15"/>
      <c r="C35" s="10"/>
      <c r="D35" s="16"/>
      <c r="E35" s="138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2"/>
      <c r="AI35" s="150"/>
      <c r="AJ35" s="138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41"/>
    </row>
    <row r="36" spans="1:49">
      <c r="A36" s="143"/>
      <c r="B36" s="15"/>
      <c r="C36" s="11"/>
      <c r="D36" s="16"/>
      <c r="E36" s="138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2"/>
      <c r="AI36" s="12"/>
      <c r="AJ36" s="138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41"/>
    </row>
    <row r="37" spans="1:49">
      <c r="A37" s="143"/>
      <c r="B37" s="15"/>
      <c r="C37" s="11"/>
      <c r="D37" s="16"/>
      <c r="E37" s="138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2"/>
      <c r="AI37" s="12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41"/>
    </row>
    <row r="38" spans="1:49" ht="14">
      <c r="A38" s="120" t="s">
        <v>67</v>
      </c>
      <c r="B38" s="15"/>
      <c r="C38" s="10"/>
      <c r="D38" s="19"/>
      <c r="E38" s="138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2"/>
      <c r="AI38" s="12"/>
      <c r="AJ38" s="138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41"/>
    </row>
    <row r="39" spans="1:49" ht="11.5">
      <c r="A39" s="144" t="s">
        <v>66</v>
      </c>
      <c r="B39" s="15"/>
      <c r="C39" s="12"/>
      <c r="D39" s="17"/>
      <c r="E39" s="138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2"/>
      <c r="AI39" s="12"/>
      <c r="AJ39" s="138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41"/>
    </row>
    <row r="40" spans="1:49" ht="11" thickBot="1">
      <c r="A40" s="145"/>
      <c r="B40" s="146"/>
      <c r="C40" s="147"/>
      <c r="D40" s="146"/>
      <c r="E40" s="148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6"/>
      <c r="AC40" s="146"/>
      <c r="AD40" s="146"/>
      <c r="AE40" s="146"/>
      <c r="AF40" s="146"/>
      <c r="AG40" s="146"/>
      <c r="AH40" s="147"/>
      <c r="AI40" s="147"/>
      <c r="AJ40" s="152"/>
      <c r="AK40" s="146"/>
      <c r="AL40" s="146"/>
      <c r="AM40" s="146"/>
      <c r="AN40" s="146"/>
      <c r="AO40" s="146"/>
      <c r="AP40" s="146"/>
      <c r="AQ40" s="146"/>
      <c r="AR40" s="146"/>
      <c r="AS40" s="146"/>
      <c r="AT40" s="146"/>
      <c r="AU40" s="146"/>
      <c r="AV40" s="146"/>
      <c r="AW40" s="149"/>
    </row>
  </sheetData>
  <sheetProtection password="C58B" sheet="1" formatCells="0" formatColumns="0" formatRows="0" insertColumns="0" insertRows="0" insertHyperlinks="0" deleteColumns="0" deleteRows="0" sort="0" autoFilter="0" pivotTables="0"/>
  <mergeCells count="24">
    <mergeCell ref="B4:E4"/>
    <mergeCell ref="F3:I3"/>
    <mergeCell ref="F4:I4"/>
    <mergeCell ref="J3:M3"/>
    <mergeCell ref="J4:M4"/>
    <mergeCell ref="V3:Y3"/>
    <mergeCell ref="AD4:AG4"/>
    <mergeCell ref="AH3:AK3"/>
    <mergeCell ref="B3:E3"/>
    <mergeCell ref="N3:Q3"/>
    <mergeCell ref="N4:Q4"/>
    <mergeCell ref="Z4:AC4"/>
    <mergeCell ref="Z3:AC3"/>
    <mergeCell ref="V4:Y4"/>
    <mergeCell ref="AD3:AG3"/>
    <mergeCell ref="AP3:AW3"/>
    <mergeCell ref="AT4:AW4"/>
    <mergeCell ref="R4:U4"/>
    <mergeCell ref="A2:AW2"/>
    <mergeCell ref="AH4:AK4"/>
    <mergeCell ref="R3:U3"/>
    <mergeCell ref="AL3:AO3"/>
    <mergeCell ref="AL4:AO4"/>
    <mergeCell ref="AP4:AS4"/>
  </mergeCells>
  <pageMargins left="0.7" right="0.7" top="0.75" bottom="0.75" header="0.3" footer="0.3"/>
  <pageSetup paperSize="9" scale="8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E029242E-25F2-4A71-8FD4-9C742060156A}"/>
</file>

<file path=customXml/itemProps2.xml><?xml version="1.0" encoding="utf-8"?>
<ds:datastoreItem xmlns:ds="http://schemas.openxmlformats.org/officeDocument/2006/customXml" ds:itemID="{35A3AAF5-B939-4520-B115-B866C9F51D4F}"/>
</file>

<file path=customXml/itemProps3.xml><?xml version="1.0" encoding="utf-8"?>
<ds:datastoreItem xmlns:ds="http://schemas.openxmlformats.org/officeDocument/2006/customXml" ds:itemID="{348EB295-107F-4860-B68B-A2FB6301AF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REPORT act</vt:lpstr>
      <vt:lpstr>COFOG </vt:lpstr>
      <vt:lpstr>'COFOG '!Área_de_impresión</vt:lpstr>
      <vt:lpstr>'REPORT act'!Área_de_impresión</vt:lpstr>
    </vt:vector>
  </TitlesOfParts>
  <Company>EU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rwilliams</dc:creator>
  <cp:lastModifiedBy>Diplas-03</cp:lastModifiedBy>
  <cp:lastPrinted>2022-01-26T13:10:41Z</cp:lastPrinted>
  <dcterms:created xsi:type="dcterms:W3CDTF">2006-06-26T10:32:25Z</dcterms:created>
  <dcterms:modified xsi:type="dcterms:W3CDTF">2022-10-12T02:42:58Z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