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15"/>
  <workbookPr showInkAnnotation="0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\\10.10.80.10\budget-4\4. Хисрав\Барои сайт\2023\PDF\Русӣ\"/>
    </mc:Choice>
  </mc:AlternateContent>
  <xr:revisionPtr revIDLastSave="0" documentId="11_BA8390B777B2F2F7287D18C5AF8B6F14AE070E42" xr6:coauthVersionLast="47" xr6:coauthVersionMax="47" xr10:uidLastSave="{00000000-0000-0000-0000-000000000000}"/>
  <bookViews>
    <workbookView xWindow="0" yWindow="0" windowWidth="28800" windowHeight="12435" tabRatio="599" firstSheet="1" activeTab="1" xr2:uid="{00000000-000D-0000-FFFF-FFFF00000000}"/>
  </bookViews>
  <sheets>
    <sheet name="2022 111" sheetId="27" state="hidden" r:id="rId1"/>
    <sheet name="2023" sheetId="31" r:id="rId2"/>
    <sheet name="2023 -2024" sheetId="28" state="hidden" r:id="rId3"/>
    <sheet name="2022 (+500)" sheetId="29" state="hidden" r:id="rId4"/>
  </sheets>
  <definedNames>
    <definedName name="_xlnm.Print_Area" localSheetId="3">'2022 (+500)'!$A$3:$H$136</definedName>
    <definedName name="_xlnm.Print_Area" localSheetId="0">'2022 111'!$A$3:$H$136</definedName>
    <definedName name="_xlnm.Print_Area" localSheetId="1">'2023'!$A$1:$K$110</definedName>
    <definedName name="_xlnm.Print_Area" localSheetId="2">'2023 -2024'!$A$1:$J$131</definedName>
    <definedName name="Print_Area" localSheetId="3">'2022 (+500)'!$A$3:$G$136</definedName>
    <definedName name="Print_Area" localSheetId="0">'2022 111'!$A$3:$G$136</definedName>
    <definedName name="Print_Area" localSheetId="1">'2023'!$A$4:$D$110</definedName>
    <definedName name="Print_Area" localSheetId="2">'2023 -2024'!$A$1:$J$131</definedName>
    <definedName name="Print_Titles" localSheetId="3">'2022 (+500)'!$5:$5</definedName>
    <definedName name="Print_Titles" localSheetId="0">'2022 111'!$5:$5</definedName>
    <definedName name="Print_Titles" localSheetId="1">'2023'!$6:$6</definedName>
    <definedName name="Print_Titles" localSheetId="2">'2023 -2024'!$3:$3</definedName>
    <definedName name="_xlnm.Print_Titles" localSheetId="3">'2022 (+500)'!$5:$5</definedName>
    <definedName name="_xlnm.Print_Titles" localSheetId="0">'2022 111'!$5:$5</definedName>
    <definedName name="_xlnm.Print_Titles" localSheetId="1">'2023'!$6:$6</definedName>
    <definedName name="_xlnm.Print_Titles" localSheetId="2">'2023 -2024'!$3:$3</definedName>
  </definedNames>
  <calcPr calcId="152511"/>
</workbook>
</file>

<file path=xl/calcChain.xml><?xml version="1.0" encoding="utf-8"?>
<calcChain xmlns="http://schemas.openxmlformats.org/spreadsheetml/2006/main">
  <c r="L48" i="31" l="1"/>
  <c r="M53" i="31"/>
  <c r="M48" i="31"/>
  <c r="N48" i="31"/>
  <c r="O48" i="31"/>
  <c r="P48" i="31"/>
  <c r="R48" i="31"/>
  <c r="Q48" i="31"/>
  <c r="I25" i="31" l="1"/>
  <c r="J99" i="31" l="1"/>
  <c r="H42" i="31" l="1"/>
  <c r="I48" i="31" l="1"/>
  <c r="D58" i="29" l="1"/>
  <c r="C58" i="29"/>
  <c r="D14" i="29"/>
  <c r="D17" i="29"/>
  <c r="C129" i="29"/>
  <c r="E102" i="29"/>
  <c r="D129" i="29"/>
  <c r="D130" i="29"/>
  <c r="F17" i="29" l="1"/>
  <c r="D99" i="29"/>
  <c r="F99" i="29" s="1"/>
  <c r="D100" i="29"/>
  <c r="F100" i="29"/>
  <c r="E142" i="29"/>
  <c r="E140" i="29"/>
  <c r="D137" i="29"/>
  <c r="H135" i="29"/>
  <c r="G135" i="29"/>
  <c r="F135" i="29"/>
  <c r="E135" i="29"/>
  <c r="H134" i="29"/>
  <c r="G134" i="29"/>
  <c r="F134" i="29"/>
  <c r="E134" i="29"/>
  <c r="D133" i="29"/>
  <c r="H133" i="29" s="1"/>
  <c r="C133" i="29"/>
  <c r="B133" i="29"/>
  <c r="F133" i="29" s="1"/>
  <c r="H132" i="29"/>
  <c r="G132" i="29"/>
  <c r="F132" i="29"/>
  <c r="E132" i="29"/>
  <c r="G131" i="29"/>
  <c r="D131" i="29"/>
  <c r="H131" i="29" s="1"/>
  <c r="C131" i="29"/>
  <c r="H130" i="29"/>
  <c r="G130" i="29"/>
  <c r="E130" i="29"/>
  <c r="G129" i="29"/>
  <c r="F129" i="29"/>
  <c r="E129" i="29"/>
  <c r="H129" i="29"/>
  <c r="C128" i="29"/>
  <c r="D128" i="29"/>
  <c r="H128" i="29" s="1"/>
  <c r="B128" i="29"/>
  <c r="G128" i="29" s="1"/>
  <c r="H127" i="29"/>
  <c r="G127" i="29"/>
  <c r="F127" i="29"/>
  <c r="E127" i="29"/>
  <c r="G126" i="29"/>
  <c r="D126" i="29"/>
  <c r="H126" i="29" s="1"/>
  <c r="C126" i="29"/>
  <c r="C124" i="29" s="1"/>
  <c r="C123" i="29" s="1"/>
  <c r="H125" i="29"/>
  <c r="G125" i="29"/>
  <c r="F125" i="29"/>
  <c r="E125" i="29"/>
  <c r="B124" i="29"/>
  <c r="H122" i="29"/>
  <c r="G122" i="29"/>
  <c r="F122" i="29"/>
  <c r="E122" i="29"/>
  <c r="H121" i="29"/>
  <c r="G121" i="29"/>
  <c r="F121" i="29"/>
  <c r="E121" i="29"/>
  <c r="H120" i="29"/>
  <c r="G120" i="29"/>
  <c r="F120" i="29"/>
  <c r="E120" i="29"/>
  <c r="H119" i="29"/>
  <c r="G119" i="29"/>
  <c r="F119" i="29"/>
  <c r="E119" i="29"/>
  <c r="H118" i="29"/>
  <c r="G118" i="29"/>
  <c r="F118" i="29"/>
  <c r="E118" i="29"/>
  <c r="D117" i="29"/>
  <c r="C117" i="29"/>
  <c r="C116" i="29" s="1"/>
  <c r="B117" i="29"/>
  <c r="G117" i="29" s="1"/>
  <c r="B116" i="29"/>
  <c r="G116" i="29" s="1"/>
  <c r="H115" i="29"/>
  <c r="G115" i="29"/>
  <c r="F115" i="29"/>
  <c r="E115" i="29"/>
  <c r="H114" i="29"/>
  <c r="G114" i="29"/>
  <c r="F114" i="29"/>
  <c r="E114" i="29"/>
  <c r="H113" i="29"/>
  <c r="G113" i="29"/>
  <c r="F113" i="29"/>
  <c r="E113" i="29"/>
  <c r="H112" i="29"/>
  <c r="G112" i="29"/>
  <c r="F112" i="29"/>
  <c r="E112" i="29"/>
  <c r="D111" i="29"/>
  <c r="H111" i="29" s="1"/>
  <c r="C111" i="29"/>
  <c r="C110" i="29" s="1"/>
  <c r="B111" i="29"/>
  <c r="H109" i="29"/>
  <c r="G109" i="29"/>
  <c r="F109" i="29"/>
  <c r="E109" i="29"/>
  <c r="D108" i="29"/>
  <c r="H108" i="29" s="1"/>
  <c r="B108" i="29"/>
  <c r="G108" i="29" s="1"/>
  <c r="H107" i="29"/>
  <c r="G107" i="29"/>
  <c r="F107" i="29"/>
  <c r="E107" i="29"/>
  <c r="H106" i="29"/>
  <c r="G106" i="29"/>
  <c r="F106" i="29"/>
  <c r="E106" i="29"/>
  <c r="H105" i="29"/>
  <c r="G105" i="29"/>
  <c r="F105" i="29"/>
  <c r="E105" i="29"/>
  <c r="D104" i="29"/>
  <c r="H104" i="29" s="1"/>
  <c r="C104" i="29"/>
  <c r="C103" i="29" s="1"/>
  <c r="B104" i="29"/>
  <c r="F104" i="29" s="1"/>
  <c r="H102" i="29"/>
  <c r="G102" i="29"/>
  <c r="F102" i="29"/>
  <c r="D101" i="29"/>
  <c r="H101" i="29" s="1"/>
  <c r="B101" i="29"/>
  <c r="G101" i="29" s="1"/>
  <c r="G100" i="29"/>
  <c r="E100" i="29"/>
  <c r="H100" i="29"/>
  <c r="C100" i="29"/>
  <c r="H99" i="29"/>
  <c r="G99" i="29"/>
  <c r="H98" i="29"/>
  <c r="G98" i="29"/>
  <c r="F98" i="29"/>
  <c r="E98" i="29"/>
  <c r="G97" i="29"/>
  <c r="D97" i="29"/>
  <c r="H97" i="29" s="1"/>
  <c r="C97" i="29"/>
  <c r="C96" i="29" s="1"/>
  <c r="B97" i="29"/>
  <c r="B96" i="29"/>
  <c r="G96" i="29" s="1"/>
  <c r="H95" i="29"/>
  <c r="G95" i="29"/>
  <c r="F95" i="29"/>
  <c r="E95" i="29"/>
  <c r="D94" i="29"/>
  <c r="H94" i="29" s="1"/>
  <c r="B94" i="29"/>
  <c r="G94" i="29" s="1"/>
  <c r="H93" i="29"/>
  <c r="G93" i="29"/>
  <c r="D93" i="29"/>
  <c r="E93" i="29" s="1"/>
  <c r="C93" i="29"/>
  <c r="C90" i="29" s="1"/>
  <c r="C89" i="29" s="1"/>
  <c r="H92" i="29"/>
  <c r="G92" i="29"/>
  <c r="F92" i="29"/>
  <c r="E92" i="29"/>
  <c r="H91" i="29"/>
  <c r="G91" i="29"/>
  <c r="F91" i="29"/>
  <c r="E91" i="29"/>
  <c r="B90" i="29"/>
  <c r="D88" i="29"/>
  <c r="H88" i="29" s="1"/>
  <c r="C88" i="29"/>
  <c r="B88" i="29"/>
  <c r="G88" i="29" s="1"/>
  <c r="G87" i="29"/>
  <c r="C87" i="29"/>
  <c r="B87" i="29"/>
  <c r="B86" i="29"/>
  <c r="G86" i="29" s="1"/>
  <c r="D85" i="29"/>
  <c r="H85" i="29" s="1"/>
  <c r="C85" i="29"/>
  <c r="B85" i="29"/>
  <c r="G85" i="29" s="1"/>
  <c r="H84" i="29"/>
  <c r="G84" i="29"/>
  <c r="D84" i="29"/>
  <c r="C84" i="29"/>
  <c r="B84" i="29"/>
  <c r="C83" i="29"/>
  <c r="H81" i="29"/>
  <c r="G81" i="29"/>
  <c r="F81" i="29"/>
  <c r="E81" i="29"/>
  <c r="G80" i="29"/>
  <c r="E80" i="29"/>
  <c r="D80" i="29"/>
  <c r="H80" i="29" s="1"/>
  <c r="F79" i="29"/>
  <c r="D79" i="29"/>
  <c r="H79" i="29" s="1"/>
  <c r="C79" i="29"/>
  <c r="C76" i="29" s="1"/>
  <c r="C75" i="29" s="1"/>
  <c r="B79" i="29"/>
  <c r="H78" i="29"/>
  <c r="G78" i="29"/>
  <c r="F78" i="29"/>
  <c r="E78" i="29"/>
  <c r="H77" i="29"/>
  <c r="G77" i="29"/>
  <c r="F77" i="29"/>
  <c r="E77" i="29"/>
  <c r="D76" i="29"/>
  <c r="H76" i="29" s="1"/>
  <c r="H74" i="29"/>
  <c r="G74" i="29"/>
  <c r="F74" i="29"/>
  <c r="E74" i="29"/>
  <c r="H73" i="29"/>
  <c r="G73" i="29"/>
  <c r="F73" i="29"/>
  <c r="E73" i="29"/>
  <c r="G72" i="29"/>
  <c r="D72" i="29"/>
  <c r="C72" i="29"/>
  <c r="C69" i="29" s="1"/>
  <c r="C68" i="29" s="1"/>
  <c r="B72" i="29"/>
  <c r="F72" i="29" s="1"/>
  <c r="H71" i="29"/>
  <c r="G71" i="29"/>
  <c r="F71" i="29"/>
  <c r="E71" i="29"/>
  <c r="H70" i="29"/>
  <c r="G70" i="29"/>
  <c r="F70" i="29"/>
  <c r="E70" i="29"/>
  <c r="D69" i="29"/>
  <c r="H69" i="29" s="1"/>
  <c r="H67" i="29"/>
  <c r="G67" i="29"/>
  <c r="F67" i="29"/>
  <c r="E67" i="29"/>
  <c r="D66" i="29"/>
  <c r="B66" i="29"/>
  <c r="G66" i="29" s="1"/>
  <c r="G65" i="29"/>
  <c r="F65" i="29"/>
  <c r="E65" i="29"/>
  <c r="H65" i="29"/>
  <c r="C65" i="29"/>
  <c r="H64" i="29"/>
  <c r="G64" i="29"/>
  <c r="F64" i="29"/>
  <c r="E64" i="29"/>
  <c r="H63" i="29"/>
  <c r="G63" i="29"/>
  <c r="F63" i="29"/>
  <c r="E63" i="29"/>
  <c r="G62" i="29"/>
  <c r="D62" i="29"/>
  <c r="H62" i="29" s="1"/>
  <c r="C62" i="29"/>
  <c r="C61" i="29" s="1"/>
  <c r="B62" i="29"/>
  <c r="G61" i="29"/>
  <c r="B61" i="29"/>
  <c r="H60" i="29"/>
  <c r="G60" i="29"/>
  <c r="F60" i="29"/>
  <c r="E60" i="29"/>
  <c r="E59" i="29"/>
  <c r="D59" i="29"/>
  <c r="H59" i="29" s="1"/>
  <c r="B59" i="29"/>
  <c r="G59" i="29" s="1"/>
  <c r="H58" i="29"/>
  <c r="C55" i="29"/>
  <c r="B58" i="29"/>
  <c r="B55" i="29" s="1"/>
  <c r="H57" i="29"/>
  <c r="G57" i="29"/>
  <c r="F57" i="29"/>
  <c r="E57" i="29"/>
  <c r="C57" i="29"/>
  <c r="H56" i="29"/>
  <c r="G56" i="29"/>
  <c r="F56" i="29"/>
  <c r="E56" i="29"/>
  <c r="D55" i="29"/>
  <c r="H55" i="29" s="1"/>
  <c r="D53" i="29"/>
  <c r="H53" i="29" s="1"/>
  <c r="C53" i="29"/>
  <c r="B53" i="29"/>
  <c r="G53" i="29" s="1"/>
  <c r="C52" i="29"/>
  <c r="D51" i="29"/>
  <c r="D50" i="29"/>
  <c r="C50" i="29"/>
  <c r="C27" i="29" s="1"/>
  <c r="B50" i="29"/>
  <c r="G50" i="29" s="1"/>
  <c r="D49" i="29"/>
  <c r="H49" i="29" s="1"/>
  <c r="C49" i="29"/>
  <c r="B49" i="29"/>
  <c r="G49" i="29" s="1"/>
  <c r="H46" i="29"/>
  <c r="G46" i="29"/>
  <c r="E46" i="29"/>
  <c r="B46" i="29"/>
  <c r="F46" i="29" s="1"/>
  <c r="H45" i="29"/>
  <c r="B45" i="29"/>
  <c r="G44" i="29"/>
  <c r="D44" i="29"/>
  <c r="F44" i="29" s="1"/>
  <c r="C44" i="29"/>
  <c r="C41" i="29" s="1"/>
  <c r="C40" i="29" s="1"/>
  <c r="B44" i="29"/>
  <c r="H43" i="29"/>
  <c r="G43" i="29"/>
  <c r="F43" i="29"/>
  <c r="E43" i="29"/>
  <c r="H42" i="29"/>
  <c r="G42" i="29"/>
  <c r="F42" i="29"/>
  <c r="E42" i="29"/>
  <c r="B41" i="29"/>
  <c r="G41" i="29" s="1"/>
  <c r="H39" i="29"/>
  <c r="G39" i="29"/>
  <c r="F39" i="29"/>
  <c r="E39" i="29"/>
  <c r="H38" i="29"/>
  <c r="F38" i="29"/>
  <c r="E38" i="29"/>
  <c r="B38" i="29"/>
  <c r="G38" i="29" s="1"/>
  <c r="D37" i="29"/>
  <c r="D34" i="29" s="1"/>
  <c r="C37" i="29"/>
  <c r="B37" i="29"/>
  <c r="H36" i="29"/>
  <c r="G36" i="29"/>
  <c r="F36" i="29"/>
  <c r="E36" i="29"/>
  <c r="H35" i="29"/>
  <c r="G35" i="29"/>
  <c r="F35" i="29"/>
  <c r="E35" i="29"/>
  <c r="D32" i="29"/>
  <c r="H32" i="29" s="1"/>
  <c r="C32" i="29"/>
  <c r="C23" i="29" s="1"/>
  <c r="G31" i="29"/>
  <c r="F31" i="29"/>
  <c r="E31" i="29"/>
  <c r="D31" i="29"/>
  <c r="H31" i="29" s="1"/>
  <c r="C31" i="29"/>
  <c r="G30" i="29"/>
  <c r="D30" i="29"/>
  <c r="D21" i="29" s="1"/>
  <c r="C30" i="29"/>
  <c r="C21" i="29" s="1"/>
  <c r="C29" i="29"/>
  <c r="C26" i="29"/>
  <c r="B26" i="29"/>
  <c r="G26" i="29" s="1"/>
  <c r="G23" i="29"/>
  <c r="D23" i="29"/>
  <c r="F23" i="29" s="1"/>
  <c r="D22" i="29"/>
  <c r="H22" i="29" s="1"/>
  <c r="C22" i="29"/>
  <c r="B22" i="29"/>
  <c r="E22" i="29" s="1"/>
  <c r="B21" i="29"/>
  <c r="G21" i="29" s="1"/>
  <c r="G19" i="29"/>
  <c r="D19" i="29"/>
  <c r="F19" i="29" s="1"/>
  <c r="C19" i="29"/>
  <c r="H18" i="29"/>
  <c r="G18" i="29"/>
  <c r="F18" i="29"/>
  <c r="E18" i="29"/>
  <c r="G17" i="29"/>
  <c r="H17" i="29"/>
  <c r="C17" i="29"/>
  <c r="C16" i="29" s="1"/>
  <c r="B16" i="29"/>
  <c r="G16" i="29" s="1"/>
  <c r="H15" i="29"/>
  <c r="B15" i="29"/>
  <c r="G15" i="29" s="1"/>
  <c r="C14" i="29"/>
  <c r="C13" i="29" s="1"/>
  <c r="B14" i="29"/>
  <c r="G14" i="29" s="1"/>
  <c r="C7" i="29"/>
  <c r="G55" i="29" l="1"/>
  <c r="B54" i="29"/>
  <c r="G54" i="29" s="1"/>
  <c r="H34" i="29"/>
  <c r="D33" i="29"/>
  <c r="E15" i="29"/>
  <c r="E53" i="29"/>
  <c r="D52" i="29"/>
  <c r="G58" i="29"/>
  <c r="E128" i="29"/>
  <c r="F15" i="29"/>
  <c r="B13" i="29"/>
  <c r="G13" i="29" s="1"/>
  <c r="E72" i="29"/>
  <c r="E37" i="29"/>
  <c r="M28" i="29"/>
  <c r="E94" i="29"/>
  <c r="C20" i="29"/>
  <c r="C34" i="29"/>
  <c r="C33" i="29" s="1"/>
  <c r="N28" i="29"/>
  <c r="F94" i="29"/>
  <c r="D110" i="29"/>
  <c r="H110" i="29" s="1"/>
  <c r="E131" i="29"/>
  <c r="H37" i="29"/>
  <c r="O28" i="29"/>
  <c r="D68" i="29"/>
  <c r="H68" i="29" s="1"/>
  <c r="D75" i="29"/>
  <c r="H75" i="29" s="1"/>
  <c r="F111" i="29"/>
  <c r="F131" i="29"/>
  <c r="F14" i="29"/>
  <c r="F22" i="29"/>
  <c r="B40" i="29"/>
  <c r="G40" i="29" s="1"/>
  <c r="F59" i="29"/>
  <c r="B69" i="29"/>
  <c r="F69" i="29" s="1"/>
  <c r="G133" i="29"/>
  <c r="D16" i="29"/>
  <c r="D12" i="29" s="1"/>
  <c r="D26" i="29"/>
  <c r="F26" i="29" s="1"/>
  <c r="H51" i="29"/>
  <c r="D48" i="29"/>
  <c r="F16" i="29"/>
  <c r="E17" i="29"/>
  <c r="D27" i="29"/>
  <c r="H27" i="29" s="1"/>
  <c r="E85" i="29"/>
  <c r="E99" i="29"/>
  <c r="E21" i="29"/>
  <c r="D20" i="29"/>
  <c r="H21" i="29"/>
  <c r="F21" i="29"/>
  <c r="H52" i="29"/>
  <c r="C12" i="29"/>
  <c r="C48" i="29"/>
  <c r="C25" i="29" s="1"/>
  <c r="C24" i="29" s="1"/>
  <c r="C145" i="29" s="1"/>
  <c r="C54" i="29"/>
  <c r="C47" i="29" s="1"/>
  <c r="H23" i="29"/>
  <c r="H30" i="29"/>
  <c r="H19" i="29"/>
  <c r="E23" i="29"/>
  <c r="G45" i="29"/>
  <c r="C51" i="29"/>
  <c r="F53" i="29"/>
  <c r="H66" i="29"/>
  <c r="F117" i="29"/>
  <c r="E117" i="29"/>
  <c r="D116" i="29"/>
  <c r="G124" i="29"/>
  <c r="B123" i="29"/>
  <c r="G123" i="29" s="1"/>
  <c r="D13" i="29"/>
  <c r="E14" i="29"/>
  <c r="E16" i="29"/>
  <c r="E19" i="29"/>
  <c r="E26" i="29"/>
  <c r="B27" i="29"/>
  <c r="G27" i="29" s="1"/>
  <c r="F30" i="29"/>
  <c r="E49" i="29"/>
  <c r="E50" i="29"/>
  <c r="F58" i="29"/>
  <c r="E58" i="29"/>
  <c r="C82" i="29"/>
  <c r="F84" i="29"/>
  <c r="E84" i="29"/>
  <c r="H14" i="29"/>
  <c r="H16" i="29"/>
  <c r="G22" i="29"/>
  <c r="H26" i="29"/>
  <c r="E30" i="29"/>
  <c r="E44" i="29"/>
  <c r="E79" i="29"/>
  <c r="G79" i="29"/>
  <c r="B76" i="29"/>
  <c r="B32" i="29"/>
  <c r="G32" i="29" s="1"/>
  <c r="H33" i="29"/>
  <c r="F37" i="29"/>
  <c r="D41" i="29"/>
  <c r="H44" i="29"/>
  <c r="F49" i="29"/>
  <c r="F50" i="29"/>
  <c r="F62" i="29"/>
  <c r="E62" i="29"/>
  <c r="D61" i="29"/>
  <c r="F93" i="29"/>
  <c r="D90" i="29"/>
  <c r="D86" i="29"/>
  <c r="D28" i="29" s="1"/>
  <c r="F97" i="29"/>
  <c r="E97" i="29"/>
  <c r="D96" i="29"/>
  <c r="E104" i="29"/>
  <c r="G104" i="29"/>
  <c r="B103" i="29"/>
  <c r="G103" i="29" s="1"/>
  <c r="H117" i="29"/>
  <c r="B34" i="29"/>
  <c r="G37" i="29"/>
  <c r="F45" i="29"/>
  <c r="E45" i="29"/>
  <c r="F55" i="29"/>
  <c r="E55" i="29"/>
  <c r="D54" i="29"/>
  <c r="F66" i="29"/>
  <c r="E66" i="29"/>
  <c r="E69" i="29"/>
  <c r="G69" i="29"/>
  <c r="B68" i="29"/>
  <c r="B48" i="29"/>
  <c r="G48" i="29" s="1"/>
  <c r="F88" i="29"/>
  <c r="E88" i="29"/>
  <c r="B83" i="29"/>
  <c r="G90" i="29"/>
  <c r="B89" i="29"/>
  <c r="G89" i="29" s="1"/>
  <c r="F101" i="29"/>
  <c r="E101" i="29"/>
  <c r="D87" i="29"/>
  <c r="D29" i="29" s="1"/>
  <c r="D103" i="29"/>
  <c r="F108" i="29"/>
  <c r="E108" i="29"/>
  <c r="E111" i="29"/>
  <c r="G111" i="29"/>
  <c r="B110" i="29"/>
  <c r="F110" i="29" s="1"/>
  <c r="F126" i="29"/>
  <c r="D124" i="29"/>
  <c r="E126" i="29"/>
  <c r="H50" i="29"/>
  <c r="B52" i="29"/>
  <c r="E52" i="29" s="1"/>
  <c r="H72" i="29"/>
  <c r="F76" i="29"/>
  <c r="F80" i="29"/>
  <c r="F85" i="29"/>
  <c r="C86" i="29"/>
  <c r="F128" i="29"/>
  <c r="B51" i="29"/>
  <c r="G51" i="29" s="1"/>
  <c r="E133" i="29"/>
  <c r="C124" i="28"/>
  <c r="D124" i="28"/>
  <c r="D123" i="28" s="1"/>
  <c r="D67" i="28"/>
  <c r="C58" i="27"/>
  <c r="C44" i="27"/>
  <c r="C57" i="27"/>
  <c r="D93" i="27"/>
  <c r="C28" i="29" l="1"/>
  <c r="F32" i="29"/>
  <c r="F52" i="29"/>
  <c r="B28" i="29"/>
  <c r="G28" i="29" s="1"/>
  <c r="P28" i="29"/>
  <c r="H48" i="29"/>
  <c r="G110" i="29"/>
  <c r="E110" i="29"/>
  <c r="C136" i="29"/>
  <c r="C138" i="29" s="1"/>
  <c r="C144" i="29"/>
  <c r="C146" i="29" s="1"/>
  <c r="C147" i="29" s="1"/>
  <c r="G68" i="29"/>
  <c r="E68" i="29"/>
  <c r="F48" i="29"/>
  <c r="E61" i="29"/>
  <c r="H61" i="29"/>
  <c r="F61" i="29"/>
  <c r="G76" i="29"/>
  <c r="B75" i="29"/>
  <c r="E76" i="29"/>
  <c r="H29" i="29"/>
  <c r="F68" i="29"/>
  <c r="E124" i="29"/>
  <c r="D123" i="29"/>
  <c r="H124" i="29"/>
  <c r="F124" i="29"/>
  <c r="F87" i="29"/>
  <c r="E87" i="29"/>
  <c r="H87" i="29"/>
  <c r="E54" i="29"/>
  <c r="H54" i="29"/>
  <c r="F54" i="29"/>
  <c r="D47" i="29"/>
  <c r="F96" i="29"/>
  <c r="E96" i="29"/>
  <c r="H96" i="29"/>
  <c r="E86" i="29"/>
  <c r="H86" i="29"/>
  <c r="F86" i="29"/>
  <c r="E51" i="29"/>
  <c r="F27" i="29"/>
  <c r="E32" i="29"/>
  <c r="E48" i="29"/>
  <c r="D144" i="29"/>
  <c r="H12" i="29"/>
  <c r="E13" i="29"/>
  <c r="F13" i="29"/>
  <c r="H13" i="29"/>
  <c r="H103" i="29"/>
  <c r="F103" i="29"/>
  <c r="E103" i="29"/>
  <c r="G34" i="29"/>
  <c r="B33" i="29"/>
  <c r="B25" i="29"/>
  <c r="F34" i="29"/>
  <c r="E34" i="29"/>
  <c r="G52" i="29"/>
  <c r="B29" i="29"/>
  <c r="E29" i="29" s="1"/>
  <c r="B82" i="29"/>
  <c r="G82" i="29" s="1"/>
  <c r="G83" i="29"/>
  <c r="E90" i="29"/>
  <c r="D89" i="29"/>
  <c r="H90" i="29"/>
  <c r="D83" i="29"/>
  <c r="D25" i="29" s="1"/>
  <c r="D24" i="29" s="1"/>
  <c r="D136" i="29" s="1"/>
  <c r="F90" i="29"/>
  <c r="F41" i="29"/>
  <c r="E41" i="29"/>
  <c r="D40" i="29"/>
  <c r="H41" i="29"/>
  <c r="H28" i="29"/>
  <c r="F28" i="29"/>
  <c r="F51" i="29"/>
  <c r="F116" i="29"/>
  <c r="E116" i="29"/>
  <c r="H116" i="29"/>
  <c r="E27" i="29"/>
  <c r="H20" i="29"/>
  <c r="C129" i="27"/>
  <c r="D129" i="27"/>
  <c r="D44" i="27"/>
  <c r="H136" i="29" l="1"/>
  <c r="D153" i="29"/>
  <c r="F29" i="29"/>
  <c r="E28" i="29"/>
  <c r="H123" i="29"/>
  <c r="F123" i="29"/>
  <c r="E123" i="29"/>
  <c r="G75" i="29"/>
  <c r="F75" i="29"/>
  <c r="E75" i="29"/>
  <c r="F83" i="29"/>
  <c r="E83" i="29"/>
  <c r="D82" i="29"/>
  <c r="H83" i="29"/>
  <c r="G33" i="29"/>
  <c r="E33" i="29"/>
  <c r="F33" i="29"/>
  <c r="E40" i="29"/>
  <c r="H40" i="29"/>
  <c r="F40" i="29"/>
  <c r="B47" i="29"/>
  <c r="G47" i="29" s="1"/>
  <c r="H89" i="29"/>
  <c r="F89" i="29"/>
  <c r="E89" i="29"/>
  <c r="G29" i="29"/>
  <c r="B20" i="29"/>
  <c r="G25" i="29"/>
  <c r="B24" i="29"/>
  <c r="H47" i="29"/>
  <c r="D14" i="27"/>
  <c r="B145" i="29" l="1"/>
  <c r="G24" i="29"/>
  <c r="E47" i="29"/>
  <c r="G20" i="29"/>
  <c r="B12" i="29"/>
  <c r="E20" i="29"/>
  <c r="F20" i="29"/>
  <c r="F47" i="29"/>
  <c r="E25" i="29"/>
  <c r="H25" i="29"/>
  <c r="F25" i="29"/>
  <c r="E82" i="29"/>
  <c r="H82" i="29"/>
  <c r="F82" i="29"/>
  <c r="D17" i="27"/>
  <c r="D145" i="29" l="1"/>
  <c r="D146" i="29" s="1"/>
  <c r="E24" i="29"/>
  <c r="E145" i="29" s="1"/>
  <c r="H24" i="29"/>
  <c r="F24" i="29"/>
  <c r="B136" i="29"/>
  <c r="G12" i="29"/>
  <c r="B144" i="29"/>
  <c r="B146" i="29" s="1"/>
  <c r="B147" i="29" s="1"/>
  <c r="E12" i="29"/>
  <c r="E144" i="29" s="1"/>
  <c r="F12" i="29"/>
  <c r="D137" i="27"/>
  <c r="G136" i="29" l="1"/>
  <c r="B138" i="29"/>
  <c r="D150" i="29"/>
  <c r="F136" i="29"/>
  <c r="E136" i="29"/>
  <c r="D138" i="29"/>
  <c r="E138" i="29" s="1"/>
  <c r="E146" i="29"/>
  <c r="D147" i="29"/>
  <c r="C37" i="27"/>
  <c r="C17" i="27"/>
  <c r="C14" i="27"/>
  <c r="D79" i="27" l="1"/>
  <c r="D72" i="27" l="1"/>
  <c r="D65" i="27"/>
  <c r="D58" i="27"/>
  <c r="C72" i="27" l="1"/>
  <c r="D126" i="27"/>
  <c r="C126" i="27"/>
  <c r="C93" i="27"/>
  <c r="C131" i="27"/>
  <c r="D37" i="27"/>
  <c r="D133" i="27" l="1"/>
  <c r="E142" i="27" l="1"/>
  <c r="E140" i="27"/>
  <c r="D16" i="28" l="1"/>
  <c r="C16" i="28"/>
  <c r="D13" i="27" l="1"/>
  <c r="D126" i="28" l="1"/>
  <c r="C126" i="28"/>
  <c r="C116" i="28" l="1"/>
  <c r="C103" i="28"/>
  <c r="C96" i="28"/>
  <c r="C75" i="28"/>
  <c r="C61" i="28"/>
  <c r="C40" i="28"/>
  <c r="F40" i="28" s="1"/>
  <c r="C26" i="28"/>
  <c r="C25" i="28"/>
  <c r="F12" i="28"/>
  <c r="F13" i="28"/>
  <c r="F14" i="28"/>
  <c r="F16" i="28"/>
  <c r="F17" i="28"/>
  <c r="F18" i="28"/>
  <c r="F30" i="28"/>
  <c r="F31" i="28"/>
  <c r="F33" i="28"/>
  <c r="F34" i="28"/>
  <c r="F37" i="28"/>
  <c r="F38" i="28"/>
  <c r="F41" i="28"/>
  <c r="F51" i="28"/>
  <c r="F52" i="28"/>
  <c r="F55" i="28"/>
  <c r="F58" i="28"/>
  <c r="F59" i="28"/>
  <c r="F62" i="28"/>
  <c r="F65" i="28"/>
  <c r="F66" i="28"/>
  <c r="F68" i="28"/>
  <c r="F69" i="28"/>
  <c r="F72" i="28"/>
  <c r="F73" i="28"/>
  <c r="F76" i="28"/>
  <c r="F86" i="28"/>
  <c r="F87" i="28"/>
  <c r="F90" i="28"/>
  <c r="F93" i="28"/>
  <c r="F94" i="28"/>
  <c r="F97" i="28"/>
  <c r="F100" i="28"/>
  <c r="F101" i="28"/>
  <c r="F102" i="28"/>
  <c r="F104" i="28"/>
  <c r="F107" i="28"/>
  <c r="F108" i="28"/>
  <c r="F110" i="28"/>
  <c r="F113" i="28"/>
  <c r="F114" i="28"/>
  <c r="F117" i="28"/>
  <c r="F120" i="28"/>
  <c r="F122" i="28"/>
  <c r="F124" i="28"/>
  <c r="F127" i="28"/>
  <c r="F129" i="28"/>
  <c r="F130" i="28"/>
  <c r="B128" i="28"/>
  <c r="B126" i="28"/>
  <c r="F126" i="28" s="1"/>
  <c r="B125" i="28"/>
  <c r="F125" i="28" s="1"/>
  <c r="B123" i="28"/>
  <c r="B121" i="28"/>
  <c r="B119" i="28" s="1"/>
  <c r="B118" i="28" s="1"/>
  <c r="B116" i="28"/>
  <c r="F116" i="28" s="1"/>
  <c r="B115" i="28"/>
  <c r="B112" i="28" s="1"/>
  <c r="B109" i="28"/>
  <c r="B106" i="28" s="1"/>
  <c r="B105" i="28" s="1"/>
  <c r="B103" i="28"/>
  <c r="F103" i="28" s="1"/>
  <c r="B99" i="28"/>
  <c r="B98" i="28" s="1"/>
  <c r="B96" i="28"/>
  <c r="B95" i="28"/>
  <c r="B92" i="28" s="1"/>
  <c r="B91" i="28" s="1"/>
  <c r="B89" i="28"/>
  <c r="F89" i="28" s="1"/>
  <c r="B88" i="28"/>
  <c r="B85" i="28" s="1"/>
  <c r="B83" i="28"/>
  <c r="B80" i="28"/>
  <c r="B79" i="28"/>
  <c r="B75" i="28"/>
  <c r="B74" i="28"/>
  <c r="B71" i="28" s="1"/>
  <c r="B67" i="28"/>
  <c r="B64" i="28" s="1"/>
  <c r="B61" i="28"/>
  <c r="B60" i="28"/>
  <c r="B57" i="28" s="1"/>
  <c r="B56" i="28" s="1"/>
  <c r="B54" i="28"/>
  <c r="F54" i="28" s="1"/>
  <c r="B50" i="28"/>
  <c r="B48" i="28"/>
  <c r="B45" i="28"/>
  <c r="B44" i="28"/>
  <c r="B39" i="28"/>
  <c r="B36" i="28" s="1"/>
  <c r="B35" i="28" s="1"/>
  <c r="B32" i="28"/>
  <c r="B29" i="28"/>
  <c r="B28" i="28" s="1"/>
  <c r="B26" i="28"/>
  <c r="B25" i="28"/>
  <c r="C99" i="28"/>
  <c r="D99" i="28"/>
  <c r="C119" i="28"/>
  <c r="D119" i="28"/>
  <c r="G119" i="28" s="1"/>
  <c r="B15" i="28"/>
  <c r="B22" i="28" l="1"/>
  <c r="B46" i="28"/>
  <c r="B27" i="28"/>
  <c r="B47" i="28"/>
  <c r="F25" i="28"/>
  <c r="B21" i="28"/>
  <c r="B84" i="28"/>
  <c r="F96" i="28"/>
  <c r="B70" i="28"/>
  <c r="F75" i="28"/>
  <c r="F119" i="28"/>
  <c r="F121" i="28"/>
  <c r="F26" i="28"/>
  <c r="B82" i="28"/>
  <c r="B81" i="28"/>
  <c r="B23" i="28" s="1"/>
  <c r="F99" i="28"/>
  <c r="F61" i="28"/>
  <c r="B49" i="28"/>
  <c r="B63" i="28"/>
  <c r="B43" i="28"/>
  <c r="B111" i="28"/>
  <c r="H112" i="28"/>
  <c r="B78" i="28"/>
  <c r="B77" i="28" s="1"/>
  <c r="E119" i="28"/>
  <c r="B24" i="28" l="1"/>
  <c r="B20" i="28"/>
  <c r="B19" i="28" s="1"/>
  <c r="B42" i="28"/>
  <c r="B10" i="28"/>
  <c r="D59" i="27"/>
  <c r="D66" i="27"/>
  <c r="D80" i="27"/>
  <c r="D94" i="27"/>
  <c r="D101" i="27"/>
  <c r="D108" i="27"/>
  <c r="B131" i="28" l="1"/>
  <c r="J130" i="28"/>
  <c r="I130" i="28"/>
  <c r="H130" i="28"/>
  <c r="G130" i="28"/>
  <c r="E130" i="28"/>
  <c r="J129" i="28"/>
  <c r="I129" i="28"/>
  <c r="H129" i="28"/>
  <c r="G129" i="28"/>
  <c r="E129" i="28"/>
  <c r="H128" i="28"/>
  <c r="D128" i="28"/>
  <c r="C128" i="28"/>
  <c r="F128" i="28" s="1"/>
  <c r="J127" i="28"/>
  <c r="I127" i="28"/>
  <c r="H127" i="28"/>
  <c r="G127" i="28"/>
  <c r="E127" i="28"/>
  <c r="J126" i="28"/>
  <c r="I126" i="28"/>
  <c r="H126" i="28"/>
  <c r="G126" i="28"/>
  <c r="E126" i="28"/>
  <c r="J125" i="28"/>
  <c r="I125" i="28"/>
  <c r="H125" i="28"/>
  <c r="G125" i="28"/>
  <c r="E125" i="28"/>
  <c r="J124" i="28"/>
  <c r="I124" i="28"/>
  <c r="G124" i="28"/>
  <c r="E124" i="28"/>
  <c r="H124" i="28"/>
  <c r="C123" i="28"/>
  <c r="H123" i="28"/>
  <c r="J122" i="28"/>
  <c r="I122" i="28"/>
  <c r="H122" i="28"/>
  <c r="G122" i="28"/>
  <c r="E122" i="28"/>
  <c r="J121" i="28"/>
  <c r="I121" i="28"/>
  <c r="G121" i="28"/>
  <c r="H121" i="28"/>
  <c r="J120" i="28"/>
  <c r="I120" i="28"/>
  <c r="I119" i="28" s="1"/>
  <c r="H120" i="28"/>
  <c r="G120" i="28"/>
  <c r="E120" i="28"/>
  <c r="J119" i="28"/>
  <c r="H118" i="28"/>
  <c r="J117" i="28"/>
  <c r="I117" i="28"/>
  <c r="H117" i="28"/>
  <c r="G117" i="28"/>
  <c r="E117" i="28"/>
  <c r="J116" i="28"/>
  <c r="I116" i="28"/>
  <c r="G116" i="28"/>
  <c r="E116" i="28"/>
  <c r="H116" i="28"/>
  <c r="D115" i="28"/>
  <c r="D112" i="28" s="1"/>
  <c r="C115" i="28"/>
  <c r="F115" i="28" s="1"/>
  <c r="H115" i="28"/>
  <c r="J114" i="28"/>
  <c r="I114" i="28"/>
  <c r="H114" i="28"/>
  <c r="G114" i="28"/>
  <c r="E114" i="28"/>
  <c r="J113" i="28"/>
  <c r="I113" i="28"/>
  <c r="H113" i="28"/>
  <c r="G113" i="28"/>
  <c r="E113" i="28"/>
  <c r="J110" i="28"/>
  <c r="I110" i="28"/>
  <c r="H110" i="28"/>
  <c r="G110" i="28"/>
  <c r="E110" i="28"/>
  <c r="H109" i="28"/>
  <c r="D109" i="28"/>
  <c r="D106" i="28" s="1"/>
  <c r="C109" i="28"/>
  <c r="F109" i="28" s="1"/>
  <c r="J108" i="28"/>
  <c r="I108" i="28"/>
  <c r="H108" i="28"/>
  <c r="G108" i="28"/>
  <c r="E108" i="28"/>
  <c r="J107" i="28"/>
  <c r="I107" i="28"/>
  <c r="H107" i="28"/>
  <c r="G107" i="28"/>
  <c r="E107" i="28"/>
  <c r="H106" i="28"/>
  <c r="J104" i="28"/>
  <c r="I104" i="28"/>
  <c r="H104" i="28"/>
  <c r="G104" i="28"/>
  <c r="E104" i="28"/>
  <c r="J103" i="28"/>
  <c r="I103" i="28"/>
  <c r="H103" i="28"/>
  <c r="G103" i="28"/>
  <c r="E103" i="28"/>
  <c r="J102" i="28"/>
  <c r="I102" i="28"/>
  <c r="H102" i="28"/>
  <c r="G102" i="28"/>
  <c r="E102" i="28"/>
  <c r="J101" i="28"/>
  <c r="I101" i="28"/>
  <c r="H101" i="28"/>
  <c r="G101" i="28"/>
  <c r="E101" i="28"/>
  <c r="J100" i="28"/>
  <c r="I100" i="28"/>
  <c r="H100" i="28"/>
  <c r="G100" i="28"/>
  <c r="E100" i="28"/>
  <c r="I99" i="28"/>
  <c r="H98" i="28"/>
  <c r="J97" i="28"/>
  <c r="I97" i="28"/>
  <c r="H97" i="28"/>
  <c r="G97" i="28"/>
  <c r="E97" i="28"/>
  <c r="J96" i="28"/>
  <c r="I96" i="28"/>
  <c r="H96" i="28"/>
  <c r="G96" i="28"/>
  <c r="E96" i="28"/>
  <c r="H95" i="28"/>
  <c r="D95" i="28"/>
  <c r="D92" i="28" s="1"/>
  <c r="C95" i="28"/>
  <c r="F95" i="28" s="1"/>
  <c r="J94" i="28"/>
  <c r="I94" i="28"/>
  <c r="G94" i="28"/>
  <c r="E94" i="28"/>
  <c r="H94" i="28"/>
  <c r="J93" i="28"/>
  <c r="I93" i="28"/>
  <c r="H93" i="28"/>
  <c r="G93" i="28"/>
  <c r="E93" i="28"/>
  <c r="J90" i="28"/>
  <c r="I90" i="28"/>
  <c r="H90" i="28"/>
  <c r="G90" i="28"/>
  <c r="E90" i="28"/>
  <c r="J89" i="28"/>
  <c r="I89" i="28"/>
  <c r="H89" i="28"/>
  <c r="G89" i="28"/>
  <c r="E89" i="28"/>
  <c r="H82" i="28"/>
  <c r="D88" i="28"/>
  <c r="D85" i="28" s="1"/>
  <c r="C88" i="28"/>
  <c r="F88" i="28" s="1"/>
  <c r="H88" i="28"/>
  <c r="J87" i="28"/>
  <c r="I87" i="28"/>
  <c r="H87" i="28"/>
  <c r="G87" i="28"/>
  <c r="E87" i="28"/>
  <c r="J86" i="28"/>
  <c r="I86" i="28"/>
  <c r="H86" i="28"/>
  <c r="G86" i="28"/>
  <c r="E86" i="28"/>
  <c r="H85" i="28"/>
  <c r="H84" i="28"/>
  <c r="H83" i="28"/>
  <c r="D83" i="28"/>
  <c r="C83" i="28"/>
  <c r="F83" i="28" s="1"/>
  <c r="D82" i="28"/>
  <c r="C82" i="28"/>
  <c r="H81" i="28"/>
  <c r="D80" i="28"/>
  <c r="C80" i="28"/>
  <c r="H80" i="28"/>
  <c r="H79" i="28"/>
  <c r="D79" i="28"/>
  <c r="C79" i="28"/>
  <c r="J76" i="28"/>
  <c r="I76" i="28"/>
  <c r="H76" i="28"/>
  <c r="G76" i="28"/>
  <c r="E76" i="28"/>
  <c r="J75" i="28"/>
  <c r="I75" i="28"/>
  <c r="G75" i="28"/>
  <c r="D74" i="28"/>
  <c r="C74" i="28"/>
  <c r="H74" i="28"/>
  <c r="J73" i="28"/>
  <c r="I73" i="28"/>
  <c r="H73" i="28"/>
  <c r="G73" i="28"/>
  <c r="E73" i="28"/>
  <c r="J72" i="28"/>
  <c r="I72" i="28"/>
  <c r="H72" i="28"/>
  <c r="G72" i="28"/>
  <c r="E72" i="28"/>
  <c r="H71" i="28"/>
  <c r="J69" i="28"/>
  <c r="I69" i="28"/>
  <c r="H69" i="28"/>
  <c r="G69" i="28"/>
  <c r="E69" i="28"/>
  <c r="J68" i="28"/>
  <c r="I68" i="28"/>
  <c r="H68" i="28"/>
  <c r="G68" i="28"/>
  <c r="H67" i="28"/>
  <c r="D64" i="28"/>
  <c r="C67" i="28"/>
  <c r="F67" i="28" s="1"/>
  <c r="J66" i="28"/>
  <c r="I66" i="28"/>
  <c r="G66" i="28"/>
  <c r="E66" i="28"/>
  <c r="J65" i="28"/>
  <c r="I65" i="28"/>
  <c r="H65" i="28"/>
  <c r="G65" i="28"/>
  <c r="E65" i="28"/>
  <c r="J62" i="28"/>
  <c r="I62" i="28"/>
  <c r="H62" i="28"/>
  <c r="G62" i="28"/>
  <c r="E62" i="28"/>
  <c r="J61" i="28"/>
  <c r="I61" i="28"/>
  <c r="H61" i="28"/>
  <c r="G61" i="28"/>
  <c r="D60" i="28"/>
  <c r="D57" i="28" s="1"/>
  <c r="C60" i="28"/>
  <c r="F60" i="28" s="1"/>
  <c r="J59" i="28"/>
  <c r="I59" i="28"/>
  <c r="H59" i="28"/>
  <c r="G59" i="28"/>
  <c r="E59" i="28"/>
  <c r="J58" i="28"/>
  <c r="I58" i="28"/>
  <c r="H58" i="28"/>
  <c r="G58" i="28"/>
  <c r="E58" i="28"/>
  <c r="J55" i="28"/>
  <c r="I55" i="28"/>
  <c r="H55" i="28"/>
  <c r="G55" i="28"/>
  <c r="E55" i="28"/>
  <c r="J54" i="28"/>
  <c r="I54" i="28"/>
  <c r="G54" i="28"/>
  <c r="E54" i="28"/>
  <c r="H54" i="28"/>
  <c r="H53" i="28"/>
  <c r="D53" i="28"/>
  <c r="D50" i="28" s="1"/>
  <c r="C53" i="28"/>
  <c r="J52" i="28"/>
  <c r="I52" i="28"/>
  <c r="G52" i="28"/>
  <c r="E52" i="28"/>
  <c r="J51" i="28"/>
  <c r="I51" i="28"/>
  <c r="G51" i="28"/>
  <c r="E51" i="28"/>
  <c r="H51" i="28"/>
  <c r="D48" i="28"/>
  <c r="C48" i="28"/>
  <c r="H48" i="28"/>
  <c r="D47" i="28"/>
  <c r="C47" i="28"/>
  <c r="D45" i="28"/>
  <c r="C45" i="28"/>
  <c r="H44" i="28"/>
  <c r="D44" i="28"/>
  <c r="J44" i="28" s="1"/>
  <c r="C44" i="28"/>
  <c r="F44" i="28" s="1"/>
  <c r="J41" i="28"/>
  <c r="I41" i="28"/>
  <c r="H41" i="28"/>
  <c r="G41" i="28"/>
  <c r="E41" i="28"/>
  <c r="J40" i="28"/>
  <c r="I40" i="28"/>
  <c r="H40" i="28"/>
  <c r="G40" i="28"/>
  <c r="D39" i="28"/>
  <c r="D36" i="28" s="1"/>
  <c r="C39" i="28"/>
  <c r="F39" i="28" s="1"/>
  <c r="H39" i="28"/>
  <c r="J38" i="28"/>
  <c r="I38" i="28"/>
  <c r="G38" i="28"/>
  <c r="E38" i="28"/>
  <c r="H38" i="28"/>
  <c r="J37" i="28"/>
  <c r="I37" i="28"/>
  <c r="H37" i="28"/>
  <c r="G37" i="28"/>
  <c r="E37" i="28"/>
  <c r="J34" i="28"/>
  <c r="I34" i="28"/>
  <c r="H34" i="28"/>
  <c r="G34" i="28"/>
  <c r="E34" i="28"/>
  <c r="J33" i="28"/>
  <c r="I33" i="28"/>
  <c r="H33" i="28"/>
  <c r="G33" i="28"/>
  <c r="E33" i="28"/>
  <c r="H32" i="28"/>
  <c r="D32" i="28"/>
  <c r="C32" i="28"/>
  <c r="F32" i="28" s="1"/>
  <c r="J31" i="28"/>
  <c r="I31" i="28"/>
  <c r="H31" i="28"/>
  <c r="G31" i="28"/>
  <c r="E31" i="28"/>
  <c r="J30" i="28"/>
  <c r="I30" i="28"/>
  <c r="H30" i="28"/>
  <c r="G30" i="28"/>
  <c r="E30" i="28"/>
  <c r="H27" i="28"/>
  <c r="J26" i="28"/>
  <c r="I26" i="28"/>
  <c r="H26" i="28"/>
  <c r="G26" i="28"/>
  <c r="E26" i="28"/>
  <c r="J25" i="28"/>
  <c r="I25" i="28"/>
  <c r="H25" i="28"/>
  <c r="G25" i="28"/>
  <c r="E25" i="28"/>
  <c r="H21" i="28"/>
  <c r="J18" i="28"/>
  <c r="I18" i="28"/>
  <c r="H18" i="28"/>
  <c r="G18" i="28"/>
  <c r="E18" i="28"/>
  <c r="J17" i="28"/>
  <c r="I17" i="28"/>
  <c r="H17" i="28"/>
  <c r="G17" i="28"/>
  <c r="E17" i="28"/>
  <c r="J16" i="28"/>
  <c r="I16" i="28"/>
  <c r="H16" i="28"/>
  <c r="G16" i="28"/>
  <c r="E16" i="28"/>
  <c r="D15" i="28"/>
  <c r="J15" i="28" s="1"/>
  <c r="C15" i="28"/>
  <c r="H15" i="28"/>
  <c r="J14" i="28"/>
  <c r="I14" i="28"/>
  <c r="H14" i="28"/>
  <c r="G14" i="28"/>
  <c r="E14" i="28"/>
  <c r="J13" i="28"/>
  <c r="I13" i="28"/>
  <c r="H13" i="28"/>
  <c r="G13" i="28"/>
  <c r="E13" i="28"/>
  <c r="J12" i="28"/>
  <c r="I12" i="28"/>
  <c r="H12" i="28"/>
  <c r="G12" i="28"/>
  <c r="E12" i="28"/>
  <c r="D5" i="28"/>
  <c r="C5" i="28"/>
  <c r="J4" i="28"/>
  <c r="E4" i="28"/>
  <c r="I45" i="28" l="1"/>
  <c r="F45" i="28"/>
  <c r="C50" i="28"/>
  <c r="F50" i="28" s="1"/>
  <c r="F53" i="28"/>
  <c r="I123" i="28"/>
  <c r="F123" i="28"/>
  <c r="I48" i="28"/>
  <c r="F48" i="28"/>
  <c r="I79" i="28"/>
  <c r="F79" i="28"/>
  <c r="I80" i="28"/>
  <c r="F80" i="28"/>
  <c r="C71" i="28"/>
  <c r="F71" i="28" s="1"/>
  <c r="F74" i="28"/>
  <c r="I15" i="28"/>
  <c r="F15" i="28"/>
  <c r="I82" i="28"/>
  <c r="F82" i="28"/>
  <c r="I47" i="28"/>
  <c r="F47" i="28"/>
  <c r="I60" i="28"/>
  <c r="C57" i="28"/>
  <c r="I67" i="28"/>
  <c r="C64" i="28"/>
  <c r="I115" i="28"/>
  <c r="C112" i="28"/>
  <c r="H119" i="28"/>
  <c r="I109" i="28"/>
  <c r="C106" i="28"/>
  <c r="F106" i="28" s="1"/>
  <c r="I95" i="28"/>
  <c r="C92" i="28"/>
  <c r="F92" i="28" s="1"/>
  <c r="D71" i="28"/>
  <c r="J71" i="28" s="1"/>
  <c r="I88" i="28"/>
  <c r="C85" i="28"/>
  <c r="F85" i="28" s="1"/>
  <c r="H36" i="28"/>
  <c r="G74" i="28"/>
  <c r="D22" i="28"/>
  <c r="J22" i="28" s="1"/>
  <c r="I39" i="28"/>
  <c r="I36" i="28" s="1"/>
  <c r="C36" i="28"/>
  <c r="G36" i="28" s="1"/>
  <c r="H29" i="28"/>
  <c r="I32" i="28"/>
  <c r="I29" i="28" s="1"/>
  <c r="C29" i="28"/>
  <c r="F29" i="28" s="1"/>
  <c r="D29" i="28"/>
  <c r="D21" i="28"/>
  <c r="J21" i="28" s="1"/>
  <c r="I71" i="28"/>
  <c r="C21" i="28"/>
  <c r="E60" i="28"/>
  <c r="E128" i="28"/>
  <c r="C46" i="28"/>
  <c r="E15" i="28"/>
  <c r="G39" i="28"/>
  <c r="E45" i="28"/>
  <c r="E47" i="28"/>
  <c r="E79" i="28"/>
  <c r="C81" i="28"/>
  <c r="D118" i="28"/>
  <c r="J118" i="28" s="1"/>
  <c r="G15" i="28"/>
  <c r="C22" i="28"/>
  <c r="G80" i="28"/>
  <c r="G47" i="28"/>
  <c r="J74" i="28"/>
  <c r="J123" i="28"/>
  <c r="G128" i="28"/>
  <c r="I74" i="28"/>
  <c r="J83" i="28"/>
  <c r="G88" i="28"/>
  <c r="J109" i="28"/>
  <c r="J112" i="28"/>
  <c r="C24" i="28"/>
  <c r="J48" i="28"/>
  <c r="E88" i="28"/>
  <c r="D24" i="28"/>
  <c r="D11" i="28" s="1"/>
  <c r="C27" i="28"/>
  <c r="E32" i="28"/>
  <c r="D35" i="28"/>
  <c r="J45" i="28"/>
  <c r="J47" i="28"/>
  <c r="J53" i="28"/>
  <c r="J60" i="28"/>
  <c r="E74" i="28"/>
  <c r="J99" i="28"/>
  <c r="G123" i="28"/>
  <c r="D49" i="28"/>
  <c r="J49" i="28" s="1"/>
  <c r="J67" i="28"/>
  <c r="J88" i="28"/>
  <c r="C98" i="28"/>
  <c r="J106" i="28"/>
  <c r="G115" i="28"/>
  <c r="J128" i="28"/>
  <c r="H28" i="28"/>
  <c r="I44" i="28"/>
  <c r="E44" i="28"/>
  <c r="G44" i="28"/>
  <c r="I53" i="28"/>
  <c r="E53" i="28"/>
  <c r="G53" i="28"/>
  <c r="D27" i="28"/>
  <c r="H52" i="28"/>
  <c r="H75" i="28"/>
  <c r="H66" i="28"/>
  <c r="G67" i="28"/>
  <c r="E67" i="28"/>
  <c r="D46" i="28"/>
  <c r="G48" i="28"/>
  <c r="E48" i="28"/>
  <c r="G32" i="28"/>
  <c r="J32" i="28"/>
  <c r="J39" i="28"/>
  <c r="E39" i="28"/>
  <c r="G45" i="28"/>
  <c r="J50" i="28"/>
  <c r="H60" i="28"/>
  <c r="G60" i="28"/>
  <c r="H70" i="28"/>
  <c r="G79" i="28"/>
  <c r="J79" i="28"/>
  <c r="J80" i="28"/>
  <c r="E80" i="28"/>
  <c r="G82" i="28"/>
  <c r="J82" i="28"/>
  <c r="E82" i="28"/>
  <c r="I83" i="28"/>
  <c r="G83" i="28"/>
  <c r="J36" i="28"/>
  <c r="G95" i="28"/>
  <c r="J95" i="28"/>
  <c r="E95" i="28"/>
  <c r="D81" i="28"/>
  <c r="J92" i="28"/>
  <c r="D91" i="28"/>
  <c r="G99" i="28"/>
  <c r="E109" i="28"/>
  <c r="C118" i="28"/>
  <c r="E123" i="28"/>
  <c r="D98" i="28"/>
  <c r="H99" i="28"/>
  <c r="H105" i="28"/>
  <c r="G109" i="28"/>
  <c r="D111" i="28"/>
  <c r="E115" i="28"/>
  <c r="J115" i="28"/>
  <c r="I128" i="28"/>
  <c r="E83" i="28"/>
  <c r="E99" i="28"/>
  <c r="D70" i="28" l="1"/>
  <c r="C56" i="28"/>
  <c r="F57" i="28"/>
  <c r="I22" i="28"/>
  <c r="F22" i="28"/>
  <c r="E112" i="28"/>
  <c r="F112" i="28"/>
  <c r="I27" i="28"/>
  <c r="F27" i="28"/>
  <c r="I46" i="28"/>
  <c r="F46" i="28"/>
  <c r="I21" i="28"/>
  <c r="F21" i="28"/>
  <c r="C63" i="28"/>
  <c r="F64" i="28"/>
  <c r="I118" i="28"/>
  <c r="F118" i="28"/>
  <c r="I81" i="28"/>
  <c r="F81" i="28"/>
  <c r="C35" i="28"/>
  <c r="G35" i="28" s="1"/>
  <c r="F36" i="28"/>
  <c r="I98" i="28"/>
  <c r="F98" i="28"/>
  <c r="I56" i="28"/>
  <c r="F56" i="28"/>
  <c r="I24" i="28"/>
  <c r="F24" i="28"/>
  <c r="D28" i="28"/>
  <c r="J28" i="28" s="1"/>
  <c r="G29" i="28"/>
  <c r="E29" i="28"/>
  <c r="G112" i="28"/>
  <c r="E36" i="28"/>
  <c r="I57" i="28"/>
  <c r="E71" i="28"/>
  <c r="C23" i="28"/>
  <c r="G71" i="28"/>
  <c r="I64" i="28"/>
  <c r="G85" i="28"/>
  <c r="J29" i="28"/>
  <c r="E50" i="28"/>
  <c r="C70" i="28"/>
  <c r="E21" i="28"/>
  <c r="E24" i="28"/>
  <c r="G21" i="28"/>
  <c r="G92" i="28"/>
  <c r="E92" i="28"/>
  <c r="E22" i="28"/>
  <c r="G22" i="28"/>
  <c r="C111" i="28"/>
  <c r="I112" i="28"/>
  <c r="G118" i="28"/>
  <c r="G24" i="28"/>
  <c r="C11" i="28"/>
  <c r="F11" i="28" s="1"/>
  <c r="J24" i="28"/>
  <c r="D105" i="28"/>
  <c r="D84" i="28"/>
  <c r="J85" i="28"/>
  <c r="E85" i="28"/>
  <c r="C84" i="28"/>
  <c r="I85" i="28"/>
  <c r="D78" i="28"/>
  <c r="C28" i="28"/>
  <c r="F28" i="28" s="1"/>
  <c r="E118" i="28"/>
  <c r="J35" i="28"/>
  <c r="C91" i="28"/>
  <c r="I92" i="28"/>
  <c r="H91" i="28"/>
  <c r="H92" i="28"/>
  <c r="H46" i="28"/>
  <c r="H23" i="28"/>
  <c r="C105" i="28"/>
  <c r="F105" i="28" s="1"/>
  <c r="I106" i="28"/>
  <c r="C78" i="28"/>
  <c r="F78" i="28" s="1"/>
  <c r="E106" i="28"/>
  <c r="G81" i="28"/>
  <c r="E81" i="28"/>
  <c r="J81" i="28"/>
  <c r="D10" i="28"/>
  <c r="J11" i="28"/>
  <c r="I50" i="28"/>
  <c r="C43" i="28"/>
  <c r="F43" i="28" s="1"/>
  <c r="C49" i="28"/>
  <c r="F49" i="28" s="1"/>
  <c r="G50" i="28"/>
  <c r="J111" i="28"/>
  <c r="G57" i="28"/>
  <c r="D43" i="28"/>
  <c r="J57" i="28"/>
  <c r="E57" i="28"/>
  <c r="D56" i="28"/>
  <c r="J46" i="28"/>
  <c r="E46" i="28"/>
  <c r="G46" i="28"/>
  <c r="D23" i="28"/>
  <c r="H63" i="28"/>
  <c r="H64" i="28"/>
  <c r="H45" i="28"/>
  <c r="H22" i="28"/>
  <c r="J27" i="28"/>
  <c r="E27" i="28"/>
  <c r="G27" i="28"/>
  <c r="J91" i="28"/>
  <c r="H35" i="28"/>
  <c r="J70" i="28"/>
  <c r="G106" i="28"/>
  <c r="G98" i="28"/>
  <c r="J98" i="28"/>
  <c r="E98" i="28"/>
  <c r="H111" i="28"/>
  <c r="H57" i="28"/>
  <c r="H56" i="28"/>
  <c r="G64" i="28"/>
  <c r="J64" i="28"/>
  <c r="E64" i="28"/>
  <c r="D63" i="28"/>
  <c r="H47" i="28"/>
  <c r="H50" i="28"/>
  <c r="H43" i="28"/>
  <c r="E35" i="28" l="1"/>
  <c r="I23" i="28"/>
  <c r="F23" i="28"/>
  <c r="F35" i="28"/>
  <c r="I35" i="28"/>
  <c r="I63" i="28"/>
  <c r="F63" i="28"/>
  <c r="I111" i="28"/>
  <c r="F111" i="28"/>
  <c r="I91" i="28"/>
  <c r="F91" i="28"/>
  <c r="E91" i="28"/>
  <c r="I84" i="28"/>
  <c r="F84" i="28"/>
  <c r="I70" i="28"/>
  <c r="F70" i="28"/>
  <c r="E43" i="28"/>
  <c r="E78" i="28"/>
  <c r="E70" i="28"/>
  <c r="G70" i="28"/>
  <c r="G91" i="28"/>
  <c r="C20" i="28"/>
  <c r="F20" i="28" s="1"/>
  <c r="E11" i="28"/>
  <c r="E111" i="28"/>
  <c r="G111" i="28"/>
  <c r="J78" i="28"/>
  <c r="D77" i="28"/>
  <c r="J105" i="28"/>
  <c r="I11" i="28"/>
  <c r="I28" i="28"/>
  <c r="G28" i="28"/>
  <c r="E28" i="28"/>
  <c r="C10" i="28"/>
  <c r="F10" i="28" s="1"/>
  <c r="G11" i="28"/>
  <c r="G84" i="28"/>
  <c r="J84" i="28"/>
  <c r="E84" i="28"/>
  <c r="I49" i="28"/>
  <c r="C42" i="28"/>
  <c r="E49" i="28"/>
  <c r="G49" i="28"/>
  <c r="H78" i="28"/>
  <c r="H77" i="28"/>
  <c r="H24" i="28"/>
  <c r="I43" i="28"/>
  <c r="I105" i="28"/>
  <c r="G105" i="28"/>
  <c r="E105" i="28"/>
  <c r="H42" i="28"/>
  <c r="H49" i="28"/>
  <c r="J43" i="28"/>
  <c r="G43" i="28"/>
  <c r="D20" i="28"/>
  <c r="J10" i="28"/>
  <c r="G63" i="28"/>
  <c r="J63" i="28"/>
  <c r="E63" i="28"/>
  <c r="J23" i="28"/>
  <c r="E23" i="28"/>
  <c r="G23" i="28"/>
  <c r="G56" i="28"/>
  <c r="E56" i="28"/>
  <c r="D42" i="28"/>
  <c r="J56" i="28"/>
  <c r="I78" i="28"/>
  <c r="C77" i="28"/>
  <c r="F77" i="28" s="1"/>
  <c r="G78" i="28"/>
  <c r="I42" i="28" l="1"/>
  <c r="F42" i="28"/>
  <c r="I10" i="28"/>
  <c r="G10" i="28"/>
  <c r="E10" i="28"/>
  <c r="J77" i="28"/>
  <c r="I77" i="28"/>
  <c r="G77" i="28"/>
  <c r="E77" i="28"/>
  <c r="H20" i="28"/>
  <c r="H19" i="28"/>
  <c r="J20" i="28"/>
  <c r="E20" i="28"/>
  <c r="D19" i="28"/>
  <c r="G20" i="28"/>
  <c r="H11" i="28"/>
  <c r="G42" i="28"/>
  <c r="J42" i="28"/>
  <c r="E42" i="28"/>
  <c r="C19" i="28"/>
  <c r="F19" i="28" s="1"/>
  <c r="I20" i="28"/>
  <c r="G19" i="28" l="1"/>
  <c r="J19" i="28"/>
  <c r="E19" i="28"/>
  <c r="D131" i="28"/>
  <c r="I19" i="28"/>
  <c r="C131" i="28"/>
  <c r="H131" i="28"/>
  <c r="H10" i="28"/>
  <c r="I131" i="28" l="1"/>
  <c r="F131" i="28"/>
  <c r="J131" i="28"/>
  <c r="E131" i="28"/>
  <c r="G131" i="28"/>
  <c r="D100" i="27" l="1"/>
  <c r="D131" i="27"/>
  <c r="D62" i="27" l="1"/>
  <c r="D55" i="27"/>
  <c r="D41" i="27"/>
  <c r="H15" i="27" l="1"/>
  <c r="D128" i="27" l="1"/>
  <c r="E129" i="27" l="1"/>
  <c r="D19" i="27" l="1"/>
  <c r="C19" i="27"/>
  <c r="B62" i="27" l="1"/>
  <c r="B90" i="27" l="1"/>
  <c r="B97" i="27"/>
  <c r="D104" i="27"/>
  <c r="B104" i="27"/>
  <c r="C124" i="27"/>
  <c r="D124" i="27"/>
  <c r="B124" i="27"/>
  <c r="B111" i="27"/>
  <c r="C133" i="27" l="1"/>
  <c r="D117" i="27" l="1"/>
  <c r="C117" i="27"/>
  <c r="D90" i="27"/>
  <c r="C90" i="27"/>
  <c r="D111" i="27" l="1"/>
  <c r="C111" i="27"/>
  <c r="C110" i="27" s="1"/>
  <c r="C104" i="27"/>
  <c r="D97" i="27"/>
  <c r="C100" i="27"/>
  <c r="C97" i="27" s="1"/>
  <c r="D76" i="27"/>
  <c r="C79" i="27"/>
  <c r="C76" i="27" s="1"/>
  <c r="C69" i="27"/>
  <c r="D69" i="27"/>
  <c r="C65" i="27"/>
  <c r="C62" i="27" s="1"/>
  <c r="C55" i="27"/>
  <c r="D34" i="27" l="1"/>
  <c r="C34" i="27"/>
  <c r="C41" i="27" l="1"/>
  <c r="C103" i="27" l="1"/>
  <c r="D103" i="27"/>
  <c r="D31" i="27" l="1"/>
  <c r="D30" i="27" l="1"/>
  <c r="E30" i="27" s="1"/>
  <c r="C31" i="27"/>
  <c r="C22" i="27" s="1"/>
  <c r="C30" i="27"/>
  <c r="C21" i="27" s="1"/>
  <c r="D22" i="27"/>
  <c r="D21" i="27"/>
  <c r="E73" i="27"/>
  <c r="F73" i="27"/>
  <c r="G73" i="27"/>
  <c r="H73" i="27"/>
  <c r="H14" i="27"/>
  <c r="F135" i="27"/>
  <c r="E135" i="27"/>
  <c r="E134" i="27"/>
  <c r="E132" i="27"/>
  <c r="E131" i="27"/>
  <c r="E130" i="27"/>
  <c r="E127" i="27"/>
  <c r="E126" i="27"/>
  <c r="E125" i="27"/>
  <c r="E109" i="27"/>
  <c r="E31" i="27"/>
  <c r="E43" i="27"/>
  <c r="C7" i="27"/>
  <c r="B15" i="27"/>
  <c r="B14" i="27"/>
  <c r="B22" i="27"/>
  <c r="B21" i="27"/>
  <c r="B38" i="27"/>
  <c r="B37" i="27"/>
  <c r="B34" i="27" s="1"/>
  <c r="B46" i="27"/>
  <c r="B45" i="27"/>
  <c r="E45" i="27" s="1"/>
  <c r="B44" i="27"/>
  <c r="B41" i="27" s="1"/>
  <c r="E41" i="27" s="1"/>
  <c r="B133" i="27"/>
  <c r="E133" i="27" s="1"/>
  <c r="B108" i="27"/>
  <c r="B101" i="27"/>
  <c r="B94" i="27"/>
  <c r="B79" i="27"/>
  <c r="B76" i="27" s="1"/>
  <c r="B72" i="27"/>
  <c r="B59" i="27"/>
  <c r="E59" i="27" s="1"/>
  <c r="B58" i="27"/>
  <c r="B66" i="27"/>
  <c r="B55" i="27" l="1"/>
  <c r="E58" i="27"/>
  <c r="B117" i="27"/>
  <c r="B116" i="27" s="1"/>
  <c r="E120" i="27"/>
  <c r="B69" i="27"/>
  <c r="B68" i="27" s="1"/>
  <c r="C20" i="27"/>
  <c r="B86" i="27"/>
  <c r="E107" i="27" l="1"/>
  <c r="E106" i="27"/>
  <c r="E105" i="27"/>
  <c r="E108" i="27"/>
  <c r="E122" i="27"/>
  <c r="E118" i="27"/>
  <c r="E115" i="27"/>
  <c r="E114" i="27"/>
  <c r="E113" i="27"/>
  <c r="E112" i="27"/>
  <c r="E102" i="27"/>
  <c r="E101" i="27"/>
  <c r="E100" i="27"/>
  <c r="E99" i="27"/>
  <c r="E98" i="27"/>
  <c r="E95" i="27"/>
  <c r="E93" i="27"/>
  <c r="E91" i="27"/>
  <c r="E81" i="27"/>
  <c r="E80" i="27"/>
  <c r="E79" i="27"/>
  <c r="E78" i="27"/>
  <c r="E77" i="27"/>
  <c r="E74" i="27"/>
  <c r="E72" i="27"/>
  <c r="E70" i="27"/>
  <c r="E67" i="27"/>
  <c r="E66" i="27"/>
  <c r="E65" i="27"/>
  <c r="E64" i="27"/>
  <c r="E63" i="27"/>
  <c r="E60" i="27"/>
  <c r="E57" i="27"/>
  <c r="E56" i="27"/>
  <c r="E46" i="27"/>
  <c r="E44" i="27"/>
  <c r="E42" i="27"/>
  <c r="B16" i="27"/>
  <c r="E38" i="27"/>
  <c r="E37" i="27"/>
  <c r="E36" i="27"/>
  <c r="E35" i="27"/>
  <c r="E39" i="27"/>
  <c r="C13" i="27" l="1"/>
  <c r="C16" i="27" l="1"/>
  <c r="C128" i="27"/>
  <c r="C123" i="27"/>
  <c r="C96" i="27"/>
  <c r="C88" i="27"/>
  <c r="C61" i="27"/>
  <c r="C53" i="27"/>
  <c r="C52" i="27"/>
  <c r="C49" i="27"/>
  <c r="F15" i="27"/>
  <c r="F18" i="27"/>
  <c r="F19" i="27"/>
  <c r="F30" i="27"/>
  <c r="F31" i="27"/>
  <c r="F42" i="27"/>
  <c r="F46" i="27"/>
  <c r="F63" i="27"/>
  <c r="F64" i="27"/>
  <c r="F70" i="27"/>
  <c r="F74" i="27"/>
  <c r="F77" i="27"/>
  <c r="F81" i="27"/>
  <c r="F91" i="27"/>
  <c r="F95" i="27"/>
  <c r="F98" i="27"/>
  <c r="F102" i="27"/>
  <c r="F105" i="27"/>
  <c r="F106" i="27"/>
  <c r="F109" i="27"/>
  <c r="F112" i="27"/>
  <c r="F113" i="27"/>
  <c r="F115" i="27"/>
  <c r="F118" i="27"/>
  <c r="F122" i="27"/>
  <c r="F127" i="27"/>
  <c r="H135" i="27"/>
  <c r="G135" i="27"/>
  <c r="G134" i="27"/>
  <c r="F134" i="27"/>
  <c r="G133" i="27"/>
  <c r="G132" i="27"/>
  <c r="F132" i="27"/>
  <c r="G131" i="27"/>
  <c r="H131" i="27"/>
  <c r="H130" i="27"/>
  <c r="G130" i="27"/>
  <c r="G129" i="27"/>
  <c r="H129" i="27"/>
  <c r="B128" i="27"/>
  <c r="H127" i="27"/>
  <c r="G127" i="27"/>
  <c r="G126" i="27"/>
  <c r="F126" i="27"/>
  <c r="G125" i="27"/>
  <c r="F125" i="27"/>
  <c r="G124" i="27"/>
  <c r="H122" i="27"/>
  <c r="G122" i="27"/>
  <c r="G121" i="27"/>
  <c r="G120" i="27"/>
  <c r="G119" i="27"/>
  <c r="H118" i="27"/>
  <c r="G118" i="27"/>
  <c r="H115" i="27"/>
  <c r="G115" i="27"/>
  <c r="G114" i="27"/>
  <c r="H114" i="27"/>
  <c r="H113" i="27"/>
  <c r="G113" i="27"/>
  <c r="H112" i="27"/>
  <c r="G112" i="27"/>
  <c r="G111" i="27"/>
  <c r="H109" i="27"/>
  <c r="G109" i="27"/>
  <c r="G108" i="27"/>
  <c r="G107" i="27"/>
  <c r="H106" i="27"/>
  <c r="G106" i="27"/>
  <c r="H105" i="27"/>
  <c r="G105" i="27"/>
  <c r="H102" i="27"/>
  <c r="G102" i="27"/>
  <c r="G101" i="27"/>
  <c r="H101" i="27"/>
  <c r="G100" i="27"/>
  <c r="H100" i="27"/>
  <c r="G99" i="27"/>
  <c r="H99" i="27"/>
  <c r="H98" i="27"/>
  <c r="G98" i="27"/>
  <c r="G97" i="27"/>
  <c r="H95" i="27"/>
  <c r="G95" i="27"/>
  <c r="G94" i="27"/>
  <c r="G93" i="27"/>
  <c r="H93" i="27"/>
  <c r="G92" i="27"/>
  <c r="H91" i="27"/>
  <c r="G91" i="27"/>
  <c r="G90" i="27"/>
  <c r="D88" i="27"/>
  <c r="B88" i="27"/>
  <c r="G88" i="27" s="1"/>
  <c r="B87" i="27"/>
  <c r="G87" i="27" s="1"/>
  <c r="G86" i="27"/>
  <c r="B85" i="27"/>
  <c r="G85" i="27" s="1"/>
  <c r="B84" i="27"/>
  <c r="G84" i="27" s="1"/>
  <c r="H81" i="27"/>
  <c r="G81" i="27"/>
  <c r="G80" i="27"/>
  <c r="G79" i="27"/>
  <c r="G78" i="27"/>
  <c r="F78" i="27"/>
  <c r="H77" i="27"/>
  <c r="G77" i="27"/>
  <c r="G76" i="27"/>
  <c r="H74" i="27"/>
  <c r="G74" i="27"/>
  <c r="G72" i="27"/>
  <c r="H72" i="27"/>
  <c r="G71" i="27"/>
  <c r="H70" i="27"/>
  <c r="G70" i="27"/>
  <c r="G69" i="27"/>
  <c r="G67" i="27"/>
  <c r="H67" i="27"/>
  <c r="G66" i="27"/>
  <c r="F66" i="27"/>
  <c r="G65" i="27"/>
  <c r="H64" i="27"/>
  <c r="G64" i="27"/>
  <c r="H63" i="27"/>
  <c r="G63" i="27"/>
  <c r="B61" i="27"/>
  <c r="G60" i="27"/>
  <c r="H60" i="27"/>
  <c r="G59" i="27"/>
  <c r="H59" i="27"/>
  <c r="G58" i="27"/>
  <c r="H58" i="27"/>
  <c r="G57" i="27"/>
  <c r="G56" i="27"/>
  <c r="F56" i="27"/>
  <c r="G55" i="27"/>
  <c r="B53" i="27"/>
  <c r="B52" i="27"/>
  <c r="G52" i="27" s="1"/>
  <c r="B51" i="27"/>
  <c r="G51" i="27" s="1"/>
  <c r="B50" i="27"/>
  <c r="G50" i="27" s="1"/>
  <c r="B49" i="27"/>
  <c r="H46" i="27"/>
  <c r="G46" i="27"/>
  <c r="G45" i="27"/>
  <c r="F45" i="27"/>
  <c r="G44" i="27"/>
  <c r="H44" i="27"/>
  <c r="G43" i="27"/>
  <c r="F43" i="27"/>
  <c r="H42" i="27"/>
  <c r="G42" i="27"/>
  <c r="G39" i="27"/>
  <c r="G38" i="27"/>
  <c r="H38" i="27"/>
  <c r="G37" i="27"/>
  <c r="F37" i="27"/>
  <c r="G36" i="27"/>
  <c r="H36" i="27"/>
  <c r="G35" i="27"/>
  <c r="H31" i="27"/>
  <c r="G31" i="27"/>
  <c r="H30" i="27"/>
  <c r="G30" i="27"/>
  <c r="G23" i="27"/>
  <c r="H22" i="27"/>
  <c r="G22" i="27"/>
  <c r="H21" i="27"/>
  <c r="H19" i="27"/>
  <c r="G19" i="27"/>
  <c r="E19" i="27"/>
  <c r="H18" i="27"/>
  <c r="G18" i="27"/>
  <c r="E18" i="27"/>
  <c r="G17" i="27"/>
  <c r="H17" i="27"/>
  <c r="G15" i="27"/>
  <c r="E15" i="27"/>
  <c r="G14" i="27"/>
  <c r="B13" i="27"/>
  <c r="G13" i="27" s="1"/>
  <c r="E88" i="27" l="1"/>
  <c r="G128" i="27"/>
  <c r="E128" i="27"/>
  <c r="H62" i="27"/>
  <c r="E62" i="27"/>
  <c r="G41" i="27"/>
  <c r="B33" i="27"/>
  <c r="G33" i="27" s="1"/>
  <c r="B26" i="27"/>
  <c r="G26" i="27" s="1"/>
  <c r="F35" i="27"/>
  <c r="B29" i="27"/>
  <c r="G29" i="27" s="1"/>
  <c r="F93" i="27"/>
  <c r="C84" i="27"/>
  <c r="C26" i="27" s="1"/>
  <c r="F72" i="27"/>
  <c r="F129" i="27"/>
  <c r="F79" i="27"/>
  <c r="B27" i="27"/>
  <c r="G27" i="27" s="1"/>
  <c r="F108" i="27"/>
  <c r="F65" i="27"/>
  <c r="F60" i="27"/>
  <c r="C68" i="27"/>
  <c r="F100" i="27"/>
  <c r="F14" i="27"/>
  <c r="C75" i="27"/>
  <c r="F131" i="27"/>
  <c r="F114" i="27"/>
  <c r="F107" i="27"/>
  <c r="F57" i="27"/>
  <c r="F36" i="27"/>
  <c r="F101" i="27"/>
  <c r="F80" i="27"/>
  <c r="F67" i="27"/>
  <c r="F58" i="27"/>
  <c r="F44" i="27"/>
  <c r="F39" i="27"/>
  <c r="C50" i="27"/>
  <c r="C32" i="27"/>
  <c r="C23" i="27" s="1"/>
  <c r="C12" i="27" s="1"/>
  <c r="C144" i="27" s="1"/>
  <c r="F99" i="27"/>
  <c r="F59" i="27"/>
  <c r="F38" i="27"/>
  <c r="F17" i="27"/>
  <c r="C51" i="27"/>
  <c r="F88" i="27"/>
  <c r="F62" i="27"/>
  <c r="F21" i="27"/>
  <c r="C40" i="27"/>
  <c r="F22" i="27"/>
  <c r="D61" i="27"/>
  <c r="E61" i="27" s="1"/>
  <c r="H128" i="27"/>
  <c r="G49" i="27"/>
  <c r="B28" i="27"/>
  <c r="G28" i="27" s="1"/>
  <c r="B89" i="27"/>
  <c r="G89" i="27" s="1"/>
  <c r="D40" i="27"/>
  <c r="G34" i="27"/>
  <c r="B75" i="27"/>
  <c r="G75" i="27" s="1"/>
  <c r="B110" i="27"/>
  <c r="G110" i="27" s="1"/>
  <c r="H107" i="27"/>
  <c r="D20" i="27"/>
  <c r="H20" i="27" s="1"/>
  <c r="B32" i="27"/>
  <c r="G32" i="27" s="1"/>
  <c r="D51" i="27"/>
  <c r="E51" i="27" s="1"/>
  <c r="G53" i="27"/>
  <c r="D52" i="27"/>
  <c r="E52" i="27" s="1"/>
  <c r="E76" i="27"/>
  <c r="E111" i="27"/>
  <c r="B54" i="27"/>
  <c r="G54" i="27" s="1"/>
  <c r="H56" i="27"/>
  <c r="H57" i="27"/>
  <c r="H79" i="27"/>
  <c r="H80" i="27"/>
  <c r="G16" i="27"/>
  <c r="D49" i="27"/>
  <c r="G68" i="27"/>
  <c r="B96" i="27"/>
  <c r="G96" i="27" s="1"/>
  <c r="B123" i="27"/>
  <c r="G123" i="27" s="1"/>
  <c r="H39" i="27"/>
  <c r="H43" i="27"/>
  <c r="H37" i="27"/>
  <c r="H108" i="27"/>
  <c r="E21" i="27"/>
  <c r="G21" i="27"/>
  <c r="B40" i="27"/>
  <c r="D53" i="27"/>
  <c r="H66" i="27"/>
  <c r="D16" i="27"/>
  <c r="E17" i="27"/>
  <c r="B48" i="27"/>
  <c r="E14" i="27"/>
  <c r="H65" i="27"/>
  <c r="G116" i="27"/>
  <c r="G117" i="27"/>
  <c r="H45" i="27"/>
  <c r="E22" i="27"/>
  <c r="G61" i="27"/>
  <c r="G62" i="27"/>
  <c r="H35" i="27"/>
  <c r="H78" i="27"/>
  <c r="H126" i="27"/>
  <c r="H88" i="27"/>
  <c r="B103" i="27"/>
  <c r="G103" i="27" s="1"/>
  <c r="G104" i="27"/>
  <c r="B83" i="27"/>
  <c r="H132" i="27"/>
  <c r="F133" i="27"/>
  <c r="H134" i="27"/>
  <c r="H125" i="27"/>
  <c r="D84" i="27"/>
  <c r="E49" i="27" l="1"/>
  <c r="D26" i="27"/>
  <c r="F26" i="27" s="1"/>
  <c r="B25" i="27"/>
  <c r="G25" i="27" s="1"/>
  <c r="E40" i="27"/>
  <c r="F53" i="27"/>
  <c r="E53" i="27"/>
  <c r="F104" i="27"/>
  <c r="E104" i="27"/>
  <c r="F124" i="27"/>
  <c r="E124" i="27"/>
  <c r="D33" i="27"/>
  <c r="H33" i="27" s="1"/>
  <c r="E34" i="27"/>
  <c r="F84" i="27"/>
  <c r="E84" i="27"/>
  <c r="D96" i="27"/>
  <c r="E96" i="27" s="1"/>
  <c r="E97" i="27"/>
  <c r="H55" i="27"/>
  <c r="E55" i="27"/>
  <c r="C33" i="27"/>
  <c r="F52" i="27"/>
  <c r="F16" i="27"/>
  <c r="B20" i="27"/>
  <c r="G20" i="27" s="1"/>
  <c r="F40" i="27"/>
  <c r="D54" i="27"/>
  <c r="H41" i="27"/>
  <c r="H111" i="27"/>
  <c r="F111" i="27"/>
  <c r="H34" i="27"/>
  <c r="F34" i="27"/>
  <c r="F61" i="27"/>
  <c r="H61" i="27"/>
  <c r="F128" i="27"/>
  <c r="F41" i="27"/>
  <c r="F55" i="27"/>
  <c r="C54" i="27"/>
  <c r="C47" i="27" s="1"/>
  <c r="C48" i="27"/>
  <c r="H49" i="27"/>
  <c r="F49" i="27"/>
  <c r="H51" i="27"/>
  <c r="F51" i="27"/>
  <c r="H97" i="27"/>
  <c r="F97" i="27"/>
  <c r="D75" i="27"/>
  <c r="F76" i="27"/>
  <c r="E13" i="27"/>
  <c r="F13" i="27"/>
  <c r="H76" i="27"/>
  <c r="H104" i="27"/>
  <c r="H52" i="27"/>
  <c r="D110" i="27"/>
  <c r="H53" i="27"/>
  <c r="D32" i="27"/>
  <c r="D23" i="27" s="1"/>
  <c r="B47" i="27"/>
  <c r="G47" i="27" s="1"/>
  <c r="G40" i="27"/>
  <c r="H40" i="27"/>
  <c r="H13" i="27"/>
  <c r="H84" i="27"/>
  <c r="H133" i="27"/>
  <c r="G83" i="27"/>
  <c r="B82" i="27"/>
  <c r="G82" i="27" s="1"/>
  <c r="H124" i="27"/>
  <c r="D123" i="27"/>
  <c r="G48" i="27"/>
  <c r="E16" i="27"/>
  <c r="H16" i="27"/>
  <c r="D12" i="27" l="1"/>
  <c r="D144" i="27" s="1"/>
  <c r="F23" i="27"/>
  <c r="H23" i="27"/>
  <c r="E23" i="27"/>
  <c r="F96" i="27"/>
  <c r="F33" i="27"/>
  <c r="E33" i="27"/>
  <c r="F110" i="27"/>
  <c r="E110" i="27"/>
  <c r="F32" i="27"/>
  <c r="E32" i="27"/>
  <c r="F103" i="27"/>
  <c r="E103" i="27"/>
  <c r="F75" i="27"/>
  <c r="E75" i="27"/>
  <c r="F54" i="27"/>
  <c r="E54" i="27"/>
  <c r="F123" i="27"/>
  <c r="E123" i="27"/>
  <c r="H26" i="27"/>
  <c r="E26" i="27"/>
  <c r="H96" i="27"/>
  <c r="B24" i="27"/>
  <c r="B145" i="27" s="1"/>
  <c r="E20" i="27"/>
  <c r="H54" i="27"/>
  <c r="F20" i="27"/>
  <c r="B12" i="27"/>
  <c r="H110" i="27"/>
  <c r="H75" i="27"/>
  <c r="H103" i="27"/>
  <c r="H32" i="27"/>
  <c r="H123" i="27"/>
  <c r="F12" i="27" l="1"/>
  <c r="B144" i="27"/>
  <c r="B146" i="27" s="1"/>
  <c r="B147" i="27" s="1"/>
  <c r="E12" i="27"/>
  <c r="E144" i="27" s="1"/>
  <c r="H12" i="27"/>
  <c r="G24" i="27"/>
  <c r="G12" i="27"/>
  <c r="B136" i="27"/>
  <c r="B138" i="27" s="1"/>
  <c r="G136" i="27" l="1"/>
  <c r="C85" i="27" l="1"/>
  <c r="C27" i="27" s="1"/>
  <c r="C89" i="27"/>
  <c r="C86" i="27"/>
  <c r="C28" i="27" s="1"/>
  <c r="C87" i="27"/>
  <c r="C83" i="27" l="1"/>
  <c r="C25" i="27" s="1"/>
  <c r="C116" i="27"/>
  <c r="F120" i="27"/>
  <c r="D86" i="27"/>
  <c r="H120" i="27"/>
  <c r="C29" i="27"/>
  <c r="E86" i="27" l="1"/>
  <c r="D28" i="27"/>
  <c r="E28" i="27" s="1"/>
  <c r="C82" i="27"/>
  <c r="C24" i="27"/>
  <c r="F86" i="27"/>
  <c r="H86" i="27"/>
  <c r="C136" i="27" l="1"/>
  <c r="C138" i="27" s="1"/>
  <c r="C145" i="27"/>
  <c r="C146" i="27" s="1"/>
  <c r="C147" i="27" s="1"/>
  <c r="F28" i="27"/>
  <c r="H28" i="27"/>
  <c r="E71" i="27" l="1"/>
  <c r="F71" i="27" l="1"/>
  <c r="E69" i="27"/>
  <c r="D50" i="27"/>
  <c r="E50" i="27" s="1"/>
  <c r="H71" i="27"/>
  <c r="F50" i="27" l="1"/>
  <c r="H50" i="27"/>
  <c r="F69" i="27"/>
  <c r="H69" i="27"/>
  <c r="D68" i="27"/>
  <c r="E68" i="27" s="1"/>
  <c r="D48" i="27"/>
  <c r="E48" i="27" s="1"/>
  <c r="F48" i="27" l="1"/>
  <c r="H48" i="27"/>
  <c r="F68" i="27"/>
  <c r="H68" i="27"/>
  <c r="D47" i="27"/>
  <c r="E47" i="27" s="1"/>
  <c r="E92" i="27"/>
  <c r="E94" i="27"/>
  <c r="F47" i="27" l="1"/>
  <c r="H47" i="27"/>
  <c r="H92" i="27"/>
  <c r="F92" i="27"/>
  <c r="E90" i="27"/>
  <c r="H94" i="27"/>
  <c r="F94" i="27"/>
  <c r="D89" i="27" l="1"/>
  <c r="E89" i="27" s="1"/>
  <c r="H90" i="27"/>
  <c r="F90" i="27"/>
  <c r="E119" i="27"/>
  <c r="E121" i="27"/>
  <c r="H89" i="27" l="1"/>
  <c r="F89" i="27"/>
  <c r="H119" i="27"/>
  <c r="F119" i="27"/>
  <c r="D85" i="27"/>
  <c r="E85" i="27" s="1"/>
  <c r="H121" i="27"/>
  <c r="F121" i="27"/>
  <c r="D87" i="27"/>
  <c r="E87" i="27" s="1"/>
  <c r="D116" i="27" l="1"/>
  <c r="E116" i="27" s="1"/>
  <c r="E117" i="27"/>
  <c r="F117" i="27"/>
  <c r="H117" i="27"/>
  <c r="D83" i="27"/>
  <c r="D27" i="27"/>
  <c r="E27" i="27" s="1"/>
  <c r="H85" i="27"/>
  <c r="F85" i="27"/>
  <c r="H87" i="27"/>
  <c r="F87" i="27"/>
  <c r="D29" i="27"/>
  <c r="E29" i="27" s="1"/>
  <c r="F116" i="27" l="1"/>
  <c r="E83" i="27"/>
  <c r="D25" i="27"/>
  <c r="H116" i="27"/>
  <c r="H27" i="27"/>
  <c r="F27" i="27"/>
  <c r="F83" i="27"/>
  <c r="H83" i="27"/>
  <c r="D82" i="27"/>
  <c r="E82" i="27" s="1"/>
  <c r="H29" i="27"/>
  <c r="F29" i="27"/>
  <c r="H25" i="27" l="1"/>
  <c r="E25" i="27"/>
  <c r="F82" i="27"/>
  <c r="F25" i="27"/>
  <c r="H82" i="27"/>
  <c r="D24" i="27"/>
  <c r="D145" i="27" s="1"/>
  <c r="D146" i="27" s="1"/>
  <c r="D147" i="27" l="1"/>
  <c r="E146" i="27"/>
  <c r="D136" i="27"/>
  <c r="H136" i="27" s="1"/>
  <c r="F24" i="27"/>
  <c r="E24" i="27"/>
  <c r="E145" i="27" s="1"/>
  <c r="H24" i="27"/>
  <c r="D138" i="27" l="1"/>
  <c r="E138" i="27" s="1"/>
  <c r="D150" i="27"/>
  <c r="F136" i="27"/>
  <c r="E136" i="27"/>
</calcChain>
</file>

<file path=xl/sharedStrings.xml><?xml version="1.0" encoding="utf-8"?>
<sst xmlns="http://schemas.openxmlformats.org/spreadsheetml/2006/main" count="639" uniqueCount="91">
  <si>
    <t>Нишондиҳандаҳои макроиқтисодӣ, даромади Буҷети давлатии Ҷумҳурии Тоҷикистон 
ва ҳадди ниҳоии хароҷот аз рӯи соҳаҳо барои cоли 2022</t>
  </si>
  <si>
    <t>Варианти 1</t>
  </si>
  <si>
    <t>Нишондиҳандаҳо</t>
  </si>
  <si>
    <t>Буҷети тасдиқшудаи соли 2021</t>
  </si>
  <si>
    <t>Буҷети заминавии соли 2022</t>
  </si>
  <si>
    <t>Нишондихандахои соли 2022</t>
  </si>
  <si>
    <t>фарқият 2022/2021</t>
  </si>
  <si>
    <t>Фарқият
бо фоиз</t>
  </si>
  <si>
    <t>2021
 нисбати ММД</t>
  </si>
  <si>
    <t>2022
нисбати ММД</t>
  </si>
  <si>
    <t xml:space="preserve">  Маҷмӯи маҳсулоти дохилӣ</t>
  </si>
  <si>
    <t>x</t>
  </si>
  <si>
    <t xml:space="preserve">   Афзоиши ММД-и номиналӣ</t>
  </si>
  <si>
    <t xml:space="preserve">   Афзоиши ММД-и реалӣ</t>
  </si>
  <si>
    <t xml:space="preserve">   Таваррум</t>
  </si>
  <si>
    <t xml:space="preserve">   Дефлятори ММД</t>
  </si>
  <si>
    <t xml:space="preserve">  Қурби асъори миллӣ нисбат ба 1 доллари ИМА </t>
  </si>
  <si>
    <t xml:space="preserve">  Ҳаҷми умумии даромади буҷети давлатӣ</t>
  </si>
  <si>
    <t xml:space="preserve">   Даромади ҷории буҷети давлатӣ, аз чумла:</t>
  </si>
  <si>
    <t xml:space="preserve">    - даромадҳои андозиӣ</t>
  </si>
  <si>
    <t xml:space="preserve">    - даромадҳои ғайриандозӣ</t>
  </si>
  <si>
    <t xml:space="preserve">   Даромади ҷории буҷети давлатӣ бо дарназардошти грантҳо</t>
  </si>
  <si>
    <t xml:space="preserve">    - грант барои дастгирии буҷет</t>
  </si>
  <si>
    <t xml:space="preserve">   Барномаи сармоягузории давлатӣ, аз ҷумла:</t>
  </si>
  <si>
    <t xml:space="preserve">     - маблағҳои грантӣ </t>
  </si>
  <si>
    <t xml:space="preserve">      - маблағҳои қарзӣ</t>
  </si>
  <si>
    <t xml:space="preserve">   Маблағҳои махсуси ташкилотҳои буҷетӣ</t>
  </si>
  <si>
    <t>Ҳамҷи умумии хароҷоти Буҷети давлатӣ</t>
  </si>
  <si>
    <t>Маблағҳои буҷетӣ, аз он барои:</t>
  </si>
  <si>
    <t xml:space="preserve">  - пардохти музди меҳнат</t>
  </si>
  <si>
    <t xml:space="preserve">  - сармоягузории асосии мутамарказ </t>
  </si>
  <si>
    <t xml:space="preserve">  - дигар хароҷот</t>
  </si>
  <si>
    <t>Барномаи сармоягузории давлатӣ, аз он:</t>
  </si>
  <si>
    <t xml:space="preserve">  - маблағҳои грантӣ </t>
  </si>
  <si>
    <t xml:space="preserve">  - маблағҳои қарзӣ</t>
  </si>
  <si>
    <t>Маблағҳои махсуси ташкилотҳои буҷетӣ</t>
  </si>
  <si>
    <t xml:space="preserve">1. Мақомоти ҳокимият ва идораи давлатӣ </t>
  </si>
  <si>
    <t xml:space="preserve">Барномаи сармоягузории давлатӣ </t>
  </si>
  <si>
    <t>2,3. Мудофиа, мақомоти ҳифзи ҳуқуқ ва тартиботи ҳуқуқӣ</t>
  </si>
  <si>
    <t>Соҳаҳои иҷтимоӣ, ҳамагӣ:</t>
  </si>
  <si>
    <t>4. Маориф</t>
  </si>
  <si>
    <t>5.Тандурустӣ</t>
  </si>
  <si>
    <t>6. Суғуртаи иҷтимоӣ ва ҳифзи иҷтимоӣ</t>
  </si>
  <si>
    <t>8. Фарҳанг ва варзиш</t>
  </si>
  <si>
    <t>Соҳаҳои воқеии иқтисодиёт</t>
  </si>
  <si>
    <t>7. Хоҷагии манзилию коммуналӣ, муҳити зист ва хоҷагии ҷангал</t>
  </si>
  <si>
    <t>9. Комплекси сӯзишворию энергетикӣ</t>
  </si>
  <si>
    <t>10. Кишоварзӣ, моҳидорӣ ва шикор</t>
  </si>
  <si>
    <t>11. Саноат ва сохтмон</t>
  </si>
  <si>
    <t>12. Нақлиёт ва коммуникатсия</t>
  </si>
  <si>
    <t>13. Фаъолияти дигари иқтисодӣ ва хизматрасониҳо</t>
  </si>
  <si>
    <t xml:space="preserve"> 14. Хароҷоти дигар</t>
  </si>
  <si>
    <t xml:space="preserve">     - захираи фонди музди меҳнат</t>
  </si>
  <si>
    <t>Пардохти карзи берунии асосӣ</t>
  </si>
  <si>
    <t>Пардохти карзи дохилии асосӣ</t>
  </si>
  <si>
    <t>Пардохти фоизҳои қарзи асосӣ</t>
  </si>
  <si>
    <t>пардохти дохилӣ</t>
  </si>
  <si>
    <t>пардохти беруна</t>
  </si>
  <si>
    <t xml:space="preserve">  Касри буҷет</t>
  </si>
  <si>
    <t xml:space="preserve">  Касри васеи буҷет бо дарназардошти хизматрасонии карзи давлати, аз чумл:</t>
  </si>
  <si>
    <t xml:space="preserve">   Қарзи беруна</t>
  </si>
  <si>
    <t xml:space="preserve">   Қарзи дохилӣ</t>
  </si>
  <si>
    <t>Касри буҷети давлатӣ бо ҳисоби методологияи ХБА</t>
  </si>
  <si>
    <t xml:space="preserve"> бо ММД</t>
  </si>
  <si>
    <t>Индикатори тавсиявии ХБА</t>
  </si>
  <si>
    <t>2,5 фоизи ММД</t>
  </si>
  <si>
    <t>Нишондиҳандаҳои макроиқтисодӣ, даромади Буҷети давлатии Ҷумҳурии Тоҷикистон 
ва ҳадди ниҳоии хароҷот аз рӯи соҳаҳо барои cоли 2023</t>
  </si>
  <si>
    <t>млн сомонӣ</t>
  </si>
  <si>
    <t>бо млн сомонӣ</t>
  </si>
  <si>
    <t>Буҷети тасдиқшудаи соли 2022</t>
  </si>
  <si>
    <t>Лоиҳаи буҷети соли 2023</t>
  </si>
  <si>
    <t>фарқият 2023/2022</t>
  </si>
  <si>
    <t>2022
 нисбати ММД</t>
  </si>
  <si>
    <t>2023
нисбати ММД</t>
  </si>
  <si>
    <t xml:space="preserve">    - даромадҳои андозӣ</t>
  </si>
  <si>
    <t>Нишондиҳандаҳои макроиқтисодӣ, даромади Буҷети давлатии Ҷумҳурии Тоҷикистон 
ва ҳадди ниҳоии хароҷот аз рӯи соҳаҳо барои cолҳои 2024 - 2025</t>
  </si>
  <si>
    <t>Нишондихандаҳо</t>
  </si>
  <si>
    <t>Ҳадди ниҳоии соли  2022</t>
  </si>
  <si>
    <t>Ҳадди ниҳоии соли  2024</t>
  </si>
  <si>
    <t>Ҳадди ниҳоии соли  2025</t>
  </si>
  <si>
    <t>2025/2024
бо фоиз</t>
  </si>
  <si>
    <t>2024/20232
бо сомонӣ</t>
  </si>
  <si>
    <t>2025/2024
бо сомонӣ</t>
  </si>
  <si>
    <t>2021
нисбати ММД</t>
  </si>
  <si>
    <t>2024
нисбати ММД</t>
  </si>
  <si>
    <t>2025
нисбати ММД</t>
  </si>
  <si>
    <t>х</t>
  </si>
  <si>
    <t xml:space="preserve">   Даромади ҷории буҷети давлатӣ, аз он:</t>
  </si>
  <si>
    <t>14. Хароҷоти дигар</t>
  </si>
  <si>
    <t xml:space="preserve">     - захираи фонди музди мехнат</t>
  </si>
  <si>
    <t>Касри буҷет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</si>
</sst>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"/>
    <numFmt numFmtId="166" formatCode="0.000000"/>
    <numFmt numFmtId="167" formatCode="0.000"/>
  </numFmts>
  <fonts count="37">
    <font>
      <sz val="10"/>
      <name val="Arial Cyr"/>
      <charset val="204"/>
    </font>
    <font>
      <sz val="11"/>
      <color theme="0"/>
      <name val="Calibri"/>
      <family val="2"/>
      <charset val="204"/>
      <scheme val="minor"/>
    </font>
    <font>
      <b/>
      <sz val="12"/>
      <color theme="1"/>
      <name val="Palatino Linotype"/>
      <family val="1"/>
      <charset val="204"/>
    </font>
    <font>
      <sz val="12"/>
      <color theme="1"/>
      <name val="Palatino Linotype"/>
      <family val="1"/>
      <charset val="204"/>
    </font>
    <font>
      <i/>
      <sz val="12"/>
      <color theme="1"/>
      <name val="Palatino Linotype"/>
      <family val="1"/>
      <charset val="204"/>
    </font>
    <font>
      <sz val="12"/>
      <name val="Arial Cyr"/>
      <charset val="204"/>
    </font>
    <font>
      <b/>
      <sz val="14"/>
      <color theme="1"/>
      <name val="Palatino Linotype"/>
      <family val="1"/>
      <charset val="204"/>
    </font>
    <font>
      <b/>
      <i/>
      <sz val="14"/>
      <color theme="1"/>
      <name val="Palatino Linotype"/>
      <family val="1"/>
      <charset val="204"/>
    </font>
    <font>
      <b/>
      <sz val="14"/>
      <color rgb="FFFF0000"/>
      <name val="Palatino Linotype"/>
      <family val="1"/>
      <charset val="204"/>
    </font>
    <font>
      <sz val="16"/>
      <color theme="1"/>
      <name val="Palatino Linotype"/>
      <family val="1"/>
      <charset val="204"/>
    </font>
    <font>
      <b/>
      <sz val="14"/>
      <name val="Palatino Linotype"/>
      <family val="1"/>
      <charset val="204"/>
    </font>
    <font>
      <sz val="14"/>
      <name val="Palatino Linotype"/>
      <family val="1"/>
      <charset val="204"/>
    </font>
    <font>
      <i/>
      <sz val="14"/>
      <name val="Palatino Linotype"/>
      <family val="1"/>
      <charset val="204"/>
    </font>
    <font>
      <i/>
      <sz val="12"/>
      <name val="Palatino Linotype"/>
      <family val="1"/>
      <charset val="204"/>
    </font>
    <font>
      <sz val="12"/>
      <name val="Palatino Linotype"/>
      <family val="1"/>
      <charset val="204"/>
    </font>
    <font>
      <sz val="10"/>
      <color theme="1"/>
      <name val="Palatino Linotype"/>
      <family val="1"/>
      <charset val="204"/>
    </font>
    <font>
      <b/>
      <sz val="11"/>
      <color theme="1"/>
      <name val="Palatino Linotype"/>
      <family val="1"/>
      <charset val="204"/>
    </font>
    <font>
      <b/>
      <sz val="13"/>
      <color theme="1"/>
      <name val="Palatino Linotype"/>
      <family val="1"/>
      <charset val="204"/>
    </font>
    <font>
      <sz val="13"/>
      <color theme="1"/>
      <name val="Palatino Linotype"/>
      <family val="1"/>
      <charset val="204"/>
    </font>
    <font>
      <b/>
      <sz val="10"/>
      <color theme="1"/>
      <name val="Palatino Linotype"/>
      <family val="1"/>
      <charset val="204"/>
    </font>
    <font>
      <i/>
      <sz val="13"/>
      <color theme="1"/>
      <name val="Palatino Linotype"/>
      <family val="1"/>
      <charset val="204"/>
    </font>
    <font>
      <b/>
      <sz val="13"/>
      <color rgb="FFFF0000"/>
      <name val="Palatino Linotype"/>
      <family val="1"/>
      <charset val="204"/>
    </font>
    <font>
      <sz val="13"/>
      <color rgb="FFFF0000"/>
      <name val="Palatino Linotype"/>
      <family val="1"/>
      <charset val="204"/>
    </font>
    <font>
      <i/>
      <sz val="13"/>
      <color rgb="FFFF0000"/>
      <name val="Palatino Linotype"/>
      <family val="1"/>
      <charset val="204"/>
    </font>
    <font>
      <sz val="10"/>
      <color rgb="FFFF0000"/>
      <name val="Palatino Linotype"/>
      <family val="1"/>
      <charset val="204"/>
    </font>
    <font>
      <b/>
      <i/>
      <sz val="14"/>
      <name val="Palatino Linotype"/>
      <family val="1"/>
      <charset val="204"/>
    </font>
    <font>
      <i/>
      <sz val="16"/>
      <name val="Palatino Linotype"/>
      <family val="1"/>
      <charset val="204"/>
    </font>
    <font>
      <sz val="16"/>
      <color rgb="FFFF0000"/>
      <name val="Palatino Linotype"/>
      <family val="1"/>
      <charset val="204"/>
    </font>
    <font>
      <b/>
      <sz val="16"/>
      <color theme="1"/>
      <name val="Palatino Linotype"/>
      <family val="1"/>
      <charset val="204"/>
    </font>
    <font>
      <sz val="16"/>
      <name val="Palatino Linotype"/>
      <family val="1"/>
      <charset val="204"/>
    </font>
    <font>
      <b/>
      <i/>
      <sz val="16"/>
      <name val="Palatino Linotype"/>
      <family val="1"/>
      <charset val="204"/>
    </font>
    <font>
      <b/>
      <sz val="16"/>
      <name val="Palatino Linotype"/>
      <family val="1"/>
      <charset val="204"/>
    </font>
    <font>
      <sz val="12"/>
      <color rgb="FFFF0000"/>
      <name val="Palatino Linotype"/>
      <family val="1"/>
      <charset val="204"/>
    </font>
    <font>
      <i/>
      <sz val="16"/>
      <color rgb="FFFF0000"/>
      <name val="Palatino Linotype"/>
      <family val="1"/>
      <charset val="204"/>
    </font>
    <font>
      <i/>
      <sz val="12"/>
      <color rgb="FFFF0000"/>
      <name val="Palatino Linotype"/>
      <family val="1"/>
      <charset val="204"/>
    </font>
    <font>
      <b/>
      <sz val="12"/>
      <name val="Palatino Linotype"/>
      <family val="1"/>
      <charset val="204"/>
    </font>
    <font>
      <b/>
      <sz val="11"/>
      <name val="Palatino Linotype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162">
    <xf numFmtId="0" fontId="0" fillId="0" borderId="0" xfId="0"/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9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 applyAlignment="1">
      <alignment vertical="center" wrapText="1"/>
    </xf>
    <xf numFmtId="0" fontId="6" fillId="2" borderId="0" xfId="1" applyFont="1" applyFill="1" applyBorder="1" applyAlignment="1">
      <alignment horizontal="center" vertical="center" wrapText="1"/>
    </xf>
    <xf numFmtId="0" fontId="16" fillId="2" borderId="0" xfId="0" applyFont="1" applyFill="1" applyAlignment="1">
      <alignment vertical="center" wrapText="1"/>
    </xf>
    <xf numFmtId="0" fontId="18" fillId="2" borderId="5" xfId="0" applyFont="1" applyFill="1" applyBorder="1" applyAlignment="1">
      <alignment horizontal="left" vertical="center" wrapText="1"/>
    </xf>
    <xf numFmtId="164" fontId="18" fillId="2" borderId="5" xfId="0" applyNumberFormat="1" applyFont="1" applyFill="1" applyBorder="1" applyAlignment="1" applyProtection="1">
      <alignment horizontal="center" vertical="center" wrapText="1"/>
      <protection hidden="1"/>
    </xf>
    <xf numFmtId="4" fontId="18" fillId="2" borderId="5" xfId="0" applyNumberFormat="1" applyFont="1" applyFill="1" applyBorder="1" applyAlignment="1" applyProtection="1">
      <alignment horizontal="center" vertical="center" wrapText="1"/>
      <protection hidden="1"/>
    </xf>
    <xf numFmtId="0" fontId="19" fillId="2" borderId="0" xfId="0" applyFont="1" applyFill="1" applyAlignment="1">
      <alignment vertical="center" wrapText="1"/>
    </xf>
    <xf numFmtId="0" fontId="20" fillId="2" borderId="5" xfId="0" applyFont="1" applyFill="1" applyBorder="1" applyAlignment="1">
      <alignment horizontal="left" vertical="center" wrapText="1"/>
    </xf>
    <xf numFmtId="164" fontId="20" fillId="2" borderId="5" xfId="0" applyNumberFormat="1" applyFont="1" applyFill="1" applyBorder="1" applyAlignment="1" applyProtection="1">
      <alignment horizontal="center" vertical="center" wrapText="1"/>
      <protection hidden="1"/>
    </xf>
    <xf numFmtId="0" fontId="20" fillId="2" borderId="5" xfId="0" applyFont="1" applyFill="1" applyBorder="1" applyAlignment="1">
      <alignment horizontal="left" vertical="center" wrapText="1" indent="1"/>
    </xf>
    <xf numFmtId="49" fontId="20" fillId="2" borderId="5" xfId="0" applyNumberFormat="1" applyFont="1" applyFill="1" applyBorder="1" applyAlignment="1">
      <alignment horizontal="left" vertical="center" wrapText="1" indent="1"/>
    </xf>
    <xf numFmtId="0" fontId="18" fillId="2" borderId="5" xfId="0" applyFont="1" applyFill="1" applyBorder="1" applyAlignment="1">
      <alignment horizontal="left" vertical="center" wrapText="1" indent="1"/>
    </xf>
    <xf numFmtId="0" fontId="15" fillId="2" borderId="8" xfId="0" applyFont="1" applyFill="1" applyBorder="1" applyAlignment="1">
      <alignment vertical="center" wrapText="1"/>
    </xf>
    <xf numFmtId="164" fontId="18" fillId="2" borderId="0" xfId="0" applyNumberFormat="1" applyFont="1" applyFill="1" applyAlignment="1">
      <alignment horizontal="center" vertical="center" wrapText="1"/>
    </xf>
    <xf numFmtId="164" fontId="20" fillId="2" borderId="0" xfId="0" applyNumberFormat="1" applyFont="1" applyFill="1" applyAlignment="1">
      <alignment horizontal="center" vertical="center" wrapText="1"/>
    </xf>
    <xf numFmtId="164" fontId="18" fillId="2" borderId="5" xfId="0" applyNumberFormat="1" applyFont="1" applyFill="1" applyBorder="1" applyAlignment="1">
      <alignment horizontal="center" vertical="center" wrapText="1"/>
    </xf>
    <xf numFmtId="164" fontId="22" fillId="2" borderId="5" xfId="0" applyNumberFormat="1" applyFont="1" applyFill="1" applyBorder="1" applyAlignment="1" applyProtection="1">
      <alignment horizontal="center" vertical="center" wrapText="1"/>
      <protection hidden="1"/>
    </xf>
    <xf numFmtId="0" fontId="20" fillId="2" borderId="5" xfId="0" applyFont="1" applyFill="1" applyBorder="1" applyAlignment="1">
      <alignment horizontal="left" vertical="center" wrapText="1" indent="2"/>
    </xf>
    <xf numFmtId="164" fontId="23" fillId="2" borderId="5" xfId="0" applyNumberFormat="1" applyFont="1" applyFill="1" applyBorder="1" applyAlignment="1" applyProtection="1">
      <alignment horizontal="center" vertical="center" wrapText="1"/>
      <protection hidden="1"/>
    </xf>
    <xf numFmtId="164" fontId="20" fillId="2" borderId="5" xfId="0" applyNumberFormat="1" applyFont="1" applyFill="1" applyBorder="1" applyAlignment="1">
      <alignment horizontal="center" vertical="center" wrapText="1"/>
    </xf>
    <xf numFmtId="164" fontId="23" fillId="2" borderId="5" xfId="0" applyNumberFormat="1" applyFont="1" applyFill="1" applyBorder="1" applyAlignment="1">
      <alignment horizontal="center" vertical="center" wrapText="1"/>
    </xf>
    <xf numFmtId="165" fontId="15" fillId="2" borderId="0" xfId="0" applyNumberFormat="1" applyFont="1" applyFill="1" applyAlignment="1">
      <alignment vertical="center" wrapText="1"/>
    </xf>
    <xf numFmtId="0" fontId="8" fillId="2" borderId="0" xfId="1" applyFont="1" applyFill="1" applyBorder="1" applyAlignment="1">
      <alignment horizontal="center" vertical="center" wrapText="1"/>
    </xf>
    <xf numFmtId="4" fontId="22" fillId="2" borderId="5" xfId="0" applyNumberFormat="1" applyFont="1" applyFill="1" applyBorder="1" applyAlignment="1" applyProtection="1">
      <alignment horizontal="center" vertical="center" wrapText="1"/>
      <protection hidden="1"/>
    </xf>
    <xf numFmtId="165" fontId="24" fillId="2" borderId="0" xfId="0" applyNumberFormat="1" applyFont="1" applyFill="1" applyAlignment="1">
      <alignment vertical="center" wrapText="1"/>
    </xf>
    <xf numFmtId="0" fontId="24" fillId="2" borderId="0" xfId="0" applyFont="1" applyFill="1" applyAlignment="1">
      <alignment vertical="center" wrapText="1"/>
    </xf>
    <xf numFmtId="0" fontId="6" fillId="4" borderId="9" xfId="0" applyFont="1" applyFill="1" applyBorder="1" applyAlignment="1">
      <alignment vertical="center" wrapText="1"/>
    </xf>
    <xf numFmtId="164" fontId="6" fillId="4" borderId="10" xfId="0" applyNumberFormat="1" applyFont="1" applyFill="1" applyBorder="1" applyAlignment="1">
      <alignment horizontal="center" vertical="center" wrapText="1"/>
    </xf>
    <xf numFmtId="0" fontId="25" fillId="4" borderId="9" xfId="0" applyFont="1" applyFill="1" applyBorder="1" applyAlignment="1">
      <alignment vertical="center" wrapText="1"/>
    </xf>
    <xf numFmtId="0" fontId="13" fillId="2" borderId="0" xfId="0" applyFont="1" applyFill="1" applyAlignment="1">
      <alignment vertical="center" wrapText="1"/>
    </xf>
    <xf numFmtId="0" fontId="25" fillId="2" borderId="0" xfId="0" applyFont="1" applyFill="1" applyAlignment="1">
      <alignment vertical="center" wrapText="1"/>
    </xf>
    <xf numFmtId="0" fontId="25" fillId="4" borderId="0" xfId="0" applyFont="1" applyFill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6" fillId="2" borderId="0" xfId="0" applyFont="1" applyFill="1" applyAlignment="1">
      <alignment vertical="center" wrapText="1"/>
    </xf>
    <xf numFmtId="164" fontId="28" fillId="4" borderId="10" xfId="0" applyNumberFormat="1" applyFont="1" applyFill="1" applyBorder="1" applyAlignment="1">
      <alignment horizontal="center" vertical="center" wrapText="1"/>
    </xf>
    <xf numFmtId="0" fontId="29" fillId="2" borderId="0" xfId="0" applyFont="1" applyFill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27" fillId="2" borderId="0" xfId="0" applyFont="1" applyFill="1" applyAlignment="1">
      <alignment horizontal="center" vertical="center" wrapText="1"/>
    </xf>
    <xf numFmtId="0" fontId="27" fillId="0" borderId="0" xfId="0" applyFont="1" applyAlignment="1">
      <alignment vertical="center" wrapText="1"/>
    </xf>
    <xf numFmtId="0" fontId="30" fillId="4" borderId="9" xfId="0" applyFont="1" applyFill="1" applyBorder="1" applyAlignment="1">
      <alignment horizontal="center" vertical="center" wrapText="1"/>
    </xf>
    <xf numFmtId="165" fontId="30" fillId="4" borderId="9" xfId="0" applyNumberFormat="1" applyFont="1" applyFill="1" applyBorder="1" applyAlignment="1">
      <alignment horizontal="center" vertical="center" wrapText="1"/>
    </xf>
    <xf numFmtId="0" fontId="26" fillId="2" borderId="0" xfId="0" applyFont="1" applyFill="1" applyAlignment="1">
      <alignment horizontal="center" vertical="center" wrapText="1"/>
    </xf>
    <xf numFmtId="0" fontId="26" fillId="2" borderId="0" xfId="0" applyFont="1" applyFill="1" applyAlignment="1">
      <alignment vertical="center" wrapText="1"/>
    </xf>
    <xf numFmtId="0" fontId="26" fillId="0" borderId="0" xfId="0" applyFont="1" applyAlignment="1">
      <alignment vertical="center" wrapText="1"/>
    </xf>
    <xf numFmtId="0" fontId="30" fillId="2" borderId="0" xfId="0" applyFont="1" applyFill="1" applyAlignment="1">
      <alignment vertical="center" wrapText="1"/>
    </xf>
    <xf numFmtId="0" fontId="30" fillId="2" borderId="0" xfId="0" applyFont="1" applyFill="1" applyAlignment="1">
      <alignment horizontal="center" vertical="center" wrapText="1"/>
    </xf>
    <xf numFmtId="164" fontId="30" fillId="4" borderId="0" xfId="0" applyNumberFormat="1" applyFont="1" applyFill="1" applyAlignment="1">
      <alignment vertical="center" wrapText="1"/>
    </xf>
    <xf numFmtId="164" fontId="29" fillId="2" borderId="0" xfId="0" applyNumberFormat="1" applyFont="1" applyFill="1" applyAlignment="1">
      <alignment vertical="center" wrapText="1"/>
    </xf>
    <xf numFmtId="164" fontId="28" fillId="4" borderId="9" xfId="0" applyNumberFormat="1" applyFont="1" applyFill="1" applyBorder="1" applyAlignment="1">
      <alignment horizontal="center" vertical="center" wrapText="1"/>
    </xf>
    <xf numFmtId="165" fontId="30" fillId="2" borderId="0" xfId="0" applyNumberFormat="1" applyFont="1" applyFill="1" applyAlignment="1">
      <alignment horizontal="center" vertical="center" wrapText="1"/>
    </xf>
    <xf numFmtId="0" fontId="27" fillId="2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164" fontId="27" fillId="2" borderId="0" xfId="0" applyNumberFormat="1" applyFont="1" applyFill="1" applyAlignment="1">
      <alignment vertical="center" wrapText="1"/>
    </xf>
    <xf numFmtId="0" fontId="5" fillId="2" borderId="0" xfId="0" applyFont="1" applyFill="1"/>
    <xf numFmtId="0" fontId="32" fillId="2" borderId="11" xfId="0" applyFont="1" applyFill="1" applyBorder="1" applyAlignment="1">
      <alignment vertical="center" wrapText="1"/>
    </xf>
    <xf numFmtId="164" fontId="33" fillId="0" borderId="0" xfId="0" applyNumberFormat="1" applyFont="1" applyAlignment="1">
      <alignment horizontal="center" vertical="center" wrapText="1"/>
    </xf>
    <xf numFmtId="164" fontId="34" fillId="0" borderId="0" xfId="0" applyNumberFormat="1" applyFont="1" applyAlignment="1" applyProtection="1">
      <alignment horizontal="center" vertical="center" wrapText="1"/>
      <protection hidden="1"/>
    </xf>
    <xf numFmtId="0" fontId="32" fillId="5" borderId="0" xfId="0" applyFont="1" applyFill="1" applyAlignment="1">
      <alignment vertical="center" wrapText="1"/>
    </xf>
    <xf numFmtId="164" fontId="32" fillId="5" borderId="0" xfId="0" applyNumberFormat="1" applyFont="1" applyFill="1" applyAlignment="1" applyProtection="1">
      <alignment horizontal="center" vertical="center" wrapText="1"/>
      <protection hidden="1"/>
    </xf>
    <xf numFmtId="2" fontId="15" fillId="2" borderId="0" xfId="0" applyNumberFormat="1" applyFont="1" applyFill="1" applyAlignment="1">
      <alignment vertical="center" wrapText="1"/>
    </xf>
    <xf numFmtId="164" fontId="15" fillId="2" borderId="0" xfId="0" applyNumberFormat="1" applyFont="1" applyFill="1" applyAlignment="1">
      <alignment vertical="center" wrapText="1"/>
    </xf>
    <xf numFmtId="164" fontId="12" fillId="5" borderId="0" xfId="1" applyNumberFormat="1" applyFont="1" applyFill="1" applyBorder="1" applyAlignment="1" applyProtection="1">
      <alignment horizontal="right" vertical="center" wrapText="1"/>
      <protection hidden="1"/>
    </xf>
    <xf numFmtId="0" fontId="11" fillId="2" borderId="12" xfId="0" applyFont="1" applyFill="1" applyBorder="1" applyAlignment="1">
      <alignment horizontal="left" vertical="center" wrapText="1"/>
    </xf>
    <xf numFmtId="165" fontId="11" fillId="2" borderId="0" xfId="0" applyNumberFormat="1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4" fontId="11" fillId="2" borderId="0" xfId="0" applyNumberFormat="1" applyFont="1" applyFill="1" applyAlignment="1">
      <alignment horizontal="center" vertical="center" wrapText="1"/>
    </xf>
    <xf numFmtId="4" fontId="11" fillId="2" borderId="13" xfId="0" applyNumberFormat="1" applyFont="1" applyFill="1" applyBorder="1" applyAlignment="1">
      <alignment horizontal="center" vertical="center" wrapText="1"/>
    </xf>
    <xf numFmtId="164" fontId="13" fillId="0" borderId="0" xfId="1" applyNumberFormat="1" applyFont="1" applyFill="1" applyBorder="1" applyAlignment="1">
      <alignment horizontal="center" vertical="center" wrapText="1"/>
    </xf>
    <xf numFmtId="164" fontId="13" fillId="5" borderId="0" xfId="1" applyNumberFormat="1" applyFont="1" applyFill="1" applyBorder="1" applyAlignment="1" applyProtection="1">
      <alignment horizontal="right" vertical="center" wrapText="1"/>
      <protection hidden="1"/>
    </xf>
    <xf numFmtId="0" fontId="10" fillId="0" borderId="12" xfId="0" applyFont="1" applyBorder="1" applyAlignment="1">
      <alignment horizontal="left" vertical="center" wrapText="1"/>
    </xf>
    <xf numFmtId="164" fontId="10" fillId="0" borderId="0" xfId="0" applyNumberFormat="1" applyFont="1" applyAlignment="1">
      <alignment horizontal="center" vertical="center" wrapText="1"/>
    </xf>
    <xf numFmtId="164" fontId="10" fillId="0" borderId="13" xfId="0" applyNumberFormat="1" applyFont="1" applyBorder="1" applyAlignment="1">
      <alignment horizontal="center" vertical="center" wrapText="1"/>
    </xf>
    <xf numFmtId="164" fontId="10" fillId="0" borderId="0" xfId="0" applyNumberFormat="1" applyFont="1" applyAlignment="1" applyProtection="1">
      <alignment horizontal="center" vertical="center" wrapText="1"/>
      <protection hidden="1"/>
    </xf>
    <xf numFmtId="164" fontId="10" fillId="0" borderId="13" xfId="0" applyNumberFormat="1" applyFont="1" applyBorder="1" applyAlignment="1" applyProtection="1">
      <alignment horizontal="center" vertical="center" wrapText="1"/>
      <protection hidden="1"/>
    </xf>
    <xf numFmtId="0" fontId="12" fillId="0" borderId="12" xfId="0" applyFont="1" applyBorder="1" applyAlignment="1">
      <alignment horizontal="left" vertical="center" wrapText="1"/>
    </xf>
    <xf numFmtId="164" fontId="11" fillId="0" borderId="0" xfId="0" applyNumberFormat="1" applyFont="1" applyAlignment="1">
      <alignment horizontal="center" vertical="center" wrapText="1"/>
    </xf>
    <xf numFmtId="164" fontId="11" fillId="0" borderId="13" xfId="0" applyNumberFormat="1" applyFont="1" applyBorder="1" applyAlignment="1">
      <alignment horizontal="center" vertical="center" wrapText="1"/>
    </xf>
    <xf numFmtId="164" fontId="12" fillId="0" borderId="0" xfId="0" applyNumberFormat="1" applyFont="1" applyAlignment="1" applyProtection="1">
      <alignment horizontal="center" vertical="center" wrapText="1"/>
      <protection hidden="1"/>
    </xf>
    <xf numFmtId="0" fontId="10" fillId="0" borderId="12" xfId="0" applyFont="1" applyBorder="1" applyAlignment="1">
      <alignment horizontal="left" vertical="center" wrapText="1" indent="1"/>
    </xf>
    <xf numFmtId="0" fontId="12" fillId="0" borderId="12" xfId="0" applyFont="1" applyBorder="1" applyAlignment="1">
      <alignment horizontal="left" vertical="center" wrapText="1" indent="1"/>
    </xf>
    <xf numFmtId="164" fontId="12" fillId="0" borderId="0" xfId="0" applyNumberFormat="1" applyFont="1" applyAlignment="1">
      <alignment horizontal="center" vertical="center" wrapText="1"/>
    </xf>
    <xf numFmtId="164" fontId="12" fillId="0" borderId="13" xfId="0" applyNumberFormat="1" applyFont="1" applyBorder="1" applyAlignment="1">
      <alignment horizontal="center" vertical="center" wrapText="1"/>
    </xf>
    <xf numFmtId="0" fontId="10" fillId="0" borderId="12" xfId="0" applyFont="1" applyBorder="1" applyAlignment="1">
      <alignment vertical="center" wrapText="1"/>
    </xf>
    <xf numFmtId="164" fontId="11" fillId="0" borderId="0" xfId="0" applyNumberFormat="1" applyFont="1" applyAlignment="1" applyProtection="1">
      <alignment horizontal="center" vertical="center" wrapText="1"/>
      <protection hidden="1"/>
    </xf>
    <xf numFmtId="0" fontId="11" fillId="0" borderId="12" xfId="0" applyFont="1" applyBorder="1" applyAlignment="1">
      <alignment horizontal="left" vertical="center" wrapText="1" indent="1"/>
    </xf>
    <xf numFmtId="0" fontId="12" fillId="0" borderId="12" xfId="0" applyFont="1" applyBorder="1" applyAlignment="1">
      <alignment horizontal="left" vertical="center" wrapText="1" indent="2"/>
    </xf>
    <xf numFmtId="0" fontId="10" fillId="0" borderId="14" xfId="0" applyFont="1" applyBorder="1" applyAlignment="1">
      <alignment vertical="center" wrapText="1"/>
    </xf>
    <xf numFmtId="164" fontId="10" fillId="0" borderId="7" xfId="0" applyNumberFormat="1" applyFont="1" applyBorder="1" applyAlignment="1">
      <alignment horizontal="center" vertical="center" wrapText="1"/>
    </xf>
    <xf numFmtId="164" fontId="10" fillId="0" borderId="15" xfId="0" applyNumberFormat="1" applyFont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left" vertical="center" wrapText="1"/>
    </xf>
    <xf numFmtId="164" fontId="17" fillId="2" borderId="5" xfId="0" applyNumberFormat="1" applyFont="1" applyFill="1" applyBorder="1" applyAlignment="1" applyProtection="1">
      <alignment horizontal="center" vertical="center" wrapText="1"/>
      <protection hidden="1"/>
    </xf>
    <xf numFmtId="0" fontId="17" fillId="2" borderId="5" xfId="0" applyFont="1" applyFill="1" applyBorder="1" applyAlignment="1">
      <alignment vertical="center" wrapText="1"/>
    </xf>
    <xf numFmtId="0" fontId="17" fillId="2" borderId="5" xfId="0" applyFont="1" applyFill="1" applyBorder="1" applyAlignment="1">
      <alignment horizontal="left" vertical="center" wrapText="1" indent="1"/>
    </xf>
    <xf numFmtId="164" fontId="17" fillId="2" borderId="0" xfId="0" applyNumberFormat="1" applyFont="1" applyFill="1" applyAlignment="1">
      <alignment horizontal="center" vertical="center" wrapText="1"/>
    </xf>
    <xf numFmtId="164" fontId="21" fillId="2" borderId="5" xfId="0" applyNumberFormat="1" applyFont="1" applyFill="1" applyBorder="1" applyAlignment="1" applyProtection="1">
      <alignment horizontal="center" vertical="center" wrapText="1"/>
      <protection hidden="1"/>
    </xf>
    <xf numFmtId="0" fontId="17" fillId="2" borderId="6" xfId="0" applyFont="1" applyFill="1" applyBorder="1" applyAlignment="1">
      <alignment horizontal="left" vertical="center" wrapText="1" indent="1"/>
    </xf>
    <xf numFmtId="164" fontId="17" fillId="2" borderId="6" xfId="0" applyNumberFormat="1" applyFont="1" applyFill="1" applyBorder="1" applyAlignment="1" applyProtection="1">
      <alignment horizontal="center" vertical="center" wrapText="1"/>
      <protection hidden="1"/>
    </xf>
    <xf numFmtId="0" fontId="16" fillId="4" borderId="0" xfId="0" applyFont="1" applyFill="1" applyAlignment="1">
      <alignment horizontal="center" vertical="center" wrapText="1"/>
    </xf>
    <xf numFmtId="0" fontId="17" fillId="4" borderId="4" xfId="0" applyFont="1" applyFill="1" applyBorder="1" applyAlignment="1">
      <alignment vertical="center" wrapText="1"/>
    </xf>
    <xf numFmtId="3" fontId="17" fillId="4" borderId="4" xfId="0" applyNumberFormat="1" applyFont="1" applyFill="1" applyBorder="1" applyAlignment="1" applyProtection="1">
      <alignment horizontal="center" vertical="center" wrapText="1"/>
      <protection hidden="1"/>
    </xf>
    <xf numFmtId="164" fontId="17" fillId="4" borderId="4" xfId="0" applyNumberFormat="1" applyFont="1" applyFill="1" applyBorder="1" applyAlignment="1" applyProtection="1">
      <alignment horizontal="center" vertical="center" wrapText="1"/>
      <protection hidden="1"/>
    </xf>
    <xf numFmtId="0" fontId="35" fillId="4" borderId="12" xfId="0" applyFont="1" applyFill="1" applyBorder="1" applyAlignment="1">
      <alignment horizontal="center" vertical="center" wrapText="1"/>
    </xf>
    <xf numFmtId="0" fontId="36" fillId="4" borderId="0" xfId="0" applyFont="1" applyFill="1" applyAlignment="1">
      <alignment horizontal="center" vertical="center" wrapText="1"/>
    </xf>
    <xf numFmtId="0" fontId="36" fillId="4" borderId="13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left" vertical="center" wrapText="1"/>
    </xf>
    <xf numFmtId="1" fontId="10" fillId="4" borderId="0" xfId="0" applyNumberFormat="1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vertical="center" wrapText="1"/>
    </xf>
    <xf numFmtId="164" fontId="3" fillId="2" borderId="0" xfId="0" applyNumberFormat="1" applyFont="1" applyFill="1" applyAlignment="1">
      <alignment vertical="center" wrapText="1"/>
    </xf>
    <xf numFmtId="164" fontId="12" fillId="2" borderId="0" xfId="0" applyNumberFormat="1" applyFont="1" applyFill="1" applyAlignment="1">
      <alignment horizontal="center" vertical="center" wrapText="1"/>
    </xf>
    <xf numFmtId="164" fontId="14" fillId="2" borderId="0" xfId="0" applyNumberFormat="1" applyFont="1" applyFill="1" applyAlignment="1">
      <alignment vertical="center" wrapText="1"/>
    </xf>
    <xf numFmtId="0" fontId="14" fillId="2" borderId="3" xfId="0" applyFont="1" applyFill="1" applyBorder="1" applyAlignment="1">
      <alignment vertical="center" wrapText="1"/>
    </xf>
    <xf numFmtId="164" fontId="11" fillId="2" borderId="0" xfId="0" applyNumberFormat="1" applyFont="1" applyFill="1" applyAlignment="1">
      <alignment horizontal="center" vertical="center" wrapText="1"/>
    </xf>
    <xf numFmtId="164" fontId="10" fillId="2" borderId="0" xfId="0" applyNumberFormat="1" applyFont="1" applyFill="1" applyAlignment="1">
      <alignment horizontal="center" vertical="center" wrapText="1"/>
    </xf>
    <xf numFmtId="0" fontId="35" fillId="2" borderId="3" xfId="0" applyFont="1" applyFill="1" applyBorder="1" applyAlignment="1">
      <alignment vertical="center" wrapText="1"/>
    </xf>
    <xf numFmtId="164" fontId="14" fillId="2" borderId="3" xfId="0" applyNumberFormat="1" applyFont="1" applyFill="1" applyBorder="1" applyAlignment="1">
      <alignment vertical="center" wrapText="1"/>
    </xf>
    <xf numFmtId="165" fontId="14" fillId="2" borderId="3" xfId="0" applyNumberFormat="1" applyFont="1" applyFill="1" applyBorder="1" applyAlignment="1">
      <alignment vertical="center" wrapText="1"/>
    </xf>
    <xf numFmtId="0" fontId="29" fillId="2" borderId="0" xfId="0" applyFont="1" applyFill="1" applyAlignment="1">
      <alignment horizontal="center" vertical="center" wrapText="1"/>
    </xf>
    <xf numFmtId="164" fontId="13" fillId="2" borderId="0" xfId="1" applyNumberFormat="1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left" vertical="center" wrapText="1"/>
    </xf>
    <xf numFmtId="3" fontId="10" fillId="2" borderId="0" xfId="0" applyNumberFormat="1" applyFont="1" applyFill="1" applyAlignment="1">
      <alignment horizontal="center" vertical="center" wrapText="1"/>
    </xf>
    <xf numFmtId="1" fontId="10" fillId="2" borderId="0" xfId="0" applyNumberFormat="1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164" fontId="10" fillId="2" borderId="0" xfId="0" applyNumberFormat="1" applyFont="1" applyFill="1" applyAlignment="1" applyProtection="1">
      <alignment horizontal="center" vertical="center" wrapText="1"/>
      <protection hidden="1"/>
    </xf>
    <xf numFmtId="0" fontId="12" fillId="2" borderId="12" xfId="0" applyFont="1" applyFill="1" applyBorder="1" applyAlignment="1">
      <alignment horizontal="left" vertical="center" wrapText="1"/>
    </xf>
    <xf numFmtId="0" fontId="12" fillId="2" borderId="12" xfId="0" applyFont="1" applyFill="1" applyBorder="1" applyAlignment="1">
      <alignment horizontal="left" vertical="center" wrapText="1" indent="1"/>
    </xf>
    <xf numFmtId="0" fontId="10" fillId="2" borderId="12" xfId="0" applyFont="1" applyFill="1" applyBorder="1" applyAlignment="1">
      <alignment horizontal="left" vertical="center" wrapText="1" indent="1"/>
    </xf>
    <xf numFmtId="0" fontId="10" fillId="2" borderId="12" xfId="0" applyFont="1" applyFill="1" applyBorder="1" applyAlignment="1">
      <alignment vertical="center" wrapText="1"/>
    </xf>
    <xf numFmtId="2" fontId="14" fillId="2" borderId="3" xfId="0" applyNumberFormat="1" applyFont="1" applyFill="1" applyBorder="1" applyAlignment="1">
      <alignment vertical="center" wrapText="1"/>
    </xf>
    <xf numFmtId="0" fontId="11" fillId="2" borderId="12" xfId="0" applyFont="1" applyFill="1" applyBorder="1" applyAlignment="1">
      <alignment horizontal="left" vertical="center" wrapText="1" indent="1"/>
    </xf>
    <xf numFmtId="164" fontId="11" fillId="2" borderId="0" xfId="0" applyNumberFormat="1" applyFont="1" applyFill="1" applyAlignment="1" applyProtection="1">
      <alignment horizontal="center" vertical="center" wrapText="1"/>
      <protection hidden="1"/>
    </xf>
    <xf numFmtId="0" fontId="12" fillId="2" borderId="12" xfId="0" applyFont="1" applyFill="1" applyBorder="1" applyAlignment="1">
      <alignment horizontal="left" vertical="center" wrapText="1" indent="2"/>
    </xf>
    <xf numFmtId="0" fontId="10" fillId="2" borderId="14" xfId="0" applyFont="1" applyFill="1" applyBorder="1" applyAlignment="1">
      <alignment vertical="center" wrapText="1"/>
    </xf>
    <xf numFmtId="164" fontId="10" fillId="2" borderId="7" xfId="0" applyNumberFormat="1" applyFont="1" applyFill="1" applyBorder="1" applyAlignment="1">
      <alignment horizontal="center" vertical="center" wrapText="1"/>
    </xf>
    <xf numFmtId="166" fontId="3" fillId="2" borderId="3" xfId="0" applyNumberFormat="1" applyFont="1" applyFill="1" applyBorder="1" applyAlignment="1">
      <alignment vertical="center" wrapText="1"/>
    </xf>
    <xf numFmtId="167" fontId="3" fillId="2" borderId="3" xfId="0" applyNumberFormat="1" applyFont="1" applyFill="1" applyBorder="1" applyAlignment="1">
      <alignment vertical="center" wrapText="1"/>
    </xf>
    <xf numFmtId="0" fontId="35" fillId="2" borderId="0" xfId="0" applyFont="1" applyFill="1" applyAlignment="1">
      <alignment vertical="center" wrapText="1"/>
    </xf>
    <xf numFmtId="0" fontId="6" fillId="2" borderId="0" xfId="1" applyFont="1" applyFill="1" applyBorder="1" applyAlignment="1">
      <alignment vertical="center" wrapText="1"/>
    </xf>
    <xf numFmtId="0" fontId="9" fillId="2" borderId="0" xfId="0" applyFont="1" applyFill="1" applyAlignment="1">
      <alignment horizontal="center" vertical="center" wrapText="1"/>
    </xf>
    <xf numFmtId="0" fontId="6" fillId="2" borderId="0" xfId="1" applyFont="1" applyFill="1" applyBorder="1" applyAlignment="1">
      <alignment horizontal="center" vertical="center" wrapText="1"/>
    </xf>
    <xf numFmtId="0" fontId="31" fillId="2" borderId="0" xfId="0" applyFont="1" applyFill="1" applyAlignment="1">
      <alignment horizontal="center" vertical="center" wrapText="1"/>
    </xf>
    <xf numFmtId="0" fontId="6" fillId="2" borderId="0" xfId="1" applyFont="1" applyFill="1" applyBorder="1" applyAlignment="1">
      <alignment horizontal="center" wrapText="1"/>
    </xf>
    <xf numFmtId="0" fontId="4" fillId="2" borderId="0" xfId="1" applyFont="1" applyFill="1" applyBorder="1" applyAlignment="1">
      <alignment horizontal="center" vertical="center" wrapText="1"/>
    </xf>
    <xf numFmtId="0" fontId="26" fillId="2" borderId="0" xfId="0" applyFont="1" applyFill="1" applyAlignment="1">
      <alignment horizontal="left" vertical="center" wrapText="1" indent="2"/>
    </xf>
    <xf numFmtId="0" fontId="14" fillId="5" borderId="0" xfId="0" applyFont="1" applyFill="1" applyAlignment="1">
      <alignment vertical="center" wrapText="1"/>
    </xf>
    <xf numFmtId="0" fontId="14" fillId="5" borderId="2" xfId="0" applyFont="1" applyFill="1" applyBorder="1" applyAlignment="1">
      <alignment vertical="center" wrapText="1"/>
    </xf>
    <xf numFmtId="0" fontId="14" fillId="5" borderId="3" xfId="0" applyFont="1" applyFill="1" applyBorder="1" applyAlignment="1">
      <alignment vertical="center" wrapText="1"/>
    </xf>
    <xf numFmtId="164" fontId="14" fillId="5" borderId="3" xfId="0" applyNumberFormat="1" applyFont="1" applyFill="1" applyBorder="1" applyAlignment="1">
      <alignment vertical="center" wrapText="1"/>
    </xf>
    <xf numFmtId="0" fontId="14" fillId="5" borderId="1" xfId="0" applyFont="1" applyFill="1" applyBorder="1" applyAlignment="1">
      <alignment vertical="center" wrapText="1"/>
    </xf>
  </cellXfs>
  <cellStyles count="2">
    <cellStyle name="Énfasis6" xfId="1" builtinId="49"/>
    <cellStyle name="Normal" xfId="0" builtinId="0"/>
  </cellStyles>
  <dxfs count="87">
    <dxf>
      <font>
        <b val="0"/>
        <strike val="0"/>
        <outline val="0"/>
        <shadow val="0"/>
        <u val="none"/>
        <vertAlign val="baseline"/>
        <sz val="12"/>
        <color auto="1"/>
        <name val="Palatino Linotype"/>
        <scheme val="none"/>
      </font>
      <fill>
        <patternFill patternType="solid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2"/>
        <color rgb="FFFF0000"/>
        <name val="Palatino Linotype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Palatino Linotype"/>
        <scheme val="none"/>
      </font>
      <fill>
        <patternFill patternType="solid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2"/>
        <color rgb="FFFF0000"/>
        <name val="Palatino Linotype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Palatino Linotype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Palatino Linotype"/>
        <scheme val="none"/>
      </font>
      <numFmt numFmtId="164" formatCode="#,##0.0"/>
      <fill>
        <patternFill patternType="solid">
          <fgColor rgb="FF000000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b val="0"/>
        <strike val="0"/>
        <outline val="0"/>
        <shadow val="0"/>
        <u val="none"/>
        <vertAlign val="baseline"/>
        <sz val="12"/>
        <color theme="1"/>
        <name val="Palatino Linotype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Palatino Linotype"/>
        <scheme val="none"/>
      </font>
      <fill>
        <patternFill patternType="solid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rgb="FFFF0000"/>
        <name val="Palatino Linotype"/>
        <scheme val="none"/>
      </font>
      <numFmt numFmtId="164" formatCode="#,##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6"/>
        <color rgb="FFFF0000"/>
        <name val="Palatino Linotype"/>
        <scheme val="none"/>
      </font>
      <numFmt numFmtId="164" formatCode="#,##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 style="thin">
          <color indexed="64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Palatino Linotype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 style="thin">
          <color indexed="64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Palatino Linotype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 style="thin">
          <color indexed="64"/>
        </right>
        <top style="medium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6"/>
        <color auto="1"/>
        <name val="Palatino Linotype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2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 style="thin">
          <color indexed="64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Palatino Linotype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Palatino Linotype"/>
        <scheme val="none"/>
      </font>
      <fill>
        <patternFill patternType="solid">
          <fgColor rgb="FF000000"/>
          <bgColor rgb="FFFFFFFF"/>
        </patternFill>
      </fill>
    </dxf>
    <dxf>
      <font>
        <b val="0"/>
        <strike val="0"/>
        <outline val="0"/>
        <shadow val="0"/>
        <u val="none"/>
        <vertAlign val="baseline"/>
        <sz val="12"/>
        <color rgb="FFFF0000"/>
        <name val="Palatino Linotype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/>
        <strike val="0"/>
        <outline val="0"/>
        <shadow val="0"/>
        <u val="none"/>
        <vertAlign val="baseline"/>
        <sz val="13"/>
        <color theme="1"/>
        <name val="Palatino Linotype"/>
        <scheme val="none"/>
      </font>
      <numFmt numFmtId="164" formatCode="#,##0.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dotted">
          <color auto="1"/>
        </top>
        <bottom style="dotted">
          <color auto="1"/>
        </bottom>
        <vertical/>
        <horizontal/>
      </border>
    </dxf>
    <dxf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3"/>
        <color theme="1"/>
        <name val="Palatino Linotype"/>
        <scheme val="none"/>
      </font>
      <numFmt numFmtId="164" formatCode="#,##0.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dotted">
          <color auto="1"/>
        </top>
        <bottom style="dotted">
          <color auto="1"/>
        </bottom>
        <vertical/>
        <horizontal/>
      </border>
      <protection locked="1" hidden="1"/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3"/>
        <color theme="1"/>
        <name val="Palatino Linotype"/>
        <scheme val="none"/>
      </font>
      <numFmt numFmtId="164" formatCode="#,##0.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dotted">
          <color auto="1"/>
        </top>
        <bottom style="dotted">
          <color auto="1"/>
        </bottom>
        <vertical/>
        <horizontal/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3"/>
        <color theme="1"/>
        <name val="Palatino Linotype"/>
        <scheme val="none"/>
      </font>
      <numFmt numFmtId="164" formatCode="#,##0.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dotted">
          <color auto="1"/>
        </top>
        <bottom style="dotted">
          <color auto="1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3"/>
        <color rgb="FFFF0000"/>
        <name val="Palatino Linotype"/>
        <scheme val="none"/>
      </font>
      <numFmt numFmtId="164" formatCode="#,##0.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dotted">
          <color auto="1"/>
        </top>
        <bottom style="dotted">
          <color auto="1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3"/>
        <color theme="1"/>
        <name val="Palatino Linotype"/>
        <scheme val="none"/>
      </font>
      <numFmt numFmtId="164" formatCode="#,##0.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dotted">
          <color auto="1"/>
        </top>
        <bottom style="dotted">
          <color auto="1"/>
        </bottom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Palatino Linotype"/>
        <scheme val="none"/>
      </font>
      <fill>
        <patternFill patternType="solid">
          <fgColor indexed="64"/>
          <bgColor theme="0"/>
        </patternFill>
      </fill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3"/>
        <color theme="1"/>
        <name val="Palatino Linotype"/>
        <scheme val="none"/>
      </font>
      <numFmt numFmtId="164" formatCode="#,##0.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dotted">
          <color auto="1"/>
        </top>
        <bottom style="dotted">
          <color auto="1"/>
        </bottom>
        <vertical/>
        <horizontal/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3"/>
        <color theme="1"/>
        <name val="Palatino Linotype"/>
        <scheme val="none"/>
      </font>
      <numFmt numFmtId="164" formatCode="#,##0.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dotted">
          <color auto="1"/>
        </top>
        <bottom style="dotted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 style="thin">
          <color indexed="64"/>
        </right>
        <top style="medium">
          <color indexed="64"/>
        </top>
        <bottom/>
      </border>
    </dxf>
    <dxf>
      <font>
        <strike val="0"/>
        <outline val="0"/>
        <shadow val="0"/>
        <u val="none"/>
        <vertAlign val="baseline"/>
        <color theme="1"/>
        <name val="Palatino Linotype"/>
        <scheme val="none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 style="thin">
          <color indexed="64"/>
        </right>
        <top style="medium">
          <color indexed="64"/>
        </top>
        <bottom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color theme="1"/>
        <name val="Palatino Linotype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color theme="1"/>
        <name val="Palatino Linotype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Palatino Linotype"/>
        <scheme val="none"/>
      </font>
      <numFmt numFmtId="164" formatCode="#,##0.0"/>
      <fill>
        <patternFill patternType="solid">
          <fgColor rgb="FF000000"/>
          <bgColor theme="0"/>
        </patternFill>
      </fill>
      <alignment horizontal="center" vertical="center" textRotation="0" wrapText="1" indent="0" justifyLastLine="0" shrinkToFit="0" readingOrder="0"/>
      <protection locked="1" hidden="1"/>
    </dxf>
    <dxf>
      <font>
        <b val="0"/>
        <strike val="0"/>
        <outline val="0"/>
        <shadow val="0"/>
        <u val="none"/>
        <vertAlign val="baseline"/>
        <sz val="12"/>
        <color theme="1"/>
        <name val="Palatino Linotype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Palatino Linotype"/>
        <scheme val="none"/>
      </font>
      <numFmt numFmtId="164" formatCode="#,##0.0"/>
      <fill>
        <patternFill patternType="solid">
          <fgColor rgb="FF000000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Palatino Linotype"/>
        <scheme val="none"/>
      </font>
      <numFmt numFmtId="164" formatCode="#,##0.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Palatino Linotype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Palatino Linotype"/>
        <scheme val="none"/>
      </font>
      <fill>
        <patternFill patternType="solid">
          <fgColor rgb="FF000000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Palatino Linotype"/>
        <scheme val="none"/>
      </font>
      <numFmt numFmtId="164" formatCode="#,##0.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rgb="FFFF0000"/>
        <name val="Palatino Linotype"/>
        <scheme val="none"/>
      </font>
      <numFmt numFmtId="164" formatCode="#,##0.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4"/>
        <color auto="1"/>
        <name val="Palatino Linotype"/>
        <scheme val="none"/>
      </font>
      <numFmt numFmtId="164" formatCode="#,##0.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6"/>
        <color rgb="FFFF0000"/>
        <name val="Palatino Linotype"/>
        <scheme val="none"/>
      </font>
      <numFmt numFmtId="164" formatCode="#,##0.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4"/>
        <color auto="1"/>
        <name val="Palatino Linotype"/>
        <scheme val="none"/>
      </font>
      <numFmt numFmtId="164" formatCode="#,##0.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 style="thin">
          <color indexed="64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Palatino Linotype"/>
        <scheme val="none"/>
      </font>
      <numFmt numFmtId="164" formatCode="#,##0.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Palatino Linotype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 style="thin">
          <color indexed="64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Palatino Linotype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Palatino Linotype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 style="thin">
          <color indexed="64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Palatino Linotype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ill>
        <patternFill>
          <bgColor theme="0"/>
        </patternFill>
      </fill>
    </dxf>
    <dxf>
      <font>
        <b val="0"/>
        <strike val="0"/>
        <outline val="0"/>
        <shadow val="0"/>
        <u val="none"/>
        <vertAlign val="baseline"/>
        <sz val="12"/>
        <color auto="1"/>
        <name val="Palatino Linotype"/>
        <scheme val="none"/>
      </font>
      <fill>
        <patternFill patternType="solid">
          <fgColor rgb="FF000000"/>
          <bgColor theme="0"/>
        </patternFill>
      </fill>
    </dxf>
    <dxf>
      <font>
        <b val="0"/>
        <strike val="0"/>
        <outline val="0"/>
        <shadow val="0"/>
        <u val="none"/>
        <vertAlign val="baseline"/>
        <sz val="12"/>
        <color rgb="FFFF0000"/>
        <name val="Palatino Linotype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Palatino Linotype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Palatino Linotype"/>
        <scheme val="none"/>
      </font>
      <numFmt numFmtId="164" formatCode="#,##0.0"/>
      <fill>
        <patternFill patternType="solid">
          <fgColor rgb="FF000000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b val="0"/>
        <strike val="0"/>
        <outline val="0"/>
        <shadow val="0"/>
        <u val="none"/>
        <vertAlign val="baseline"/>
        <sz val="12"/>
        <color theme="1"/>
        <name val="Palatino Linotype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Palatino Linotype"/>
        <scheme val="none"/>
      </font>
      <fill>
        <patternFill patternType="solid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rgb="FFFF0000"/>
        <name val="Palatino Linotype"/>
        <scheme val="none"/>
      </font>
      <numFmt numFmtId="164" formatCode="#,##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6"/>
        <color rgb="FFFF0000"/>
        <name val="Palatino Linotype"/>
        <scheme val="none"/>
      </font>
      <numFmt numFmtId="164" formatCode="#,##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 style="thin">
          <color indexed="64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Palatino Linotype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 style="thin">
          <color indexed="64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Palatino Linotype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 style="thin">
          <color indexed="64"/>
        </right>
        <top style="medium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6"/>
        <color auto="1"/>
        <name val="Palatino Linotype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2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 style="thin">
          <color indexed="64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Palatino Linotype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2"/>
        <color auto="1"/>
        <name val="Palatino Linotype"/>
        <scheme val="none"/>
      </font>
      <fill>
        <patternFill patternType="solid">
          <fgColor rgb="FF000000"/>
          <bgColor rgb="FFFFFFFF"/>
        </patternFill>
      </fill>
    </dxf>
    <dxf>
      <font>
        <b val="0"/>
        <strike val="0"/>
        <outline val="0"/>
        <shadow val="0"/>
        <u val="none"/>
        <vertAlign val="baseline"/>
        <sz val="12"/>
        <color rgb="FFFF0000"/>
        <name val="Palatino Linotype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Таблица22462791012131457" displayName="Таблица22462791012131457" ref="A4:H137" headerRowCount="0" totalsRowCount="1" headerRowDxfId="86" dataDxfId="85">
  <tableColumns count="8">
    <tableColumn id="1" xr3:uid="{00000000-0010-0000-0000-000001000000}" name="Нишондиҳандаҳо" headerRowDxfId="83" totalsRowDxfId="84"/>
    <tableColumn id="5" xr3:uid="{00000000-0010-0000-0000-000005000000}" name="Столбец4" headerRowDxfId="81" totalsRowDxfId="82"/>
    <tableColumn id="3" xr3:uid="{00000000-0010-0000-0000-000003000000}" name="Столбец2" headerRowDxfId="79" totalsRowDxfId="80"/>
    <tableColumn id="9" xr3:uid="{00000000-0010-0000-0000-000009000000}" name="Столбец8" totalsRowFunction="custom" headerRowDxfId="77" totalsRowDxfId="78">
      <totalsRowFormula>D6*0.5%</totalsRowFormula>
    </tableColumn>
    <tableColumn id="6" xr3:uid="{00000000-0010-0000-0000-000006000000}" name="Столбец5" headerRowDxfId="75" totalsRowDxfId="76"/>
    <tableColumn id="2" xr3:uid="{00000000-0010-0000-0000-000002000000}" name="Столбец1" headerRowDxfId="73" totalsRowDxfId="74"/>
    <tableColumn id="10" xr3:uid="{00000000-0010-0000-0000-00000A000000}" name="Столбец6" headerRowDxfId="71" totalsRowDxfId="72"/>
    <tableColumn id="17" xr3:uid="{00000000-0010-0000-0000-000011000000}" name="Столбец14" headerRowDxfId="69" totalsRowDxfId="7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Таблица2246279101213145745" displayName="Таблица2246279101213145745" ref="A5:G110" headerRowCount="0" totalsRowShown="0" headerRowDxfId="68" dataDxfId="67" totalsRowDxfId="66">
  <tableColumns count="7">
    <tableColumn id="1" xr3:uid="{00000000-0010-0000-0100-000001000000}" name="Нишондиҳандаҳо" headerRowDxfId="64" dataDxfId="63" totalsRowDxfId="65"/>
    <tableColumn id="9" xr3:uid="{00000000-0010-0000-0100-000009000000}" name="Столбец8" headerRowDxfId="61" dataDxfId="60" totalsRowDxfId="62"/>
    <tableColumn id="4" xr3:uid="{00000000-0010-0000-0100-000004000000}" name="Столбец3" headerRowDxfId="58" dataDxfId="57" totalsRowDxfId="59"/>
    <tableColumn id="6" xr3:uid="{00000000-0010-0000-0100-000006000000}" name="Столбец5" headerRowDxfId="55" dataDxfId="54" totalsRowDxfId="56"/>
    <tableColumn id="2" xr3:uid="{00000000-0010-0000-0100-000002000000}" name="Столбец1" headerRowDxfId="52" dataDxfId="51" totalsRowDxfId="53"/>
    <tableColumn id="10" xr3:uid="{00000000-0010-0000-0100-00000A000000}" name="Столбец6" headerRowDxfId="49" dataDxfId="48" totalsRowDxfId="50"/>
    <tableColumn id="17" xr3:uid="{00000000-0010-0000-0100-000011000000}" name="Столбец14" headerRowDxfId="46" dataDxfId="45" totalsRowDxfId="4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Таблица224" displayName="Таблица224" ref="A3:J131" headerRowCount="0" totalsRowShown="0" headerRowDxfId="44" dataDxfId="43" tableBorderDxfId="42">
  <tableColumns count="10">
    <tableColumn id="1" xr3:uid="{00000000-0010-0000-0200-000001000000}" name="Нишондиҳандаҳо" headerRowDxfId="41" dataDxfId="40"/>
    <tableColumn id="6" xr3:uid="{00000000-0010-0000-0200-000006000000}" name="Столбец5" headerRowDxfId="39" dataDxfId="38"/>
    <tableColumn id="18" xr3:uid="{00000000-0010-0000-0200-000012000000}" name="Столбец14" headerRowDxfId="37" dataDxfId="36"/>
    <tableColumn id="24" xr3:uid="{00000000-0010-0000-0200-000018000000}" name="Столбец20" headerRowDxfId="35" dataDxfId="34"/>
    <tableColumn id="3" xr3:uid="{00000000-0010-0000-0200-000003000000}" name="Столбец2" headerRowDxfId="33" dataDxfId="32"/>
    <tableColumn id="8" xr3:uid="{00000000-0010-0000-0200-000008000000}" name="Столбец7" headerRowDxfId="31" dataDxfId="30"/>
    <tableColumn id="4" xr3:uid="{00000000-0010-0000-0200-000004000000}" name="Столбец3" headerRowDxfId="29" dataDxfId="28"/>
    <tableColumn id="7" xr3:uid="{00000000-0010-0000-0200-000007000000}" name="Столбец6" headerRowDxfId="27" dataDxfId="26"/>
    <tableColumn id="2" xr3:uid="{00000000-0010-0000-0200-000002000000}" name="Столбец1" headerRowDxfId="25" dataDxfId="24"/>
    <tableColumn id="25" xr3:uid="{00000000-0010-0000-0200-000019000000}" name="Столбец21" headerRowDxfId="23" dataDxfId="22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Таблица224627910121314572" displayName="Таблица224627910121314572" ref="A4:J137" headerRowCount="0" totalsRowCount="1" headerRowDxfId="21" dataDxfId="20">
  <tableColumns count="10">
    <tableColumn id="1" xr3:uid="{00000000-0010-0000-0300-000001000000}" name="Нишондиҳандаҳо" headerRowDxfId="18" totalsRowDxfId="19"/>
    <tableColumn id="5" xr3:uid="{00000000-0010-0000-0300-000005000000}" name="Столбец4" headerRowDxfId="16" totalsRowDxfId="17"/>
    <tableColumn id="3" xr3:uid="{00000000-0010-0000-0300-000003000000}" name="Столбец2" headerRowDxfId="14" totalsRowDxfId="15"/>
    <tableColumn id="9" xr3:uid="{00000000-0010-0000-0300-000009000000}" name="Столбец8" totalsRowFunction="custom" headerRowDxfId="12" totalsRowDxfId="13">
      <totalsRowFormula>D6*0.5%</totalsRowFormula>
    </tableColumn>
    <tableColumn id="6" xr3:uid="{00000000-0010-0000-0300-000006000000}" name="Столбец5" headerRowDxfId="10" totalsRowDxfId="11"/>
    <tableColumn id="2" xr3:uid="{00000000-0010-0000-0300-000002000000}" name="Столбец1" headerRowDxfId="8" totalsRowDxfId="9"/>
    <tableColumn id="10" xr3:uid="{00000000-0010-0000-0300-00000A000000}" name="Столбец6" headerRowDxfId="6" totalsRowDxfId="7"/>
    <tableColumn id="17" xr3:uid="{00000000-0010-0000-0300-000011000000}" name="Столбец14" headerRowDxfId="4" totalsRowDxfId="5"/>
    <tableColumn id="4" xr3:uid="{00000000-0010-0000-0300-000004000000}" name="Столбец3" headerRowDxfId="3" dataDxfId="2"/>
    <tableColumn id="7" xr3:uid="{00000000-0010-0000-0300-000007000000}" name="Столбец7" headerRowDxfId="1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1"/>
  <sheetViews>
    <sheetView showGridLines="0" topLeftCell="A3" zoomScaleNormal="100" zoomScaleSheetLayoutView="70" workbookViewId="0">
      <pane xSplit="1" ySplit="3" topLeftCell="B130" activePane="bottomRight" state="frozen"/>
      <selection pane="bottomRight" activeCell="B164" sqref="B164"/>
      <selection pane="bottomLeft" activeCell="D14" sqref="D14"/>
      <selection pane="topRight" activeCell="D14" sqref="D14"/>
    </sheetView>
  </sheetViews>
  <sheetFormatPr defaultColWidth="9.140625" defaultRowHeight="18"/>
  <cols>
    <col min="1" max="1" width="62" style="2" customWidth="1"/>
    <col min="2" max="2" width="15.42578125" style="9" customWidth="1"/>
    <col min="3" max="3" width="14.140625" style="2" customWidth="1"/>
    <col min="4" max="4" width="16.5703125" style="2" bestFit="1" customWidth="1"/>
    <col min="5" max="5" width="11.85546875" style="7" customWidth="1"/>
    <col min="6" max="6" width="14" style="2" customWidth="1"/>
    <col min="7" max="7" width="16.85546875" style="2" customWidth="1"/>
    <col min="8" max="8" width="17.28515625" style="2" customWidth="1"/>
    <col min="9" max="16384" width="9.140625" style="2"/>
  </cols>
  <sheetData>
    <row r="1" spans="1:8" ht="42.75" hidden="1" customHeight="1">
      <c r="F1" s="151"/>
      <c r="G1" s="151"/>
    </row>
    <row r="2" spans="1:8" ht="15.6" hidden="1" customHeight="1">
      <c r="F2" s="8"/>
      <c r="G2" s="8"/>
    </row>
    <row r="3" spans="1:8" ht="44.25" customHeight="1">
      <c r="A3" s="152" t="s">
        <v>0</v>
      </c>
      <c r="B3" s="152"/>
      <c r="C3" s="152"/>
      <c r="D3" s="152"/>
      <c r="E3" s="152"/>
      <c r="F3" s="152"/>
      <c r="G3" s="152"/>
      <c r="H3" s="152"/>
    </row>
    <row r="4" spans="1:8" s="1" customFormat="1" ht="29.45" customHeight="1">
      <c r="A4" s="63"/>
      <c r="B4" s="63"/>
      <c r="C4" s="63"/>
      <c r="D4" s="63"/>
      <c r="E4" s="78"/>
      <c r="F4" s="78"/>
      <c r="G4" s="79"/>
      <c r="H4" s="71" t="s">
        <v>1</v>
      </c>
    </row>
    <row r="5" spans="1:8" ht="87" customHeight="1">
      <c r="A5" s="112" t="s">
        <v>2</v>
      </c>
      <c r="B5" s="113" t="s">
        <v>3</v>
      </c>
      <c r="C5" s="113" t="s">
        <v>4</v>
      </c>
      <c r="D5" s="113" t="s">
        <v>5</v>
      </c>
      <c r="E5" s="113" t="s">
        <v>6</v>
      </c>
      <c r="F5" s="113" t="s">
        <v>7</v>
      </c>
      <c r="G5" s="113" t="s">
        <v>8</v>
      </c>
      <c r="H5" s="114" t="s">
        <v>9</v>
      </c>
    </row>
    <row r="6" spans="1:8" s="3" customFormat="1" ht="32.25" customHeight="1">
      <c r="A6" s="115" t="s">
        <v>10</v>
      </c>
      <c r="B6" s="116">
        <v>92640.5</v>
      </c>
      <c r="C6" s="116">
        <v>103964</v>
      </c>
      <c r="D6" s="116">
        <v>103984</v>
      </c>
      <c r="E6" s="116" t="s">
        <v>11</v>
      </c>
      <c r="F6" s="116" t="s">
        <v>11</v>
      </c>
      <c r="G6" s="117" t="s">
        <v>11</v>
      </c>
      <c r="H6" s="118" t="s">
        <v>11</v>
      </c>
    </row>
    <row r="7" spans="1:8" s="4" customFormat="1" ht="21">
      <c r="A7" s="72" t="s">
        <v>12</v>
      </c>
      <c r="B7" s="73">
        <v>6.0214696895134949</v>
      </c>
      <c r="C7" s="73">
        <f>C6/B6*100-100</f>
        <v>12.22305579093377</v>
      </c>
      <c r="D7" s="73">
        <v>11.2321284967158</v>
      </c>
      <c r="E7" s="74" t="s">
        <v>11</v>
      </c>
      <c r="F7" s="74" t="s">
        <v>11</v>
      </c>
      <c r="G7" s="74" t="s">
        <v>11</v>
      </c>
      <c r="H7" s="75" t="s">
        <v>11</v>
      </c>
    </row>
    <row r="8" spans="1:8" s="4" customFormat="1" ht="21">
      <c r="A8" s="72" t="s">
        <v>13</v>
      </c>
      <c r="B8" s="74">
        <v>7.6</v>
      </c>
      <c r="C8" s="74">
        <v>7.9</v>
      </c>
      <c r="D8" s="74">
        <v>7.9</v>
      </c>
      <c r="E8" s="74" t="s">
        <v>11</v>
      </c>
      <c r="F8" s="74" t="s">
        <v>11</v>
      </c>
      <c r="G8" s="74" t="s">
        <v>11</v>
      </c>
      <c r="H8" s="75" t="s">
        <v>11</v>
      </c>
    </row>
    <row r="9" spans="1:8" s="5" customFormat="1" ht="21">
      <c r="A9" s="72" t="s">
        <v>14</v>
      </c>
      <c r="B9" s="74">
        <v>6.9</v>
      </c>
      <c r="C9" s="73">
        <v>7</v>
      </c>
      <c r="D9" s="73">
        <v>7</v>
      </c>
      <c r="E9" s="74" t="s">
        <v>11</v>
      </c>
      <c r="F9" s="74" t="s">
        <v>11</v>
      </c>
      <c r="G9" s="74" t="s">
        <v>11</v>
      </c>
      <c r="H9" s="75" t="s">
        <v>11</v>
      </c>
    </row>
    <row r="10" spans="1:8" s="5" customFormat="1" ht="21">
      <c r="A10" s="72" t="s">
        <v>15</v>
      </c>
      <c r="B10" s="74">
        <v>3.1</v>
      </c>
      <c r="C10" s="74">
        <v>3.4</v>
      </c>
      <c r="D10" s="74">
        <v>3.4</v>
      </c>
      <c r="E10" s="74" t="s">
        <v>11</v>
      </c>
      <c r="F10" s="74" t="s">
        <v>11</v>
      </c>
      <c r="G10" s="74" t="s">
        <v>11</v>
      </c>
      <c r="H10" s="75" t="s">
        <v>11</v>
      </c>
    </row>
    <row r="11" spans="1:8" s="4" customFormat="1" ht="42">
      <c r="A11" s="72" t="s">
        <v>16</v>
      </c>
      <c r="B11" s="76">
        <v>11</v>
      </c>
      <c r="C11" s="76">
        <v>13.3</v>
      </c>
      <c r="D11" s="76">
        <v>13.3</v>
      </c>
      <c r="E11" s="76" t="s">
        <v>11</v>
      </c>
      <c r="F11" s="76" t="s">
        <v>11</v>
      </c>
      <c r="G11" s="76" t="s">
        <v>11</v>
      </c>
      <c r="H11" s="77" t="s">
        <v>11</v>
      </c>
    </row>
    <row r="12" spans="1:8" s="4" customFormat="1" ht="30" customHeight="1">
      <c r="A12" s="80" t="s">
        <v>17</v>
      </c>
      <c r="B12" s="81">
        <f>B16+B20+B23</f>
        <v>27645.795103</v>
      </c>
      <c r="C12" s="81">
        <f>C16+C20+C23</f>
        <v>30257.818150000003</v>
      </c>
      <c r="D12" s="81">
        <f>D16+D20+D23</f>
        <v>30601.529149999998</v>
      </c>
      <c r="E12" s="81">
        <f>D12-B12</f>
        <v>2955.7340469999981</v>
      </c>
      <c r="F12" s="81">
        <f>Таблица22462791012131457[[#This Row],[Столбец8]]/Таблица22462791012131457[[#This Row],[Столбец4]]*100-100</f>
        <v>10.691441631495181</v>
      </c>
      <c r="G12" s="81">
        <f>B12/$B$6*100</f>
        <v>29.842018450893509</v>
      </c>
      <c r="H12" s="82">
        <f t="shared" ref="H12:H41" si="0">D12/$D$6*100</f>
        <v>29.429074809586087</v>
      </c>
    </row>
    <row r="13" spans="1:8" s="4" customFormat="1" ht="28.5" customHeight="1">
      <c r="A13" s="80" t="s">
        <v>18</v>
      </c>
      <c r="B13" s="83">
        <f>B14+B15</f>
        <v>20200</v>
      </c>
      <c r="C13" s="83">
        <f t="shared" ref="C13" si="1">C14+C15</f>
        <v>21227.1</v>
      </c>
      <c r="D13" s="83">
        <f>D14+D15</f>
        <v>21227.1</v>
      </c>
      <c r="E13" s="83">
        <f t="shared" ref="E13:E43" si="2">D13-B13</f>
        <v>1027.0999999999985</v>
      </c>
      <c r="F13" s="83">
        <f>Таблица22462791012131457[[#This Row],[Столбец8]]/Таблица22462791012131457[[#This Row],[Столбец4]]*100-100</f>
        <v>5.0846534653465199</v>
      </c>
      <c r="G13" s="83">
        <f>Таблица22462791012131457[[#This Row],[Столбец4]]/$B$6*100</f>
        <v>21.804718238783252</v>
      </c>
      <c r="H13" s="84">
        <f t="shared" si="0"/>
        <v>20.41381366364056</v>
      </c>
    </row>
    <row r="14" spans="1:8" s="4" customFormat="1" ht="21">
      <c r="A14" s="85" t="s">
        <v>19</v>
      </c>
      <c r="B14" s="86">
        <f>B17</f>
        <v>18802.035</v>
      </c>
      <c r="C14" s="86">
        <f>19429+362.1</f>
        <v>19791.099999999999</v>
      </c>
      <c r="D14" s="86">
        <f>19429+352.1</f>
        <v>19781.099999999999</v>
      </c>
      <c r="E14" s="86">
        <f t="shared" si="2"/>
        <v>979.06499999999869</v>
      </c>
      <c r="F14" s="86">
        <f>Таблица22462791012131457[[#This Row],[Столбец8]]/Таблица22462791012131457[[#This Row],[Столбец4]]*100-100</f>
        <v>5.2072288983612651</v>
      </c>
      <c r="G14" s="86">
        <f>Таблица22462791012131457[[#This Row],[Столбец4]]/$B$6*100</f>
        <v>20.295696806472328</v>
      </c>
      <c r="H14" s="87">
        <f t="shared" si="0"/>
        <v>19.023215110016924</v>
      </c>
    </row>
    <row r="15" spans="1:8" s="4" customFormat="1" ht="21">
      <c r="A15" s="85" t="s">
        <v>20</v>
      </c>
      <c r="B15" s="86">
        <f>B18</f>
        <v>1397.9649999999999</v>
      </c>
      <c r="C15" s="86">
        <v>1436</v>
      </c>
      <c r="D15" s="86">
        <v>1446</v>
      </c>
      <c r="E15" s="86">
        <f t="shared" si="2"/>
        <v>48.035000000000082</v>
      </c>
      <c r="F15" s="86">
        <f>Таблица22462791012131457[[#This Row],[Столбец8]]/Таблица22462791012131457[[#This Row],[Столбец4]]*100-100</f>
        <v>3.436065995929809</v>
      </c>
      <c r="G15" s="86">
        <f>Таблица22462791012131457[[#This Row],[Столбец4]]/$B$6*100</f>
        <v>1.5090214323109223</v>
      </c>
      <c r="H15" s="87">
        <f t="shared" si="0"/>
        <v>1.3905985536236345</v>
      </c>
    </row>
    <row r="16" spans="1:8" s="4" customFormat="1" ht="42">
      <c r="A16" s="80" t="s">
        <v>21</v>
      </c>
      <c r="B16" s="83">
        <f>B17+B18+B19</f>
        <v>20500</v>
      </c>
      <c r="C16" s="83">
        <f>C17+C18+C19</f>
        <v>21759.1</v>
      </c>
      <c r="D16" s="83">
        <f>D17+D18+D19</f>
        <v>21759.1</v>
      </c>
      <c r="E16" s="83">
        <f t="shared" si="2"/>
        <v>1259.0999999999985</v>
      </c>
      <c r="F16" s="83">
        <f>Таблица22462791012131457[[#This Row],[Столбец8]]/Таблица22462791012131457[[#This Row],[Столбец4]]*100-100</f>
        <v>6.1419512195121939</v>
      </c>
      <c r="G16" s="83">
        <f>Таблица22462791012131457[[#This Row],[Столбец4]]/$B$6*100</f>
        <v>22.128550687874093</v>
      </c>
      <c r="H16" s="84">
        <f t="shared" si="0"/>
        <v>20.925430835513154</v>
      </c>
    </row>
    <row r="17" spans="1:8" s="4" customFormat="1" ht="21">
      <c r="A17" s="85" t="s">
        <v>19</v>
      </c>
      <c r="B17" s="86">
        <v>18802.035</v>
      </c>
      <c r="C17" s="86">
        <f>19429+362.1</f>
        <v>19791.099999999999</v>
      </c>
      <c r="D17" s="86">
        <f>19429+352.1</f>
        <v>19781.099999999999</v>
      </c>
      <c r="E17" s="86">
        <f t="shared" si="2"/>
        <v>979.06499999999869</v>
      </c>
      <c r="F17" s="86">
        <f>Таблица22462791012131457[[#This Row],[Столбец8]]/Таблица22462791012131457[[#This Row],[Столбец4]]*100-100</f>
        <v>5.2072288983612651</v>
      </c>
      <c r="G17" s="86">
        <f>Таблица22462791012131457[[#This Row],[Столбец4]]/$B$6*100</f>
        <v>20.295696806472328</v>
      </c>
      <c r="H17" s="87">
        <f t="shared" si="0"/>
        <v>19.023215110016924</v>
      </c>
    </row>
    <row r="18" spans="1:8" s="4" customFormat="1" ht="21">
      <c r="A18" s="85" t="s">
        <v>20</v>
      </c>
      <c r="B18" s="86">
        <v>1397.9649999999999</v>
      </c>
      <c r="C18" s="86">
        <v>1436</v>
      </c>
      <c r="D18" s="86">
        <v>1446</v>
      </c>
      <c r="E18" s="86">
        <f t="shared" si="2"/>
        <v>48.035000000000082</v>
      </c>
      <c r="F18" s="86">
        <f>Таблица22462791012131457[[#This Row],[Столбец8]]/Таблица22462791012131457[[#This Row],[Столбец4]]*100-100</f>
        <v>3.436065995929809</v>
      </c>
      <c r="G18" s="86">
        <f>Таблица22462791012131457[[#This Row],[Столбец4]]/$B$6*100</f>
        <v>1.5090214323109223</v>
      </c>
      <c r="H18" s="87">
        <f t="shared" si="0"/>
        <v>1.3905985536236345</v>
      </c>
    </row>
    <row r="19" spans="1:8" s="4" customFormat="1" ht="21">
      <c r="A19" s="85" t="s">
        <v>22</v>
      </c>
      <c r="B19" s="88">
        <v>300</v>
      </c>
      <c r="C19" s="86">
        <f>40*C11</f>
        <v>532</v>
      </c>
      <c r="D19" s="86">
        <f>40*D11</f>
        <v>532</v>
      </c>
      <c r="E19" s="86">
        <f t="shared" si="2"/>
        <v>232</v>
      </c>
      <c r="F19" s="86">
        <f>Таблица22462791012131457[[#This Row],[Столбец8]]/Таблица22462791012131457[[#This Row],[Столбец4]]*100-100</f>
        <v>77.333333333333343</v>
      </c>
      <c r="G19" s="86">
        <f>Таблица22462791012131457[[#This Row],[Столбец4]]/$B$6*100</f>
        <v>0.32383244909084041</v>
      </c>
      <c r="H19" s="87">
        <f t="shared" si="0"/>
        <v>0.51161717187259581</v>
      </c>
    </row>
    <row r="20" spans="1:8" s="4" customFormat="1" ht="42">
      <c r="A20" s="80" t="s">
        <v>23</v>
      </c>
      <c r="B20" s="83">
        <f t="shared" ref="B20" si="3">B29</f>
        <v>4877.6051029999999</v>
      </c>
      <c r="C20" s="83">
        <f>C21+C22</f>
        <v>6190.389000000001</v>
      </c>
      <c r="D20" s="83">
        <f>D21+D22</f>
        <v>6463.9030000000002</v>
      </c>
      <c r="E20" s="83">
        <f t="shared" si="2"/>
        <v>1586.2978970000004</v>
      </c>
      <c r="F20" s="83">
        <f>Таблица22462791012131457[[#This Row],[Столбец8]]/Таблица22462791012131457[[#This Row],[Столбец4]]*100-100</f>
        <v>32.522064896650562</v>
      </c>
      <c r="G20" s="83">
        <f>Таблица22462791012131457[[#This Row],[Столбец4]]/$B$6*100</f>
        <v>5.2650893540082357</v>
      </c>
      <c r="H20" s="84">
        <f t="shared" si="0"/>
        <v>6.2162476919526082</v>
      </c>
    </row>
    <row r="21" spans="1:8" s="5" customFormat="1" ht="21">
      <c r="A21" s="85" t="s">
        <v>24</v>
      </c>
      <c r="B21" s="86">
        <f t="shared" ref="B21:D22" si="4">B30</f>
        <v>2537.4143199999999</v>
      </c>
      <c r="C21" s="86">
        <f t="shared" si="4"/>
        <v>3189.7330000000006</v>
      </c>
      <c r="D21" s="86">
        <f t="shared" si="4"/>
        <v>3463.2469999999998</v>
      </c>
      <c r="E21" s="86">
        <f t="shared" si="2"/>
        <v>925.83267999999998</v>
      </c>
      <c r="F21" s="86">
        <f>Таблица22462791012131457[[#This Row],[Столбец8]]/Таблица22462791012131457[[#This Row],[Столбец4]]*100-100</f>
        <v>36.487248956646539</v>
      </c>
      <c r="G21" s="86">
        <f>Таблица22462791012131457[[#This Row],[Столбец4]]/$B$6*100</f>
        <v>2.7389903120125645</v>
      </c>
      <c r="H21" s="87">
        <f t="shared" si="0"/>
        <v>3.3305575857824281</v>
      </c>
    </row>
    <row r="22" spans="1:8" s="4" customFormat="1" ht="21">
      <c r="A22" s="85" t="s">
        <v>25</v>
      </c>
      <c r="B22" s="86">
        <f t="shared" si="4"/>
        <v>2340.190783</v>
      </c>
      <c r="C22" s="86">
        <f t="shared" si="4"/>
        <v>3000.6559999999999</v>
      </c>
      <c r="D22" s="86">
        <f t="shared" si="4"/>
        <v>3000.6559999999999</v>
      </c>
      <c r="E22" s="86">
        <f t="shared" si="2"/>
        <v>660.46521699999994</v>
      </c>
      <c r="F22" s="86">
        <f>Таблица22462791012131457[[#This Row],[Столбец8]]/Таблица22462791012131457[[#This Row],[Столбец4]]*100-100</f>
        <v>28.222708242330498</v>
      </c>
      <c r="G22" s="86">
        <f>Таблица22462791012131457[[#This Row],[Столбец4]]/$B$6*100</f>
        <v>2.5260990419956717</v>
      </c>
      <c r="H22" s="87">
        <f t="shared" si="0"/>
        <v>2.8856901061701801</v>
      </c>
    </row>
    <row r="23" spans="1:8" s="4" customFormat="1" ht="21">
      <c r="A23" s="80" t="s">
        <v>26</v>
      </c>
      <c r="B23" s="81">
        <v>2268.19</v>
      </c>
      <c r="C23" s="81">
        <f>C32+129</f>
        <v>2308.32915</v>
      </c>
      <c r="D23" s="81">
        <f>D32+134.4</f>
        <v>2378.5261500000001</v>
      </c>
      <c r="E23" s="81">
        <f t="shared" si="2"/>
        <v>110.33615000000009</v>
      </c>
      <c r="F23" s="81">
        <f>Таблица22462791012131457[[#This Row],[Столбец8]]/Таблица22462791012131457[[#This Row],[Столбец4]]*100-100</f>
        <v>4.8645020919764193</v>
      </c>
      <c r="G23" s="81">
        <f>Таблица22462791012131457[[#This Row],[Столбец4]]/$B$6*100</f>
        <v>2.4483784090111778</v>
      </c>
      <c r="H23" s="82">
        <f t="shared" si="0"/>
        <v>2.2873962821203264</v>
      </c>
    </row>
    <row r="24" spans="1:8" s="5" customFormat="1" ht="48.75" customHeight="1">
      <c r="A24" s="80" t="s">
        <v>27</v>
      </c>
      <c r="B24" s="81">
        <f>B25+B29+B32</f>
        <v>28108.956545999998</v>
      </c>
      <c r="C24" s="81">
        <f>C25+C29+C32</f>
        <v>30630.125819000001</v>
      </c>
      <c r="D24" s="81">
        <f>D25+D29+D32</f>
        <v>31120.556080999999</v>
      </c>
      <c r="E24" s="81">
        <f t="shared" si="2"/>
        <v>3011.5995350000012</v>
      </c>
      <c r="F24" s="81">
        <f>Таблица22462791012131457[[#This Row],[Столбец8]]/Таблица22462791012131457[[#This Row],[Столбец4]]*100-100</f>
        <v>10.714021098832148</v>
      </c>
      <c r="G24" s="81">
        <f>Таблица22462791012131457[[#This Row],[Столбец4]]/$B$6*100</f>
        <v>30.341974132263967</v>
      </c>
      <c r="H24" s="82">
        <f t="shared" si="0"/>
        <v>29.928215957262655</v>
      </c>
    </row>
    <row r="25" spans="1:8" s="4" customFormat="1" ht="21">
      <c r="A25" s="89" t="s">
        <v>28</v>
      </c>
      <c r="B25" s="81">
        <f>B34+B41+B48+B83+B129+0.1</f>
        <v>21097.152990999999</v>
      </c>
      <c r="C25" s="81">
        <f>C34+C41+C48+C83+C129+0.1</f>
        <v>22220.701668999998</v>
      </c>
      <c r="D25" s="81">
        <f>D34+D41+D48+D83+D129</f>
        <v>22412.526931</v>
      </c>
      <c r="E25" s="81">
        <f t="shared" si="2"/>
        <v>1315.3739400000013</v>
      </c>
      <c r="F25" s="81">
        <f>Таблица22462791012131457[[#This Row],[Столбец8]]/Таблица22462791012131457[[#This Row],[Столбец4]]*100-100</f>
        <v>6.2348409785961962</v>
      </c>
      <c r="G25" s="81">
        <f>Таблица22462791012131457[[#This Row],[Столбец4]]/$B$6*100</f>
        <v>22.773142406398929</v>
      </c>
      <c r="H25" s="82">
        <f t="shared" si="0"/>
        <v>21.553822637136484</v>
      </c>
    </row>
    <row r="26" spans="1:8" s="4" customFormat="1" ht="21">
      <c r="A26" s="90" t="s">
        <v>29</v>
      </c>
      <c r="B26" s="86">
        <f>B35+B42+B49+B84+B130</f>
        <v>6034.3300409999993</v>
      </c>
      <c r="C26" s="86">
        <f>C35+C42+C49+C84+C130</f>
        <v>6096.1455850000002</v>
      </c>
      <c r="D26" s="86">
        <f>D35+D42+D49+D84+D130</f>
        <v>6096.5811349999985</v>
      </c>
      <c r="E26" s="86">
        <f t="shared" si="2"/>
        <v>62.251093999999284</v>
      </c>
      <c r="F26" s="86">
        <f>Таблица22462791012131457[[#This Row],[Столбец8]]/Таблица22462791012131457[[#This Row],[Столбец4]]*100-100</f>
        <v>1.0316156653188813</v>
      </c>
      <c r="G26" s="86">
        <f>Таблица22462791012131457[[#This Row],[Столбец4]]/$B$6*100</f>
        <v>6.5137062526648704</v>
      </c>
      <c r="H26" s="87">
        <f t="shared" si="0"/>
        <v>5.8629992450761641</v>
      </c>
    </row>
    <row r="27" spans="1:8" s="4" customFormat="1" ht="21">
      <c r="A27" s="90" t="s">
        <v>30</v>
      </c>
      <c r="B27" s="86">
        <f>B36+B43+B50+B85-0.2</f>
        <v>3642.3970000000004</v>
      </c>
      <c r="C27" s="86">
        <f>C36+C43+C50+C85</f>
        <v>3596.0770000000002</v>
      </c>
      <c r="D27" s="86">
        <f>D36+D43+D50+D85-0.2</f>
        <v>3642.3970000000004</v>
      </c>
      <c r="E27" s="86">
        <f t="shared" si="2"/>
        <v>0</v>
      </c>
      <c r="F27" s="86">
        <f>Таблица22462791012131457[[#This Row],[Столбец8]]/Таблица22462791012131457[[#This Row],[Столбец4]]*100-100</f>
        <v>0</v>
      </c>
      <c r="G27" s="86">
        <f>Таблица22462791012131457[[#This Row],[Столбец4]]/$B$6*100</f>
        <v>3.9317544702370997</v>
      </c>
      <c r="H27" s="87">
        <f t="shared" si="0"/>
        <v>3.5028437067241116</v>
      </c>
    </row>
    <row r="28" spans="1:8" s="4" customFormat="1" ht="21">
      <c r="A28" s="90" t="s">
        <v>31</v>
      </c>
      <c r="B28" s="91">
        <f>B37+B44+B51+B86+B129-B130</f>
        <v>11420.22595</v>
      </c>
      <c r="C28" s="91">
        <f>C37+C44+C51+C86+C129-C130</f>
        <v>12528.379084</v>
      </c>
      <c r="D28" s="91">
        <f>D37+D44+D51+D86+D129-D130</f>
        <v>12673.348796000002</v>
      </c>
      <c r="E28" s="91">
        <f t="shared" si="2"/>
        <v>1253.122846000002</v>
      </c>
      <c r="F28" s="91">
        <f>Таблица22462791012131457[[#This Row],[Столбец8]]/Таблица22462791012131457[[#This Row],[Столбец4]]*100-100</f>
        <v>10.972837590835965</v>
      </c>
      <c r="G28" s="91">
        <f>Таблица22462791012131457[[#This Row],[Столбец4]]/$B$6*100</f>
        <v>12.327465795197565</v>
      </c>
      <c r="H28" s="92">
        <f t="shared" si="0"/>
        <v>12.187787348053549</v>
      </c>
    </row>
    <row r="29" spans="1:8" s="4" customFormat="1" ht="21">
      <c r="A29" s="93" t="s">
        <v>32</v>
      </c>
      <c r="B29" s="81">
        <f>B38+B45+B52+B87</f>
        <v>4877.6051029999999</v>
      </c>
      <c r="C29" s="81">
        <f>C38+C45+C52+C87</f>
        <v>6230.0950000000003</v>
      </c>
      <c r="D29" s="81">
        <f>D38+D45+D52+D87</f>
        <v>6463.9029999999993</v>
      </c>
      <c r="E29" s="81">
        <f t="shared" si="2"/>
        <v>1586.2978969999995</v>
      </c>
      <c r="F29" s="81">
        <f>Таблица22462791012131457[[#This Row],[Столбец8]]/Таблица22462791012131457[[#This Row],[Столбец4]]*100-100</f>
        <v>32.522064896650562</v>
      </c>
      <c r="G29" s="81">
        <f>Таблица22462791012131457[[#This Row],[Столбец4]]/$B$6*100</f>
        <v>5.2650893540082357</v>
      </c>
      <c r="H29" s="82">
        <f t="shared" si="0"/>
        <v>6.2162476919526073</v>
      </c>
    </row>
    <row r="30" spans="1:8" s="4" customFormat="1" ht="21">
      <c r="A30" s="90" t="s">
        <v>33</v>
      </c>
      <c r="B30" s="94">
        <v>2537.4143199999999</v>
      </c>
      <c r="C30" s="86">
        <f>28.495+131.177+295.515+449.425+265.402+1041.064+212.96+765.695</f>
        <v>3189.7330000000006</v>
      </c>
      <c r="D30" s="86">
        <f>39.9+45.12+144.477+308.815+475.36+295.327+1044.588+232.91+876.75</f>
        <v>3463.2469999999998</v>
      </c>
      <c r="E30" s="86">
        <f t="shared" si="2"/>
        <v>925.83267999999998</v>
      </c>
      <c r="F30" s="86">
        <f>Таблица22462791012131457[[#This Row],[Столбец8]]/Таблица22462791012131457[[#This Row],[Столбец4]]*100-100</f>
        <v>36.487248956646539</v>
      </c>
      <c r="G30" s="86">
        <f>Таблица22462791012131457[[#This Row],[Столбец4]]/$B$6*100</f>
        <v>2.7389903120125645</v>
      </c>
      <c r="H30" s="87">
        <f t="shared" si="0"/>
        <v>3.3305575857824281</v>
      </c>
    </row>
    <row r="31" spans="1:8" s="4" customFormat="1" ht="21">
      <c r="A31" s="90" t="s">
        <v>34</v>
      </c>
      <c r="B31" s="94">
        <v>2340.190783</v>
      </c>
      <c r="C31" s="86">
        <f>252.39+83.637+93.121+1289.541+512.236+769.731</f>
        <v>3000.6559999999999</v>
      </c>
      <c r="D31" s="86">
        <f>252.39+83.637+93.121+1289.541+512.236+769.731</f>
        <v>3000.6559999999999</v>
      </c>
      <c r="E31" s="86">
        <f t="shared" si="2"/>
        <v>660.46521699999994</v>
      </c>
      <c r="F31" s="86">
        <f>Таблица22462791012131457[[#This Row],[Столбец8]]/Таблица22462791012131457[[#This Row],[Столбец4]]*100-100</f>
        <v>28.222708242330498</v>
      </c>
      <c r="G31" s="86">
        <f>Таблица22462791012131457[[#This Row],[Столбец4]]/$B$6*100</f>
        <v>2.5260990419956717</v>
      </c>
      <c r="H31" s="87">
        <f t="shared" si="0"/>
        <v>2.8856901061701801</v>
      </c>
    </row>
    <row r="32" spans="1:8" s="4" customFormat="1" ht="21">
      <c r="A32" s="89" t="s">
        <v>35</v>
      </c>
      <c r="B32" s="81">
        <f>B39+B46+B53+B88</f>
        <v>2134.1984519999996</v>
      </c>
      <c r="C32" s="81">
        <f>C39+C46+C53+C88</f>
        <v>2179.32915</v>
      </c>
      <c r="D32" s="81">
        <f>D39+D46+D53+D88</f>
        <v>2244.1261500000001</v>
      </c>
      <c r="E32" s="81">
        <f t="shared" si="2"/>
        <v>109.92769800000042</v>
      </c>
      <c r="F32" s="81">
        <f>Таблица22462791012131457[[#This Row],[Столбец8]]/Таблица22462791012131457[[#This Row],[Столбец4]]*100-100</f>
        <v>5.1507720801214703</v>
      </c>
      <c r="G32" s="81">
        <f>Таблица22462791012131457[[#This Row],[Столбец4]]/$B$6*100</f>
        <v>2.3037423718568006</v>
      </c>
      <c r="H32" s="82">
        <f t="shared" si="0"/>
        <v>2.1581456281735649</v>
      </c>
    </row>
    <row r="33" spans="1:8" s="4" customFormat="1" ht="21">
      <c r="A33" s="93" t="s">
        <v>36</v>
      </c>
      <c r="B33" s="81">
        <f>B34+B38+B39</f>
        <v>1430.1991439999999</v>
      </c>
      <c r="C33" s="81">
        <f>C34+C38+C39</f>
        <v>1466.8000000000002</v>
      </c>
      <c r="D33" s="81">
        <f>D34+D38+D39</f>
        <v>1475.8000000000002</v>
      </c>
      <c r="E33" s="81">
        <f t="shared" si="2"/>
        <v>45.600856000000249</v>
      </c>
      <c r="F33" s="81">
        <f>Таблица22462791012131457[[#This Row],[Столбец8]]/Таблица22462791012131457[[#This Row],[Столбец4]]*100-100</f>
        <v>3.1884270236984804</v>
      </c>
      <c r="G33" s="81">
        <f>Таблица22462791012131457[[#This Row],[Столбец4]]/$B$6*100</f>
        <v>1.5438163049638116</v>
      </c>
      <c r="H33" s="82">
        <f t="shared" si="0"/>
        <v>1.4192568087398063</v>
      </c>
    </row>
    <row r="34" spans="1:8" s="4" customFormat="1" ht="21">
      <c r="A34" s="95" t="s">
        <v>28</v>
      </c>
      <c r="B34" s="81">
        <f>B35+B36+B37</f>
        <v>1091.4255439999999</v>
      </c>
      <c r="C34" s="81">
        <f t="shared" ref="C34:D34" si="5">C35+C36+C37</f>
        <v>1165.2</v>
      </c>
      <c r="D34" s="81">
        <f t="shared" si="5"/>
        <v>1173.2</v>
      </c>
      <c r="E34" s="81">
        <f t="shared" si="2"/>
        <v>81.7744560000001</v>
      </c>
      <c r="F34" s="81">
        <f>Таблица22462791012131457[[#This Row],[Столбец8]]/Таблица22462791012131457[[#This Row],[Столбец4]]*100-100</f>
        <v>7.4924447617656256</v>
      </c>
      <c r="G34" s="81">
        <f>Таблица22462791012131457[[#This Row],[Столбец4]]/$B$6*100</f>
        <v>1.1781300230460761</v>
      </c>
      <c r="H34" s="82">
        <f t="shared" si="0"/>
        <v>1.1282505000769349</v>
      </c>
    </row>
    <row r="35" spans="1:8" s="4" customFormat="1" ht="21">
      <c r="A35" s="90" t="s">
        <v>29</v>
      </c>
      <c r="B35" s="88">
        <v>468.52569799999998</v>
      </c>
      <c r="C35" s="91">
        <v>491.2</v>
      </c>
      <c r="D35" s="91">
        <v>491.2</v>
      </c>
      <c r="E35" s="91">
        <f t="shared" si="2"/>
        <v>22.674302000000012</v>
      </c>
      <c r="F35" s="91">
        <f>Таблица22462791012131457[[#This Row],[Столбец8]]/Таблица22462791012131457[[#This Row],[Столбец4]]*100-100</f>
        <v>4.8395001804148592</v>
      </c>
      <c r="G35" s="91">
        <f>Таблица22462791012131457[[#This Row],[Столбец4]]/$B$6*100</f>
        <v>0.50574608081778483</v>
      </c>
      <c r="H35" s="92">
        <f t="shared" si="0"/>
        <v>0.47238036621018614</v>
      </c>
    </row>
    <row r="36" spans="1:8" s="4" customFormat="1" ht="21">
      <c r="A36" s="90" t="s">
        <v>30</v>
      </c>
      <c r="B36" s="88">
        <v>146</v>
      </c>
      <c r="C36" s="91">
        <v>137.6</v>
      </c>
      <c r="D36" s="91">
        <v>146</v>
      </c>
      <c r="E36" s="91">
        <f t="shared" si="2"/>
        <v>0</v>
      </c>
      <c r="F36" s="91">
        <f>Таблица22462791012131457[[#This Row],[Столбец8]]/Таблица22462791012131457[[#This Row],[Столбец4]]*100-100</f>
        <v>0</v>
      </c>
      <c r="G36" s="91">
        <f>Таблица22462791012131457[[#This Row],[Столбец4]]/$B$6*100</f>
        <v>0.15759845855754234</v>
      </c>
      <c r="H36" s="92">
        <f t="shared" si="0"/>
        <v>0.14040621634097553</v>
      </c>
    </row>
    <row r="37" spans="1:8" s="4" customFormat="1" ht="21">
      <c r="A37" s="90" t="s">
        <v>31</v>
      </c>
      <c r="B37" s="88">
        <f>474.899846+1.9+0.1</f>
        <v>476.89984600000003</v>
      </c>
      <c r="C37" s="91">
        <f>515+23.2-1.8</f>
        <v>536.40000000000009</v>
      </c>
      <c r="D37" s="91">
        <f>515.4+22.4-1.8</f>
        <v>536</v>
      </c>
      <c r="E37" s="91">
        <f t="shared" si="2"/>
        <v>59.100153999999975</v>
      </c>
      <c r="F37" s="91">
        <f>Таблица22462791012131457[[#This Row],[Столбец8]]/Таблица22462791012131457[[#This Row],[Столбец4]]*100-100</f>
        <v>12.392571416347238</v>
      </c>
      <c r="G37" s="91">
        <f>Таблица22462791012131457[[#This Row],[Столбец4]]/$B$6*100</f>
        <v>0.51478548367074872</v>
      </c>
      <c r="H37" s="92">
        <f t="shared" si="0"/>
        <v>0.51546391752577314</v>
      </c>
    </row>
    <row r="38" spans="1:8" s="4" customFormat="1" ht="21">
      <c r="A38" s="95" t="s">
        <v>37</v>
      </c>
      <c r="B38" s="94">
        <f>55.33198+44.93049</f>
        <v>100.26247000000001</v>
      </c>
      <c r="C38" s="86">
        <v>39.9</v>
      </c>
      <c r="D38" s="86">
        <v>39.9</v>
      </c>
      <c r="E38" s="86">
        <f t="shared" si="2"/>
        <v>-60.362470000000009</v>
      </c>
      <c r="F38" s="86">
        <f>Таблица22462791012131457[[#This Row],[Столбец8]]/Таблица22462791012131457[[#This Row],[Столбец4]]*100-100</f>
        <v>-60.204451376472178</v>
      </c>
      <c r="G38" s="86">
        <f>Таблица22462791012131457[[#This Row],[Столбец4]]/$B$6*100</f>
        <v>0.10822747070665638</v>
      </c>
      <c r="H38" s="87">
        <f t="shared" si="0"/>
        <v>3.837128789044468E-2</v>
      </c>
    </row>
    <row r="39" spans="1:8" s="4" customFormat="1" ht="21">
      <c r="A39" s="95" t="s">
        <v>35</v>
      </c>
      <c r="B39" s="94">
        <v>238.51113000000001</v>
      </c>
      <c r="C39" s="86">
        <v>261.7</v>
      </c>
      <c r="D39" s="86">
        <v>262.7</v>
      </c>
      <c r="E39" s="86">
        <f t="shared" si="2"/>
        <v>24.18886999999998</v>
      </c>
      <c r="F39" s="86">
        <f>Таблица22462791012131457[[#This Row],[Столбец8]]/Таблица22462791012131457[[#This Row],[Столбец4]]*100-100</f>
        <v>10.141610582281828</v>
      </c>
      <c r="G39" s="86">
        <f>Таблица22462791012131457[[#This Row],[Столбец4]]/$B$6*100</f>
        <v>0.25745881121107939</v>
      </c>
      <c r="H39" s="87">
        <f t="shared" si="0"/>
        <v>0.2526350207724265</v>
      </c>
    </row>
    <row r="40" spans="1:8" s="4" customFormat="1" ht="42">
      <c r="A40" s="93" t="s">
        <v>38</v>
      </c>
      <c r="B40" s="81">
        <f>SUM(B41,B45,B46)</f>
        <v>2044.8452320000001</v>
      </c>
      <c r="C40" s="81">
        <f>SUM(C41,C45,C46)</f>
        <v>2180.3130000000001</v>
      </c>
      <c r="D40" s="81">
        <f>SUM(D41,D45,D46)</f>
        <v>2251.2599999999998</v>
      </c>
      <c r="E40" s="81">
        <f t="shared" si="2"/>
        <v>206.41476799999964</v>
      </c>
      <c r="F40" s="81">
        <f>Таблица22462791012131457[[#This Row],[Столбец8]]/Таблица22462791012131457[[#This Row],[Столбец4]]*100-100</f>
        <v>10.094395642750527</v>
      </c>
      <c r="G40" s="81">
        <f>Таблица22462791012131457[[#This Row],[Столбец4]]/$B$6*100</f>
        <v>2.2072907983009591</v>
      </c>
      <c r="H40" s="82">
        <f t="shared" si="0"/>
        <v>2.165006154793045</v>
      </c>
    </row>
    <row r="41" spans="1:8" s="4" customFormat="1" ht="21">
      <c r="A41" s="95" t="s">
        <v>28</v>
      </c>
      <c r="B41" s="86">
        <f>B42+B43+B44</f>
        <v>1792.7095610000001</v>
      </c>
      <c r="C41" s="86">
        <f t="shared" ref="C41" si="6">C42+C43+C44</f>
        <v>1922.2510000000002</v>
      </c>
      <c r="D41" s="86">
        <f t="shared" ref="D41" si="7">D42+D43+D44</f>
        <v>1963.84</v>
      </c>
      <c r="E41" s="86">
        <f t="shared" si="2"/>
        <v>171.1304389999998</v>
      </c>
      <c r="F41" s="86">
        <f>Таблица22462791012131457[[#This Row],[Столбец8]]/Таблица22462791012131457[[#This Row],[Столбец4]]*100-100</f>
        <v>9.5459098742431365</v>
      </c>
      <c r="G41" s="86">
        <f>Таблица22462791012131457[[#This Row],[Столбец4]]/$B$6*100</f>
        <v>1.935125092157318</v>
      </c>
      <c r="H41" s="87">
        <f t="shared" si="0"/>
        <v>1.8885982458839818</v>
      </c>
    </row>
    <row r="42" spans="1:8" s="4" customFormat="1" ht="21">
      <c r="A42" s="90" t="s">
        <v>29</v>
      </c>
      <c r="B42" s="94">
        <v>888.03150300000004</v>
      </c>
      <c r="C42" s="86">
        <v>905.7</v>
      </c>
      <c r="D42" s="86">
        <v>906.4</v>
      </c>
      <c r="E42" s="86">
        <f t="shared" si="2"/>
        <v>18.368496999999934</v>
      </c>
      <c r="F42" s="86">
        <f>Таблица22462791012131457[[#This Row],[Столбец8]]/Таблица22462791012131457[[#This Row],[Столбец4]]*100-100</f>
        <v>2.0684510558405265</v>
      </c>
      <c r="G42" s="86">
        <f>Таблица22462791012131457[[#This Row],[Столбец4]]/$B$6*100</f>
        <v>0.95857805495436665</v>
      </c>
      <c r="H42" s="87">
        <f t="shared" ref="H42:H69" si="8">D42/$D$6*100</f>
        <v>0.87167256501000157</v>
      </c>
    </row>
    <row r="43" spans="1:8" s="5" customFormat="1" ht="21">
      <c r="A43" s="90" t="s">
        <v>30</v>
      </c>
      <c r="B43" s="94">
        <v>94.44</v>
      </c>
      <c r="C43" s="86">
        <v>86.9</v>
      </c>
      <c r="D43" s="94">
        <v>94.44</v>
      </c>
      <c r="E43" s="86">
        <f t="shared" si="2"/>
        <v>0</v>
      </c>
      <c r="F43" s="86">
        <f>Таблица22462791012131457[[#This Row],[Столбец8]]/Таблица22462791012131457[[#This Row],[Столбец4]]*100-100</f>
        <v>0</v>
      </c>
      <c r="G43" s="86">
        <f>Таблица22462791012131457[[#This Row],[Столбец4]]/$B$6*100</f>
        <v>0.10194245497379656</v>
      </c>
      <c r="H43" s="87">
        <f t="shared" si="8"/>
        <v>9.0821664871518687E-2</v>
      </c>
    </row>
    <row r="44" spans="1:8" s="4" customFormat="1" ht="21">
      <c r="A44" s="90" t="s">
        <v>31</v>
      </c>
      <c r="B44" s="94">
        <f>558.174988+252.08307-0.02</f>
        <v>810.23805800000002</v>
      </c>
      <c r="C44" s="86">
        <f>783.692+95.959+50</f>
        <v>929.65100000000007</v>
      </c>
      <c r="D44" s="86">
        <f>137.1+785.9+40</f>
        <v>963</v>
      </c>
      <c r="E44" s="86">
        <f t="shared" ref="E44:E75" si="9">D44-B44</f>
        <v>152.76194199999998</v>
      </c>
      <c r="F44" s="86">
        <f>Таблица22462791012131457[[#This Row],[Столбец8]]/Таблица22462791012131457[[#This Row],[Столбец4]]*100-100</f>
        <v>18.853957857407863</v>
      </c>
      <c r="G44" s="86">
        <f>Таблица22462791012131457[[#This Row],[Столбец4]]/$B$6*100</f>
        <v>0.8746045822291546</v>
      </c>
      <c r="H44" s="87">
        <f t="shared" si="8"/>
        <v>0.92610401600246184</v>
      </c>
    </row>
    <row r="45" spans="1:8" s="4" customFormat="1" ht="21">
      <c r="A45" s="95" t="s">
        <v>37</v>
      </c>
      <c r="B45" s="94">
        <f>22.77+9.68726</f>
        <v>32.457259999999998</v>
      </c>
      <c r="C45" s="86">
        <v>28.495000000000001</v>
      </c>
      <c r="D45" s="86">
        <v>45.12</v>
      </c>
      <c r="E45" s="86">
        <f t="shared" si="9"/>
        <v>12.662739999999999</v>
      </c>
      <c r="F45" s="86">
        <f>Таблица22462791012131457[[#This Row],[Столбец8]]/Таблица22462791012131457[[#This Row],[Столбец4]]*100-100</f>
        <v>39.013582785484658</v>
      </c>
      <c r="G45" s="86">
        <f>Таблица22462791012131457[[#This Row],[Столбец4]]/$B$6*100</f>
        <v>3.5035713321927231E-2</v>
      </c>
      <c r="H45" s="87">
        <f t="shared" si="8"/>
        <v>4.3391290967841202E-2</v>
      </c>
    </row>
    <row r="46" spans="1:8" s="4" customFormat="1" ht="21">
      <c r="A46" s="95" t="s">
        <v>35</v>
      </c>
      <c r="B46" s="94">
        <f>0.685501+218.99291</f>
        <v>219.67841099999998</v>
      </c>
      <c r="C46" s="86">
        <v>229.56700000000001</v>
      </c>
      <c r="D46" s="86">
        <v>242.3</v>
      </c>
      <c r="E46" s="86">
        <f t="shared" si="9"/>
        <v>22.621589000000029</v>
      </c>
      <c r="F46" s="86">
        <f>Таблица22462791012131457[[#This Row],[Столбец8]]/Таблица22462791012131457[[#This Row],[Столбец4]]*100-100</f>
        <v>10.297593148559343</v>
      </c>
      <c r="G46" s="86">
        <f>Таблица22462791012131457[[#This Row],[Столбец4]]/$B$6*100</f>
        <v>0.23712999282171401</v>
      </c>
      <c r="H46" s="87">
        <f t="shared" si="8"/>
        <v>0.23301661794122175</v>
      </c>
    </row>
    <row r="47" spans="1:8" s="4" customFormat="1" ht="21">
      <c r="A47" s="80" t="s">
        <v>39</v>
      </c>
      <c r="B47" s="81">
        <f>SUM(B54,B61,B68,B75)</f>
        <v>13164.208933999998</v>
      </c>
      <c r="C47" s="81">
        <f>SUM(C54,C61,C68,C75)</f>
        <v>13653.87125</v>
      </c>
      <c r="D47" s="81">
        <f>SUM(D54,D61,D68,D75)</f>
        <v>13914.54825</v>
      </c>
      <c r="E47" s="81">
        <f t="shared" si="9"/>
        <v>750.33931600000142</v>
      </c>
      <c r="F47" s="81">
        <f>Таблица22462791012131457[[#This Row],[Столбец8]]/Таблица22462791012131457[[#This Row],[Столбец4]]*100-100</f>
        <v>5.6998435664603875</v>
      </c>
      <c r="G47" s="81">
        <f>Таблица22462791012131457[[#This Row],[Столбец4]]/$B$6*100</f>
        <v>14.209993398135804</v>
      </c>
      <c r="H47" s="82">
        <f t="shared" si="8"/>
        <v>13.381431999153715</v>
      </c>
    </row>
    <row r="48" spans="1:8" s="4" customFormat="1" ht="21">
      <c r="A48" s="95" t="s">
        <v>28</v>
      </c>
      <c r="B48" s="86">
        <f t="shared" ref="B48:D53" si="10">B55+B62+B69+B76</f>
        <v>10901.553900999999</v>
      </c>
      <c r="C48" s="86">
        <f t="shared" si="10"/>
        <v>11101.671249999999</v>
      </c>
      <c r="D48" s="86">
        <f t="shared" si="10"/>
        <v>11265.402249999999</v>
      </c>
      <c r="E48" s="86">
        <f t="shared" si="9"/>
        <v>363.84834899999987</v>
      </c>
      <c r="F48" s="86">
        <f>Таблица22462791012131457[[#This Row],[Столбец8]]/Таблица22462791012131457[[#This Row],[Столбец4]]*100-100</f>
        <v>3.3375824428719625</v>
      </c>
      <c r="G48" s="86">
        <f>Таблица22462791012131457[[#This Row],[Столбец4]]/$B$6*100</f>
        <v>11.767589662188783</v>
      </c>
      <c r="H48" s="87">
        <f t="shared" si="8"/>
        <v>10.833784284120632</v>
      </c>
    </row>
    <row r="49" spans="1:8" s="4" customFormat="1" ht="21">
      <c r="A49" s="90" t="s">
        <v>29</v>
      </c>
      <c r="B49" s="91">
        <f t="shared" si="10"/>
        <v>4483.6791969999995</v>
      </c>
      <c r="C49" s="91">
        <f t="shared" si="10"/>
        <v>4498.5999999999995</v>
      </c>
      <c r="D49" s="91">
        <f t="shared" si="10"/>
        <v>4500.5999999999995</v>
      </c>
      <c r="E49" s="91">
        <f t="shared" si="9"/>
        <v>16.920802999999978</v>
      </c>
      <c r="F49" s="91">
        <f>Таблица22462791012131457[[#This Row],[Столбец8]]/Таблица22462791012131457[[#This Row],[Столбец4]]*100-100</f>
        <v>0.3773865670702321</v>
      </c>
      <c r="G49" s="91">
        <f>Таблица22462791012131457[[#This Row],[Столбец4]]/$B$6*100</f>
        <v>4.8398693843405418</v>
      </c>
      <c r="H49" s="92">
        <f t="shared" si="8"/>
        <v>4.3281658716725646</v>
      </c>
    </row>
    <row r="50" spans="1:8" s="4" customFormat="1" ht="21">
      <c r="A50" s="90" t="s">
        <v>30</v>
      </c>
      <c r="B50" s="91">
        <f t="shared" si="10"/>
        <v>647.90800000000002</v>
      </c>
      <c r="C50" s="91">
        <f t="shared" si="10"/>
        <v>637.67700000000002</v>
      </c>
      <c r="D50" s="91">
        <f t="shared" si="10"/>
        <v>647.90800000000002</v>
      </c>
      <c r="E50" s="91">
        <f t="shared" si="9"/>
        <v>0</v>
      </c>
      <c r="F50" s="91">
        <f>Таблица22462791012131457[[#This Row],[Столбец8]]/Таблица22462791012131457[[#This Row],[Столбец4]]*100-100</f>
        <v>0</v>
      </c>
      <c r="G50" s="91">
        <f>Таблица22462791012131457[[#This Row],[Столбец4]]/$B$6*100</f>
        <v>0.69937878141849408</v>
      </c>
      <c r="H50" s="92">
        <f t="shared" si="8"/>
        <v>0.62308432066471764</v>
      </c>
    </row>
    <row r="51" spans="1:8" s="4" customFormat="1" ht="21">
      <c r="A51" s="90" t="s">
        <v>31</v>
      </c>
      <c r="B51" s="91">
        <f t="shared" si="10"/>
        <v>5769.9667040000004</v>
      </c>
      <c r="C51" s="91">
        <f t="shared" si="10"/>
        <v>5965.3942500000003</v>
      </c>
      <c r="D51" s="91">
        <f t="shared" si="10"/>
        <v>6116.8942500000003</v>
      </c>
      <c r="E51" s="91">
        <f t="shared" si="9"/>
        <v>346.92754599999989</v>
      </c>
      <c r="F51" s="91">
        <f>Таблица22462791012131457[[#This Row],[Столбец8]]/Таблица22462791012131457[[#This Row],[Столбец4]]*100-100</f>
        <v>6.012643812302997</v>
      </c>
      <c r="G51" s="91">
        <f>Таблица22462791012131457[[#This Row],[Столбец4]]/$B$6*100</f>
        <v>6.2283414964297474</v>
      </c>
      <c r="H51" s="92">
        <f t="shared" si="8"/>
        <v>5.8825340917833513</v>
      </c>
    </row>
    <row r="52" spans="1:8" s="4" customFormat="1" ht="21">
      <c r="A52" s="95" t="s">
        <v>37</v>
      </c>
      <c r="B52" s="86">
        <f t="shared" si="10"/>
        <v>749.15507700000001</v>
      </c>
      <c r="C52" s="86">
        <f t="shared" si="10"/>
        <v>1028.0999999999999</v>
      </c>
      <c r="D52" s="86">
        <f t="shared" si="10"/>
        <v>1084.646</v>
      </c>
      <c r="E52" s="86">
        <f t="shared" si="9"/>
        <v>335.49092299999995</v>
      </c>
      <c r="F52" s="86">
        <f>Таблица22462791012131457[[#This Row],[Столбец8]]/Таблица22462791012131457[[#This Row],[Столбец4]]*100-100</f>
        <v>44.782573501801153</v>
      </c>
      <c r="G52" s="86">
        <f>Таблица22462791012131457[[#This Row],[Столбец4]]/$B$6*100</f>
        <v>0.80866907777915709</v>
      </c>
      <c r="H52" s="87">
        <f t="shared" si="8"/>
        <v>1.0430893214340666</v>
      </c>
    </row>
    <row r="53" spans="1:8" s="4" customFormat="1" ht="21">
      <c r="A53" s="95" t="s">
        <v>35</v>
      </c>
      <c r="B53" s="86">
        <f t="shared" si="10"/>
        <v>1513.4999559999999</v>
      </c>
      <c r="C53" s="86">
        <f t="shared" si="10"/>
        <v>1524.1</v>
      </c>
      <c r="D53" s="86">
        <f t="shared" si="10"/>
        <v>1564.4999999999998</v>
      </c>
      <c r="E53" s="86">
        <f t="shared" si="9"/>
        <v>51.000043999999889</v>
      </c>
      <c r="F53" s="86">
        <f>Таблица22462791012131457[[#This Row],[Столбец8]]/Таблица22462791012131457[[#This Row],[Столбец4]]*100-100</f>
        <v>3.3696759486393972</v>
      </c>
      <c r="G53" s="86">
        <f>Таблица22462791012131457[[#This Row],[Столбец4]]/$B$6*100</f>
        <v>1.6337346581678638</v>
      </c>
      <c r="H53" s="87">
        <f t="shared" si="8"/>
        <v>1.504558393599015</v>
      </c>
    </row>
    <row r="54" spans="1:8" s="4" customFormat="1" ht="39.75" customHeight="1">
      <c r="A54" s="93" t="s">
        <v>40</v>
      </c>
      <c r="B54" s="81">
        <f>SUM(B55,B59,B60)</f>
        <v>5597.0678219999991</v>
      </c>
      <c r="C54" s="81">
        <f>SUM(C55,C59,C60)</f>
        <v>5818.7000000000007</v>
      </c>
      <c r="D54" s="81">
        <f>SUM(D55,D59,D60)</f>
        <v>5974.2</v>
      </c>
      <c r="E54" s="81">
        <f t="shared" si="9"/>
        <v>377.13217800000075</v>
      </c>
      <c r="F54" s="81">
        <f>Таблица22462791012131457[[#This Row],[Столбец8]]/Таблица22462791012131457[[#This Row],[Столбец4]]*100-100</f>
        <v>6.7380312333831966</v>
      </c>
      <c r="G54" s="81">
        <f>Таблица22462791012131457[[#This Row],[Столбец4]]/$B$6*100</f>
        <v>6.0417072684193194</v>
      </c>
      <c r="H54" s="82">
        <f t="shared" si="8"/>
        <v>5.7453069703031234</v>
      </c>
    </row>
    <row r="55" spans="1:8" s="4" customFormat="1" ht="21">
      <c r="A55" s="95" t="s">
        <v>28</v>
      </c>
      <c r="B55" s="94">
        <f>B56+B57+B58</f>
        <v>4260.8466479999997</v>
      </c>
      <c r="C55" s="94">
        <f t="shared" ref="C55:D55" si="11">C56+C57+C58</f>
        <v>4417.1000000000004</v>
      </c>
      <c r="D55" s="94">
        <f t="shared" si="11"/>
        <v>4528.8329999999996</v>
      </c>
      <c r="E55" s="86">
        <f t="shared" si="9"/>
        <v>267.9863519999999</v>
      </c>
      <c r="F55" s="86">
        <f>Таблица22462791012131457[[#This Row],[Столбец8]]/Таблица22462791012131457[[#This Row],[Столбец4]]*100-100</f>
        <v>6.2895094364823052</v>
      </c>
      <c r="G55" s="86">
        <f>Таблица22462791012131457[[#This Row],[Столбец4]]/$B$6*100</f>
        <v>4.59933468407446</v>
      </c>
      <c r="H55" s="87">
        <f t="shared" si="8"/>
        <v>4.3553171641791035</v>
      </c>
    </row>
    <row r="56" spans="1:8" s="4" customFormat="1" ht="21">
      <c r="A56" s="90" t="s">
        <v>29</v>
      </c>
      <c r="B56" s="94">
        <v>2927.4285989999998</v>
      </c>
      <c r="C56" s="91">
        <v>2942.4</v>
      </c>
      <c r="D56" s="91">
        <v>2942.4</v>
      </c>
      <c r="E56" s="91">
        <f t="shared" si="9"/>
        <v>14.971401000000242</v>
      </c>
      <c r="F56" s="91">
        <f>Таблица22462791012131457[[#This Row],[Столбец8]]/Таблица22462791012131457[[#This Row],[Столбец4]]*100-100</f>
        <v>0.51141814372908811</v>
      </c>
      <c r="G56" s="91">
        <f>Таблица22462791012131457[[#This Row],[Столбец4]]/$B$6*100</f>
        <v>3.1599879091757925</v>
      </c>
      <c r="H56" s="92">
        <f t="shared" si="8"/>
        <v>2.829666102477304</v>
      </c>
    </row>
    <row r="57" spans="1:8" s="4" customFormat="1" ht="21">
      <c r="A57" s="90" t="s">
        <v>30</v>
      </c>
      <c r="B57" s="94">
        <v>325.63299999999998</v>
      </c>
      <c r="C57" s="91">
        <f>317.1</f>
        <v>317.10000000000002</v>
      </c>
      <c r="D57" s="94">
        <v>325.63299999999998</v>
      </c>
      <c r="E57" s="91">
        <f t="shared" si="9"/>
        <v>0</v>
      </c>
      <c r="F57" s="91">
        <f>Таблица22462791012131457[[#This Row],[Столбец8]]/Таблица22462791012131457[[#This Row],[Столбец4]]*100-100</f>
        <v>0</v>
      </c>
      <c r="G57" s="91">
        <f>Таблица22462791012131457[[#This Row],[Столбец4]]/$B$6*100</f>
        <v>0.35150177298265878</v>
      </c>
      <c r="H57" s="92">
        <f t="shared" si="8"/>
        <v>0.31315683182028003</v>
      </c>
    </row>
    <row r="58" spans="1:8" s="4" customFormat="1" ht="21">
      <c r="A58" s="90" t="s">
        <v>31</v>
      </c>
      <c r="B58" s="88">
        <f>1006.885049+0.9</f>
        <v>1007.785049</v>
      </c>
      <c r="C58" s="91">
        <f>943.8+63.8+100+50</f>
        <v>1157.5999999999999</v>
      </c>
      <c r="D58" s="91">
        <f>1284.7-26+2.1</f>
        <v>1260.8</v>
      </c>
      <c r="E58" s="91">
        <f t="shared" si="9"/>
        <v>253.014951</v>
      </c>
      <c r="F58" s="91">
        <f>Таблица22462791012131457[[#This Row],[Столбец8]]/Таблица22462791012131457[[#This Row],[Столбец4]]*100-100</f>
        <v>25.106043322537914</v>
      </c>
      <c r="G58" s="91">
        <f>Таблица22462791012131457[[#This Row],[Столбец4]]/$B$6*100</f>
        <v>1.0878450019160086</v>
      </c>
      <c r="H58" s="92">
        <f t="shared" si="8"/>
        <v>1.2124942298815202</v>
      </c>
    </row>
    <row r="59" spans="1:8" s="4" customFormat="1" ht="21">
      <c r="A59" s="95" t="s">
        <v>37</v>
      </c>
      <c r="B59" s="83">
        <f>230.667877+88.3223</f>
        <v>318.99017700000002</v>
      </c>
      <c r="C59" s="91">
        <v>383.6</v>
      </c>
      <c r="D59" s="91">
        <f>144.477+252.39</f>
        <v>396.86699999999996</v>
      </c>
      <c r="E59" s="91">
        <f t="shared" si="9"/>
        <v>77.876822999999945</v>
      </c>
      <c r="F59" s="86">
        <f>Таблица22462791012131457[[#This Row],[Столбец8]]/Таблица22462791012131457[[#This Row],[Столбец4]]*100-100</f>
        <v>24.413548947621649</v>
      </c>
      <c r="G59" s="86">
        <f>Таблица22462791012131457[[#This Row],[Столбец4]]/$B$6*100</f>
        <v>0.34433123417943556</v>
      </c>
      <c r="H59" s="87">
        <f t="shared" si="8"/>
        <v>0.38166160178488995</v>
      </c>
    </row>
    <row r="60" spans="1:8" s="4" customFormat="1" ht="21">
      <c r="A60" s="95" t="s">
        <v>35</v>
      </c>
      <c r="B60" s="94">
        <v>1017.230997</v>
      </c>
      <c r="C60" s="86">
        <v>1018</v>
      </c>
      <c r="D60" s="86">
        <v>1048.5</v>
      </c>
      <c r="E60" s="86">
        <f t="shared" si="9"/>
        <v>31.269002999999998</v>
      </c>
      <c r="F60" s="86">
        <f>Таблица22462791012131457[[#This Row],[Столбец8]]/Таблица22462791012131457[[#This Row],[Столбец4]]*100-100</f>
        <v>3.0739333634364243</v>
      </c>
      <c r="G60" s="86">
        <f>Таблица22462791012131457[[#This Row],[Столбец4]]/$B$6*100</f>
        <v>1.0980413501654245</v>
      </c>
      <c r="H60" s="87">
        <f t="shared" si="8"/>
        <v>1.0083282043391291</v>
      </c>
    </row>
    <row r="61" spans="1:8" s="4" customFormat="1" ht="40.5" customHeight="1">
      <c r="A61" s="93" t="s">
        <v>41</v>
      </c>
      <c r="B61" s="81">
        <f>SUM(B62,B66,B67)</f>
        <v>2350.3691039999994</v>
      </c>
      <c r="C61" s="81">
        <f>SUM(C62,C66,C67)</f>
        <v>2476.4</v>
      </c>
      <c r="D61" s="81">
        <f>SUM(D62,D66,D67)</f>
        <v>2514.8089999999997</v>
      </c>
      <c r="E61" s="81">
        <f t="shared" si="9"/>
        <v>164.43989600000032</v>
      </c>
      <c r="F61" s="81">
        <f>Таблица22462791012131457[[#This Row],[Столбец8]]/Таблица22462791012131457[[#This Row],[Столбец4]]*100-100</f>
        <v>6.9963434985656789</v>
      </c>
      <c r="G61" s="81">
        <f>Таблица22462791012131457[[#This Row],[Столбец4]]/$B$6*100</f>
        <v>2.5370859440525466</v>
      </c>
      <c r="H61" s="82">
        <f t="shared" si="8"/>
        <v>2.4184576473303583</v>
      </c>
    </row>
    <row r="62" spans="1:8" s="5" customFormat="1" ht="21">
      <c r="A62" s="95" t="s">
        <v>28</v>
      </c>
      <c r="B62" s="94">
        <f>B63+B64+B65</f>
        <v>1788.1457369999998</v>
      </c>
      <c r="C62" s="86">
        <f>SUM(C63:C65)</f>
        <v>1808.2</v>
      </c>
      <c r="D62" s="86">
        <f>SUM(D63:D65)</f>
        <v>1833.2570000000001</v>
      </c>
      <c r="E62" s="86">
        <f t="shared" si="9"/>
        <v>45.111263000000235</v>
      </c>
      <c r="F62" s="86">
        <f>Таблица22462791012131457[[#This Row],[Столбец8]]/Таблица22462791012131457[[#This Row],[Столбец4]]*100-100</f>
        <v>2.5227956573430106</v>
      </c>
      <c r="G62" s="86">
        <f>Таблица22462791012131457[[#This Row],[Столбец4]]/$B$6*100</f>
        <v>1.9301987111468526</v>
      </c>
      <c r="H62" s="87">
        <f t="shared" si="8"/>
        <v>1.7630183489767657</v>
      </c>
    </row>
    <row r="63" spans="1:8" s="4" customFormat="1" ht="21">
      <c r="A63" s="90" t="s">
        <v>29</v>
      </c>
      <c r="B63" s="94">
        <v>1282.9782889999999</v>
      </c>
      <c r="C63" s="86">
        <v>1283</v>
      </c>
      <c r="D63" s="86">
        <v>1283</v>
      </c>
      <c r="E63" s="86">
        <f t="shared" si="9"/>
        <v>2.1711000000095737E-2</v>
      </c>
      <c r="F63" s="86">
        <f>Таблица22462791012131457[[#This Row],[Столбец8]]/Таблица22462791012131457[[#This Row],[Столбец4]]*100-100</f>
        <v>1.6922344038334813E-3</v>
      </c>
      <c r="G63" s="86">
        <f>Таблица22462791012131457[[#This Row],[Столбец4]]/$B$6*100</f>
        <v>1.3849000048574867</v>
      </c>
      <c r="H63" s="87">
        <f t="shared" si="8"/>
        <v>1.2338436682566547</v>
      </c>
    </row>
    <row r="64" spans="1:8" s="4" customFormat="1" ht="21">
      <c r="A64" s="90" t="s">
        <v>30</v>
      </c>
      <c r="B64" s="94">
        <v>41.057000000000002</v>
      </c>
      <c r="C64" s="86">
        <v>43.4</v>
      </c>
      <c r="D64" s="94">
        <v>41.057000000000002</v>
      </c>
      <c r="E64" s="86">
        <f t="shared" si="9"/>
        <v>0</v>
      </c>
      <c r="F64" s="86">
        <f>Таблица22462791012131457[[#This Row],[Столбец8]]/Таблица22462791012131457[[#This Row],[Столбец4]]*100-100</f>
        <v>0</v>
      </c>
      <c r="G64" s="86">
        <f>Таблица22462791012131457[[#This Row],[Столбец4]]/$B$6*100</f>
        <v>4.4318629541075447E-2</v>
      </c>
      <c r="H64" s="87">
        <f t="shared" si="8"/>
        <v>3.9483959070626254E-2</v>
      </c>
    </row>
    <row r="65" spans="1:8" s="4" customFormat="1" ht="21">
      <c r="A65" s="90" t="s">
        <v>31</v>
      </c>
      <c r="B65" s="88">
        <v>464.11044800000002</v>
      </c>
      <c r="C65" s="91">
        <f>418.5+63.3</f>
        <v>481.8</v>
      </c>
      <c r="D65" s="91">
        <f>448.2+63.2-2.2</f>
        <v>509.2</v>
      </c>
      <c r="E65" s="91">
        <f t="shared" si="9"/>
        <v>45.089551999999969</v>
      </c>
      <c r="F65" s="91">
        <f>Таблица22462791012131457[[#This Row],[Столбец8]]/Таблица22462791012131457[[#This Row],[Столбец4]]*100-100</f>
        <v>9.715263294395811</v>
      </c>
      <c r="G65" s="91">
        <f>Таблица22462791012131457[[#This Row],[Столбец4]]/$B$6*100</f>
        <v>0.50098007674829048</v>
      </c>
      <c r="H65" s="92">
        <f t="shared" si="8"/>
        <v>0.48969072164948452</v>
      </c>
    </row>
    <row r="66" spans="1:8" s="4" customFormat="1" ht="21">
      <c r="A66" s="95" t="s">
        <v>37</v>
      </c>
      <c r="B66" s="94">
        <f>18.0158+263.82587</f>
        <v>281.84167000000002</v>
      </c>
      <c r="C66" s="86">
        <v>379.1</v>
      </c>
      <c r="D66" s="86">
        <f>308.815+83.637</f>
        <v>392.452</v>
      </c>
      <c r="E66" s="86">
        <f t="shared" si="9"/>
        <v>110.61032999999998</v>
      </c>
      <c r="F66" s="86">
        <f>Таблица22462791012131457[[#This Row],[Столбец8]]/Таблица22462791012131457[[#This Row],[Столбец4]]*100-100</f>
        <v>39.245555847011559</v>
      </c>
      <c r="G66" s="86">
        <f>Таблица22462791012131457[[#This Row],[Столбец4]]/$B$6*100</f>
        <v>0.30423159417317486</v>
      </c>
      <c r="H66" s="87">
        <f t="shared" si="8"/>
        <v>0.37741575627019541</v>
      </c>
    </row>
    <row r="67" spans="1:8" s="4" customFormat="1" ht="21">
      <c r="A67" s="95" t="s">
        <v>35</v>
      </c>
      <c r="B67" s="94">
        <v>280.38169699999997</v>
      </c>
      <c r="C67" s="86">
        <v>289.10000000000002</v>
      </c>
      <c r="D67" s="86">
        <v>289.10000000000002</v>
      </c>
      <c r="E67" s="86">
        <f t="shared" si="9"/>
        <v>8.7183030000000485</v>
      </c>
      <c r="F67" s="86">
        <f>Таблица22462791012131457[[#This Row],[Столбец8]]/Таблица22462791012131457[[#This Row],[Столбец4]]*100-100</f>
        <v>3.1094408419962036</v>
      </c>
      <c r="G67" s="86">
        <f>Таблица22462791012131457[[#This Row],[Столбец4]]/$B$6*100</f>
        <v>0.30265563873251977</v>
      </c>
      <c r="H67" s="87">
        <f t="shared" si="8"/>
        <v>0.27802354208339747</v>
      </c>
    </row>
    <row r="68" spans="1:8" s="4" customFormat="1" ht="21">
      <c r="A68" s="93" t="s">
        <v>42</v>
      </c>
      <c r="B68" s="81">
        <f>SUM(B69,B73,B74)</f>
        <v>4174.3025230000003</v>
      </c>
      <c r="C68" s="81">
        <f>SUM(C69,C73,C74)</f>
        <v>4170.5942500000001</v>
      </c>
      <c r="D68" s="81">
        <f>SUM(D69,D73,D74)</f>
        <v>4198.5352499999999</v>
      </c>
      <c r="E68" s="81">
        <f t="shared" si="9"/>
        <v>24.232726999999613</v>
      </c>
      <c r="F68" s="81">
        <f>Таблица22462791012131457[[#This Row],[Столбец8]]/Таблица22462791012131457[[#This Row],[Столбец4]]*100-100</f>
        <v>0.58052158094628226</v>
      </c>
      <c r="G68" s="81">
        <f>Таблица22462791012131457[[#This Row],[Столбец4]]/$B$6*100</f>
        <v>4.5059153642305478</v>
      </c>
      <c r="H68" s="82">
        <f t="shared" si="8"/>
        <v>4.0376743056624091</v>
      </c>
    </row>
    <row r="69" spans="1:8" s="4" customFormat="1" ht="21">
      <c r="A69" s="95" t="s">
        <v>28</v>
      </c>
      <c r="B69" s="94">
        <f>B70+B71+B72</f>
        <v>3997.7433059999998</v>
      </c>
      <c r="C69" s="94">
        <f t="shared" ref="C69:D69" si="12">C70+C71+C72</f>
        <v>3993.69425</v>
      </c>
      <c r="D69" s="94">
        <f t="shared" si="12"/>
        <v>4011.7352500000002</v>
      </c>
      <c r="E69" s="86">
        <f t="shared" si="9"/>
        <v>13.991944000000331</v>
      </c>
      <c r="F69" s="86">
        <f>Таблица22462791012131457[[#This Row],[Столбец8]]/Таблица22462791012131457[[#This Row],[Столбец4]]*100-100</f>
        <v>0.34999605850131843</v>
      </c>
      <c r="G69" s="86">
        <f>Таблица22462791012131457[[#This Row],[Столбец4]]/$B$6*100</f>
        <v>4.3153300187283099</v>
      </c>
      <c r="H69" s="87">
        <f t="shared" si="8"/>
        <v>3.8580312836590247</v>
      </c>
    </row>
    <row r="70" spans="1:8" s="4" customFormat="1" ht="21">
      <c r="A70" s="90" t="s">
        <v>29</v>
      </c>
      <c r="B70" s="94">
        <v>76.008055999999996</v>
      </c>
      <c r="C70" s="86">
        <v>76</v>
      </c>
      <c r="D70" s="86">
        <v>76</v>
      </c>
      <c r="E70" s="86">
        <f t="shared" si="9"/>
        <v>-8.0559999999962884E-3</v>
      </c>
      <c r="F70" s="86">
        <f>Таблица22462791012131457[[#This Row],[Столбец8]]/Таблица22462791012131457[[#This Row],[Столбец4]]*100-100</f>
        <v>-1.0598876519082978E-2</v>
      </c>
      <c r="G70" s="86">
        <f>Таблица22462791012131457[[#This Row],[Столбец4]]/$B$6*100</f>
        <v>8.2046249750379149E-2</v>
      </c>
      <c r="H70" s="87">
        <f t="shared" ref="H70:H97" si="13">D70/$D$6*100</f>
        <v>7.308816741037083E-2</v>
      </c>
    </row>
    <row r="71" spans="1:8" s="4" customFormat="1" ht="21">
      <c r="A71" s="90" t="s">
        <v>30</v>
      </c>
      <c r="B71" s="94">
        <v>24.041</v>
      </c>
      <c r="C71" s="86">
        <v>20</v>
      </c>
      <c r="D71" s="94">
        <v>24.041</v>
      </c>
      <c r="E71" s="86">
        <f t="shared" si="9"/>
        <v>0</v>
      </c>
      <c r="F71" s="86">
        <f>Таблица22462791012131457[[#This Row],[Столбец8]]/Таблица22462791012131457[[#This Row],[Столбец4]]*100-100</f>
        <v>0</v>
      </c>
      <c r="G71" s="86">
        <f>Таблица22462791012131457[[#This Row],[Столбец4]]/$B$6*100</f>
        <v>2.5950853028642983E-2</v>
      </c>
      <c r="H71" s="87">
        <f t="shared" si="13"/>
        <v>2.3119903062009541E-2</v>
      </c>
    </row>
    <row r="72" spans="1:8" s="4" customFormat="1" ht="21">
      <c r="A72" s="90" t="s">
        <v>31</v>
      </c>
      <c r="B72" s="88">
        <f>3906.59425+0.1-9</f>
        <v>3897.69425</v>
      </c>
      <c r="C72" s="88">
        <f>3906.59425+0.1-9</f>
        <v>3897.69425</v>
      </c>
      <c r="D72" s="88">
        <f>3906.59425+0.1-9+14</f>
        <v>3911.69425</v>
      </c>
      <c r="E72" s="91">
        <f t="shared" si="9"/>
        <v>14</v>
      </c>
      <c r="F72" s="91">
        <f>Таблица22462791012131457[[#This Row],[Столбец8]]/Таблица22462791012131457[[#This Row],[Столбец4]]*100-100</f>
        <v>0.35918671660814994</v>
      </c>
      <c r="G72" s="91">
        <f>Таблица22462791012131457[[#This Row],[Столбец4]]/$B$6*100</f>
        <v>4.207332915949288</v>
      </c>
      <c r="H72" s="92">
        <f t="shared" si="13"/>
        <v>3.7618232131866445</v>
      </c>
    </row>
    <row r="73" spans="1:8" s="4" customFormat="1" ht="21" hidden="1">
      <c r="A73" s="95" t="s">
        <v>37</v>
      </c>
      <c r="B73" s="94"/>
      <c r="C73" s="86"/>
      <c r="D73" s="86"/>
      <c r="E73" s="86">
        <f t="shared" si="9"/>
        <v>0</v>
      </c>
      <c r="F73" s="86" t="e">
        <f>Таблица22462791012131457[[#This Row],[Столбец8]]/Таблица22462791012131457[[#This Row],[Столбец4]]*100-100</f>
        <v>#DIV/0!</v>
      </c>
      <c r="G73" s="86">
        <f>Таблица22462791012131457[[#This Row],[Столбец4]]/$B$6*100</f>
        <v>0</v>
      </c>
      <c r="H73" s="87">
        <f t="shared" si="13"/>
        <v>0</v>
      </c>
    </row>
    <row r="74" spans="1:8" s="4" customFormat="1" ht="21">
      <c r="A74" s="95" t="s">
        <v>35</v>
      </c>
      <c r="B74" s="94">
        <v>176.55921699999999</v>
      </c>
      <c r="C74" s="86">
        <v>176.9</v>
      </c>
      <c r="D74" s="86">
        <v>186.8</v>
      </c>
      <c r="E74" s="86">
        <f t="shared" si="9"/>
        <v>10.240783000000022</v>
      </c>
      <c r="F74" s="86">
        <f>Таблица22462791012131457[[#This Row],[Столбец8]]/Таблица22462791012131457[[#This Row],[Столбец4]]*100-100</f>
        <v>5.8001973354922569</v>
      </c>
      <c r="G74" s="86">
        <f>Таблица22462791012131457[[#This Row],[Столбец4]]/$B$6*100</f>
        <v>0.19058534550223713</v>
      </c>
      <c r="H74" s="87">
        <f t="shared" si="13"/>
        <v>0.17964302200338514</v>
      </c>
    </row>
    <row r="75" spans="1:8" s="4" customFormat="1" ht="36" customHeight="1">
      <c r="A75" s="93" t="s">
        <v>43</v>
      </c>
      <c r="B75" s="81">
        <f>SUM(B76,B80,B81)</f>
        <v>1042.4694850000001</v>
      </c>
      <c r="C75" s="81">
        <f>SUM(C76,C80,C81)</f>
        <v>1188.1769999999999</v>
      </c>
      <c r="D75" s="81">
        <f>SUM(D76,D80,D81)</f>
        <v>1227.0039999999999</v>
      </c>
      <c r="E75" s="81">
        <f t="shared" si="9"/>
        <v>184.53451499999983</v>
      </c>
      <c r="F75" s="81">
        <f>Таблица22462791012131457[[#This Row],[Столбец8]]/Таблица22462791012131457[[#This Row],[Столбец4]]*100-100</f>
        <v>17.701670663290429</v>
      </c>
      <c r="G75" s="81">
        <f>Таблица22462791012131457[[#This Row],[Столбец4]]/$B$6*100</f>
        <v>1.1252848214333904</v>
      </c>
      <c r="H75" s="82">
        <f t="shared" si="13"/>
        <v>1.1799930758578241</v>
      </c>
    </row>
    <row r="76" spans="1:8" s="4" customFormat="1" ht="21">
      <c r="A76" s="95" t="s">
        <v>28</v>
      </c>
      <c r="B76" s="94">
        <f>B77+B78+B79</f>
        <v>854.81821000000002</v>
      </c>
      <c r="C76" s="94">
        <f t="shared" ref="C76:D76" si="14">C77+C78+C79</f>
        <v>882.67700000000002</v>
      </c>
      <c r="D76" s="94">
        <f t="shared" si="14"/>
        <v>891.577</v>
      </c>
      <c r="E76" s="86">
        <f t="shared" ref="E76:E80" si="15">D76-B76</f>
        <v>36.758789999999976</v>
      </c>
      <c r="F76" s="86">
        <f>Таблица22462791012131457[[#This Row],[Столбец8]]/Таблица22462791012131457[[#This Row],[Столбец4]]*100-100</f>
        <v>4.3001879896779514</v>
      </c>
      <c r="G76" s="86">
        <f>Таблица22462791012131457[[#This Row],[Столбец4]]/$B$6*100</f>
        <v>0.92272624823916105</v>
      </c>
      <c r="H76" s="87">
        <f t="shared" si="13"/>
        <v>0.85741748730573941</v>
      </c>
    </row>
    <row r="77" spans="1:8" s="4" customFormat="1" ht="21">
      <c r="A77" s="90" t="s">
        <v>29</v>
      </c>
      <c r="B77" s="94">
        <v>197.264253</v>
      </c>
      <c r="C77" s="86">
        <v>197.2</v>
      </c>
      <c r="D77" s="86">
        <v>199.2</v>
      </c>
      <c r="E77" s="86">
        <f t="shared" si="15"/>
        <v>1.9357469999999921</v>
      </c>
      <c r="F77" s="86">
        <f>Таблица22462791012131457[[#This Row],[Столбец8]]/Таблица22462791012131457[[#This Row],[Столбец4]]*100-100</f>
        <v>0.98129639332069019</v>
      </c>
      <c r="G77" s="86">
        <f>Таблица22462791012131457[[#This Row],[Столбец4]]/$B$6*100</f>
        <v>0.21293522055688385</v>
      </c>
      <c r="H77" s="87">
        <f t="shared" si="13"/>
        <v>0.19156793352823509</v>
      </c>
    </row>
    <row r="78" spans="1:8" s="4" customFormat="1" ht="21">
      <c r="A78" s="90" t="s">
        <v>30</v>
      </c>
      <c r="B78" s="94">
        <v>257.17700000000002</v>
      </c>
      <c r="C78" s="94">
        <v>257.17700000000002</v>
      </c>
      <c r="D78" s="94">
        <v>257.17700000000002</v>
      </c>
      <c r="E78" s="86">
        <f t="shared" si="15"/>
        <v>0</v>
      </c>
      <c r="F78" s="86">
        <f>Таблица22462791012131457[[#This Row],[Столбец8]]/Таблица22462791012131457[[#This Row],[Столбец4]]*100-100</f>
        <v>0</v>
      </c>
      <c r="G78" s="86">
        <f>Таблица22462791012131457[[#This Row],[Столбец4]]/$B$6*100</f>
        <v>0.27760752586611692</v>
      </c>
      <c r="H78" s="87">
        <f t="shared" si="13"/>
        <v>0.24732362671180183</v>
      </c>
    </row>
    <row r="79" spans="1:8" s="4" customFormat="1" ht="21">
      <c r="A79" s="90" t="s">
        <v>31</v>
      </c>
      <c r="B79" s="88">
        <f>400.576957-0.2</f>
        <v>400.376957</v>
      </c>
      <c r="C79" s="91">
        <f>410.7+17.6</f>
        <v>428.3</v>
      </c>
      <c r="D79" s="91">
        <f>437.5+18.7-55.8+34.8</f>
        <v>435.2</v>
      </c>
      <c r="E79" s="91">
        <f t="shared" si="15"/>
        <v>34.823042999999984</v>
      </c>
      <c r="F79" s="91">
        <f>Таблица22462791012131457[[#This Row],[Столбец8]]/Таблица22462791012131457[[#This Row],[Столбец4]]*100-100</f>
        <v>8.6975642307007206</v>
      </c>
      <c r="G79" s="91">
        <f>Таблица22462791012131457[[#This Row],[Столбец4]]/$B$6*100</f>
        <v>0.43218350181616028</v>
      </c>
      <c r="H79" s="92">
        <f t="shared" si="13"/>
        <v>0.41852592706570241</v>
      </c>
    </row>
    <row r="80" spans="1:8" s="5" customFormat="1" ht="21">
      <c r="A80" s="95" t="s">
        <v>37</v>
      </c>
      <c r="B80" s="94">
        <v>148.32323</v>
      </c>
      <c r="C80" s="86">
        <v>265.39999999999998</v>
      </c>
      <c r="D80" s="86">
        <f>295.327</f>
        <v>295.327</v>
      </c>
      <c r="E80" s="86">
        <f t="shared" si="15"/>
        <v>147.00377</v>
      </c>
      <c r="F80" s="86">
        <f>Таблица22462791012131457[[#This Row],[Столбец8]]/Таблица22462791012131457[[#This Row],[Столбец4]]*100-100</f>
        <v>99.110415812816399</v>
      </c>
      <c r="G80" s="86">
        <f>Таблица22462791012131457[[#This Row],[Столбец4]]/$B$6*100</f>
        <v>0.16010624942654669</v>
      </c>
      <c r="H80" s="87">
        <f t="shared" si="13"/>
        <v>0.28401196337898138</v>
      </c>
    </row>
    <row r="81" spans="1:8" s="4" customFormat="1" ht="21">
      <c r="A81" s="95" t="s">
        <v>35</v>
      </c>
      <c r="B81" s="94">
        <v>39.328045000000003</v>
      </c>
      <c r="C81" s="86">
        <v>40.1</v>
      </c>
      <c r="D81" s="86">
        <v>40.1</v>
      </c>
      <c r="E81" s="86">
        <f t="shared" ref="E81:E136" si="16">D81-B81</f>
        <v>0.77195499999999839</v>
      </c>
      <c r="F81" s="86">
        <f>Таблица22462791012131457[[#This Row],[Столбец8]]/Таблица22462791012131457[[#This Row],[Столбец4]]*100-100</f>
        <v>1.9628613626738769</v>
      </c>
      <c r="G81" s="86">
        <f>Таблица22462791012131457[[#This Row],[Столбец4]]/$B$6*100</f>
        <v>4.2452323767682605E-2</v>
      </c>
      <c r="H81" s="87">
        <f t="shared" si="13"/>
        <v>3.8563625173103556E-2</v>
      </c>
    </row>
    <row r="82" spans="1:8" s="4" customFormat="1" ht="38.25" customHeight="1">
      <c r="A82" s="93" t="s">
        <v>44</v>
      </c>
      <c r="B82" s="81">
        <f>SUM(B83,B87,B88)</f>
        <v>8381.6032360000008</v>
      </c>
      <c r="C82" s="81">
        <f>SUM(C83,C87,C88)</f>
        <v>9553.3415690000002</v>
      </c>
      <c r="D82" s="81">
        <f>SUM(D83,D87,D88)</f>
        <v>9743.2478310000006</v>
      </c>
      <c r="E82" s="81">
        <f t="shared" si="16"/>
        <v>1361.6445949999998</v>
      </c>
      <c r="F82" s="81">
        <f>Таблица22462791012131457[[#This Row],[Столбец8]]/Таблица22462791012131457[[#This Row],[Столбец4]]*100-100</f>
        <v>16.245634118679959</v>
      </c>
      <c r="G82" s="81">
        <f>Таблица22462791012131457[[#This Row],[Столбец4]]/$B$6*100</f>
        <v>9.0474503440719776</v>
      </c>
      <c r="H82" s="82">
        <f t="shared" si="13"/>
        <v>9.3699490604323756</v>
      </c>
    </row>
    <row r="83" spans="1:8" s="4" customFormat="1" ht="21">
      <c r="A83" s="95" t="s">
        <v>28</v>
      </c>
      <c r="B83" s="86">
        <f t="shared" ref="B83:D84" si="17">B90+B97+B104+B111+B117+B124</f>
        <v>4223.3639850000009</v>
      </c>
      <c r="C83" s="86">
        <f t="shared" si="17"/>
        <v>4255.7794190000004</v>
      </c>
      <c r="D83" s="86">
        <f t="shared" si="17"/>
        <v>4274.3846810000005</v>
      </c>
      <c r="E83" s="86">
        <f t="shared" si="16"/>
        <v>51.020695999999589</v>
      </c>
      <c r="F83" s="86">
        <f>Таблица22462791012131457[[#This Row],[Столбец8]]/Таблица22462791012131457[[#This Row],[Столбец4]]*100-100</f>
        <v>1.2080582251780498</v>
      </c>
      <c r="G83" s="86">
        <f>Таблица22462791012131457[[#This Row],[Столбец4]]/$B$6*100</f>
        <v>4.558874342215339</v>
      </c>
      <c r="H83" s="87">
        <f t="shared" si="13"/>
        <v>4.1106176729112178</v>
      </c>
    </row>
    <row r="84" spans="1:8" s="4" customFormat="1" ht="21">
      <c r="A84" s="90" t="s">
        <v>29</v>
      </c>
      <c r="B84" s="86">
        <f t="shared" si="17"/>
        <v>189.09364300000001</v>
      </c>
      <c r="C84" s="86">
        <f t="shared" si="17"/>
        <v>195.64558500000001</v>
      </c>
      <c r="D84" s="86">
        <f t="shared" si="17"/>
        <v>193.381135</v>
      </c>
      <c r="E84" s="86">
        <f t="shared" si="16"/>
        <v>4.2874919999999861</v>
      </c>
      <c r="F84" s="86">
        <f>Таблица22462791012131457[[#This Row],[Столбец8]]/Таблица22462791012131457[[#This Row],[Столбец4]]*100-100</f>
        <v>2.2673908715164828</v>
      </c>
      <c r="G84" s="86">
        <f>Таблица22462791012131457[[#This Row],[Столбец4]]/$B$6*100</f>
        <v>0.20411552506733019</v>
      </c>
      <c r="H84" s="87">
        <f t="shared" si="13"/>
        <v>0.18597201011694109</v>
      </c>
    </row>
    <row r="85" spans="1:8" s="4" customFormat="1" ht="21">
      <c r="A85" s="90" t="s">
        <v>30</v>
      </c>
      <c r="B85" s="86">
        <f>B92+B99+B106+B113+B119</f>
        <v>2754.2490000000003</v>
      </c>
      <c r="C85" s="86">
        <f>C92+C99+C106+C113+C119</f>
        <v>2733.9</v>
      </c>
      <c r="D85" s="86">
        <f>D92+D99+D106+D113+D119</f>
        <v>2754.2490000000003</v>
      </c>
      <c r="E85" s="86">
        <f t="shared" si="16"/>
        <v>0</v>
      </c>
      <c r="F85" s="86">
        <f>Таблица22462791012131457[[#This Row],[Столбец8]]/Таблица22462791012131457[[#This Row],[Столбец4]]*100-100</f>
        <v>0</v>
      </c>
      <c r="G85" s="86">
        <f>Таблица22462791012131457[[#This Row],[Столбец4]]/$B$6*100</f>
        <v>2.9730506635866605</v>
      </c>
      <c r="H85" s="87">
        <f t="shared" si="13"/>
        <v>2.6487238421295585</v>
      </c>
    </row>
    <row r="86" spans="1:8" s="4" customFormat="1" ht="21">
      <c r="A86" s="90" t="s">
        <v>31</v>
      </c>
      <c r="B86" s="91">
        <f>B93+B100+B107+B114+B120+B126+0.1</f>
        <v>1280.1213419999999</v>
      </c>
      <c r="C86" s="91">
        <f>C93+C100+C107+C114+C120+C126</f>
        <v>1326.2338340000003</v>
      </c>
      <c r="D86" s="91">
        <f>D93+D100+D107+D114+D120+D126</f>
        <v>1326.7545460000001</v>
      </c>
      <c r="E86" s="91">
        <f t="shared" si="16"/>
        <v>46.633204000000205</v>
      </c>
      <c r="F86" s="91">
        <f>Таблица22462791012131457[[#This Row],[Столбец8]]/Таблица22462791012131457[[#This Row],[Столбец4]]*100-100</f>
        <v>3.6428737237629889</v>
      </c>
      <c r="G86" s="91">
        <f>Таблица22462791012131457[[#This Row],[Столбец4]]/$B$6*100</f>
        <v>1.3818160977110443</v>
      </c>
      <c r="H86" s="92">
        <f t="shared" si="13"/>
        <v>1.2759218206647178</v>
      </c>
    </row>
    <row r="87" spans="1:8" s="4" customFormat="1" ht="21">
      <c r="A87" s="95" t="s">
        <v>37</v>
      </c>
      <c r="B87" s="86">
        <f>B94+B101+B108+B121</f>
        <v>3995.7302959999997</v>
      </c>
      <c r="C87" s="86">
        <f>C94+C101+C108+C121</f>
        <v>5133.6000000000004</v>
      </c>
      <c r="D87" s="86">
        <f>D94+D101+D108+D121</f>
        <v>5294.2369999999992</v>
      </c>
      <c r="E87" s="86">
        <f t="shared" si="16"/>
        <v>1298.5067039999994</v>
      </c>
      <c r="F87" s="86">
        <f>Таблица22462791012131457[[#This Row],[Столбец8]]/Таблица22462791012131457[[#This Row],[Столбец4]]*100-100</f>
        <v>32.497356122856786</v>
      </c>
      <c r="G87" s="86">
        <f>Таблица22462791012131457[[#This Row],[Столбец4]]/$B$6*100</f>
        <v>4.3131570922004956</v>
      </c>
      <c r="H87" s="87">
        <f t="shared" si="13"/>
        <v>5.091395791660255</v>
      </c>
    </row>
    <row r="88" spans="1:8" s="4" customFormat="1" ht="21">
      <c r="A88" s="95" t="s">
        <v>35</v>
      </c>
      <c r="B88" s="86">
        <f>B95+B102+B109+B115+B122+B127</f>
        <v>162.50895499999999</v>
      </c>
      <c r="C88" s="86">
        <f>C95+C102+C109+C115+C122+C127</f>
        <v>163.96215000000001</v>
      </c>
      <c r="D88" s="86">
        <f>D95+D102+D109+D115+D122+D127</f>
        <v>174.62615000000002</v>
      </c>
      <c r="E88" s="86">
        <f t="shared" si="16"/>
        <v>12.117195000000038</v>
      </c>
      <c r="F88" s="86">
        <f>Таблица22462791012131457[[#This Row],[Столбец8]]/Таблица22462791012131457[[#This Row],[Столбец4]]*100-100</f>
        <v>7.4563244837800227</v>
      </c>
      <c r="G88" s="86">
        <f>Таблица22462791012131457[[#This Row],[Столбец4]]/$B$6*100</f>
        <v>0.1754189096561439</v>
      </c>
      <c r="H88" s="87">
        <f t="shared" si="13"/>
        <v>0.1679355958609017</v>
      </c>
    </row>
    <row r="89" spans="1:8" s="5" customFormat="1" ht="42">
      <c r="A89" s="93" t="s">
        <v>45</v>
      </c>
      <c r="B89" s="81">
        <f>SUM(B90,B94,B95)</f>
        <v>1275.9662990000002</v>
      </c>
      <c r="C89" s="81">
        <f>SUM(C90,C94,C95)</f>
        <v>1397.6014500000001</v>
      </c>
      <c r="D89" s="81">
        <f>SUM(D90,D94,D95)</f>
        <v>1431.827</v>
      </c>
      <c r="E89" s="81">
        <f t="shared" si="16"/>
        <v>155.86070099999984</v>
      </c>
      <c r="F89" s="81">
        <f>Таблица22462791012131457[[#This Row],[Столбец8]]/Таблица22462791012131457[[#This Row],[Столбец4]]*100-100</f>
        <v>12.215111098322183</v>
      </c>
      <c r="G89" s="81">
        <f>Таблица22462791012131457[[#This Row],[Столбец4]]/$B$6*100</f>
        <v>1.3773309718751519</v>
      </c>
      <c r="H89" s="82">
        <f t="shared" si="13"/>
        <v>1.3769685720880136</v>
      </c>
    </row>
    <row r="90" spans="1:8" s="4" customFormat="1" ht="21">
      <c r="A90" s="95" t="s">
        <v>28</v>
      </c>
      <c r="B90" s="94">
        <f>B91+B92+B93</f>
        <v>769.87898900000005</v>
      </c>
      <c r="C90" s="94">
        <f t="shared" ref="C90:D90" si="18">C91+C92+C93</f>
        <v>784.54145000000005</v>
      </c>
      <c r="D90" s="94">
        <f t="shared" si="18"/>
        <v>789.99</v>
      </c>
      <c r="E90" s="86">
        <f t="shared" si="16"/>
        <v>20.111010999999962</v>
      </c>
      <c r="F90" s="86">
        <f>Таблица22462791012131457[[#This Row],[Столбец8]]/Таблица22462791012131457[[#This Row],[Столбец4]]*100-100</f>
        <v>2.6122301410150612</v>
      </c>
      <c r="G90" s="86">
        <f>Таблица22462791012131457[[#This Row],[Столбец4]]/$B$6*100</f>
        <v>0.83103932837150052</v>
      </c>
      <c r="H90" s="87">
        <f t="shared" si="13"/>
        <v>0.75972264963840597</v>
      </c>
    </row>
    <row r="91" spans="1:8" s="4" customFormat="1" ht="21">
      <c r="A91" s="90" t="s">
        <v>29</v>
      </c>
      <c r="B91" s="94">
        <v>29.25845</v>
      </c>
      <c r="C91" s="94">
        <v>29.25845</v>
      </c>
      <c r="D91" s="94">
        <v>30.414000000000001</v>
      </c>
      <c r="E91" s="86">
        <f t="shared" si="16"/>
        <v>1.1555500000000016</v>
      </c>
      <c r="F91" s="86">
        <f>Таблица22462791012131457[[#This Row],[Столбец8]]/Таблица22462791012131457[[#This Row],[Столбец4]]*100-100</f>
        <v>3.9494573362567138</v>
      </c>
      <c r="G91" s="86">
        <f>Таблица22462791012131457[[#This Row],[Столбец4]]/$B$6*100</f>
        <v>3.1582785067006333E-2</v>
      </c>
      <c r="H91" s="87">
        <f t="shared" si="13"/>
        <v>2.9248730573934449E-2</v>
      </c>
    </row>
    <row r="92" spans="1:8" s="4" customFormat="1" ht="21">
      <c r="A92" s="90" t="s">
        <v>30</v>
      </c>
      <c r="B92" s="94">
        <v>144.59299999999999</v>
      </c>
      <c r="C92" s="86">
        <v>140.30000000000001</v>
      </c>
      <c r="D92" s="94">
        <v>144.59299999999999</v>
      </c>
      <c r="E92" s="86">
        <f t="shared" si="16"/>
        <v>0</v>
      </c>
      <c r="F92" s="86">
        <f>Таблица22462791012131457[[#This Row],[Столбец8]]/Таблица22462791012131457[[#This Row],[Столбец4]]*100-100</f>
        <v>0</v>
      </c>
      <c r="G92" s="86">
        <f>Таблица22462791012131457[[#This Row],[Столбец4]]/$B$6*100</f>
        <v>0.15607968437130626</v>
      </c>
      <c r="H92" s="87">
        <f t="shared" si="13"/>
        <v>0.13905312355747035</v>
      </c>
    </row>
    <row r="93" spans="1:8" s="4" customFormat="1" ht="21">
      <c r="A93" s="90" t="s">
        <v>31</v>
      </c>
      <c r="B93" s="88">
        <v>596.02753900000005</v>
      </c>
      <c r="C93" s="91">
        <f>614.297+0.686</f>
        <v>614.98300000000006</v>
      </c>
      <c r="D93" s="91">
        <f>614.297+0.686</f>
        <v>614.98300000000006</v>
      </c>
      <c r="E93" s="91">
        <f t="shared" si="16"/>
        <v>18.955461000000014</v>
      </c>
      <c r="F93" s="91">
        <f>Таблица22462791012131457[[#This Row],[Столбец8]]/Таблица22462791012131457[[#This Row],[Столбец4]]*100-100</f>
        <v>3.1802995263948759</v>
      </c>
      <c r="G93" s="91">
        <f>Таблица22462791012131457[[#This Row],[Столбец4]]/$B$6*100</f>
        <v>0.64337685893318808</v>
      </c>
      <c r="H93" s="92">
        <f t="shared" si="13"/>
        <v>0.59142079550700111</v>
      </c>
    </row>
    <row r="94" spans="1:8" s="4" customFormat="1" ht="21">
      <c r="A94" s="95" t="s">
        <v>37</v>
      </c>
      <c r="B94" s="94">
        <f>61.07607+374.89165</f>
        <v>435.96772000000004</v>
      </c>
      <c r="C94" s="86">
        <v>542.5</v>
      </c>
      <c r="D94" s="86">
        <f>475.36+93.121</f>
        <v>568.48099999999999</v>
      </c>
      <c r="E94" s="86">
        <f t="shared" si="16"/>
        <v>132.51327999999995</v>
      </c>
      <c r="F94" s="86">
        <f>Таблица22462791012131457[[#This Row],[Столбец8]]/Таблица22462791012131457[[#This Row],[Столбец4]]*100-100</f>
        <v>30.395204488992874</v>
      </c>
      <c r="G94" s="86">
        <f>Таблица22462791012131457[[#This Row],[Столбец4]]/$B$6*100</f>
        <v>0.47060164830716594</v>
      </c>
      <c r="H94" s="87">
        <f t="shared" si="13"/>
        <v>0.54670045391598709</v>
      </c>
    </row>
    <row r="95" spans="1:8" s="4" customFormat="1" ht="21">
      <c r="A95" s="95" t="s">
        <v>35</v>
      </c>
      <c r="B95" s="94">
        <v>70.119590000000002</v>
      </c>
      <c r="C95" s="86">
        <v>70.56</v>
      </c>
      <c r="D95" s="86">
        <v>73.355999999999995</v>
      </c>
      <c r="E95" s="86">
        <f t="shared" si="16"/>
        <v>3.2364099999999922</v>
      </c>
      <c r="F95" s="86">
        <f>Таблица22462791012131457[[#This Row],[Столбец8]]/Таблица22462791012131457[[#This Row],[Столбец4]]*100-100</f>
        <v>4.6155575068251125</v>
      </c>
      <c r="G95" s="86">
        <f>Таблица22462791012131457[[#This Row],[Столбец4]]/$B$6*100</f>
        <v>7.5689995196485338E-2</v>
      </c>
      <c r="H95" s="87">
        <f t="shared" si="13"/>
        <v>7.0545468533620551E-2</v>
      </c>
    </row>
    <row r="96" spans="1:8" s="4" customFormat="1" ht="21">
      <c r="A96" s="93" t="s">
        <v>46</v>
      </c>
      <c r="B96" s="81">
        <f>SUM(B97,B101,B102)</f>
        <v>3832.9598770000002</v>
      </c>
      <c r="C96" s="81">
        <f>SUM(C97,C101,C102)</f>
        <v>4522</v>
      </c>
      <c r="D96" s="81">
        <f>SUM(D97,D101,D102)</f>
        <v>4531.5926680000002</v>
      </c>
      <c r="E96" s="81">
        <f t="shared" si="16"/>
        <v>698.632791</v>
      </c>
      <c r="F96" s="81">
        <f>Таблица22462791012131457[[#This Row],[Столбец8]]/Таблица22462791012131457[[#This Row],[Столбец4]]*100-100</f>
        <v>18.226978977583499</v>
      </c>
      <c r="G96" s="81">
        <f>Таблица22462791012131457[[#This Row],[Столбец4]]/$B$6*100</f>
        <v>4.1374559474527883</v>
      </c>
      <c r="H96" s="82">
        <f t="shared" si="13"/>
        <v>4.3579710993999079</v>
      </c>
    </row>
    <row r="97" spans="1:8" s="4" customFormat="1" ht="21">
      <c r="A97" s="95" t="s">
        <v>28</v>
      </c>
      <c r="B97" s="94">
        <f>B98+B99+B100</f>
        <v>2189.7755970000003</v>
      </c>
      <c r="C97" s="94">
        <f t="shared" ref="C97:D97" si="19">C98+C99+C100</f>
        <v>2186.5</v>
      </c>
      <c r="D97" s="94">
        <f t="shared" si="19"/>
        <v>2192.3016680000001</v>
      </c>
      <c r="E97" s="86">
        <f t="shared" si="16"/>
        <v>2.5260709999997744</v>
      </c>
      <c r="F97" s="86">
        <f>Таблица22462791012131457[[#This Row],[Столбец8]]/Таблица22462791012131457[[#This Row],[Столбец4]]*100-100</f>
        <v>0.11535752811660416</v>
      </c>
      <c r="G97" s="86">
        <f>Таблица22462791012131457[[#This Row],[Столбец4]]/$B$6*100</f>
        <v>2.3637346484528905</v>
      </c>
      <c r="H97" s="87">
        <f t="shared" si="13"/>
        <v>2.1083067279581473</v>
      </c>
    </row>
    <row r="98" spans="1:8" s="4" customFormat="1" ht="21">
      <c r="A98" s="90" t="s">
        <v>29</v>
      </c>
      <c r="B98" s="94">
        <v>8.9941250000000004</v>
      </c>
      <c r="C98" s="86">
        <v>9</v>
      </c>
      <c r="D98" s="86">
        <v>11.4</v>
      </c>
      <c r="E98" s="86">
        <f t="shared" si="16"/>
        <v>2.405875</v>
      </c>
      <c r="F98" s="86">
        <f>Таблица22462791012131457[[#This Row],[Столбец8]]/Таблица22462791012131457[[#This Row],[Столбец4]]*100-100</f>
        <v>26.749405862160017</v>
      </c>
      <c r="G98" s="86">
        <f>Таблица22462791012131457[[#This Row],[Столбец4]]/$B$6*100</f>
        <v>9.7086317539305158E-3</v>
      </c>
      <c r="H98" s="87">
        <f t="shared" ref="H98:H124" si="20">D98/$D$6*100</f>
        <v>1.0963225111555624E-2</v>
      </c>
    </row>
    <row r="99" spans="1:8" s="4" customFormat="1" ht="21">
      <c r="A99" s="90" t="s">
        <v>30</v>
      </c>
      <c r="B99" s="94">
        <v>2175.86</v>
      </c>
      <c r="C99" s="86">
        <v>2173</v>
      </c>
      <c r="D99" s="94">
        <v>2175.86</v>
      </c>
      <c r="E99" s="86">
        <f t="shared" si="16"/>
        <v>0</v>
      </c>
      <c r="F99" s="86">
        <f>Таблица22462791012131457[[#This Row],[Столбец8]]/Таблица22462791012131457[[#This Row],[Столбец4]]*100-100</f>
        <v>0</v>
      </c>
      <c r="G99" s="86">
        <f>Таблица22462791012131457[[#This Row],[Столбец4]]/$B$6*100</f>
        <v>2.3487135755959865</v>
      </c>
      <c r="H99" s="87">
        <f t="shared" si="20"/>
        <v>2.092494999230651</v>
      </c>
    </row>
    <row r="100" spans="1:8" s="4" customFormat="1" ht="21">
      <c r="A100" s="90" t="s">
        <v>31</v>
      </c>
      <c r="B100" s="88">
        <v>4.9214719999999996</v>
      </c>
      <c r="C100" s="91">
        <f>4+0.5</f>
        <v>4.5</v>
      </c>
      <c r="D100" s="91">
        <f>4.9+0.141668</f>
        <v>5.0416680000000005</v>
      </c>
      <c r="E100" s="91">
        <f t="shared" si="16"/>
        <v>0.12019600000000086</v>
      </c>
      <c r="F100" s="91">
        <f>Таблица22462791012131457[[#This Row],[Столбец8]]/Таблица22462791012131457[[#This Row],[Столбец4]]*100-100</f>
        <v>2.4422774324429781</v>
      </c>
      <c r="G100" s="91">
        <f>Таблица22462791012131457[[#This Row],[Столбец4]]/$B$6*100</f>
        <v>5.3124411029733211E-3</v>
      </c>
      <c r="H100" s="92">
        <f t="shared" si="20"/>
        <v>4.8485036159409151E-3</v>
      </c>
    </row>
    <row r="101" spans="1:8" s="4" customFormat="1" ht="21">
      <c r="A101" s="95" t="s">
        <v>37</v>
      </c>
      <c r="B101" s="94">
        <f>907.775+730.64684</f>
        <v>1638.42184</v>
      </c>
      <c r="C101" s="86">
        <v>2330.6</v>
      </c>
      <c r="D101" s="86">
        <f>1044.588+1289.541</f>
        <v>2334.1289999999999</v>
      </c>
      <c r="E101" s="86">
        <f t="shared" si="16"/>
        <v>695.70715999999993</v>
      </c>
      <c r="F101" s="86">
        <f>Таблица22462791012131457[[#This Row],[Столбец8]]/Таблица22462791012131457[[#This Row],[Столбец4]]*100-100</f>
        <v>42.46202919267725</v>
      </c>
      <c r="G101" s="86">
        <f>Таблица22462791012131457[[#This Row],[Столбец4]]/$B$6*100</f>
        <v>1.7685805236370704</v>
      </c>
      <c r="H101" s="87">
        <f t="shared" si="20"/>
        <v>2.244700146176335</v>
      </c>
    </row>
    <row r="102" spans="1:8" s="4" customFormat="1" ht="21">
      <c r="A102" s="95" t="s">
        <v>35</v>
      </c>
      <c r="B102" s="94">
        <v>4.7624399999999998</v>
      </c>
      <c r="C102" s="86">
        <v>4.9000000000000004</v>
      </c>
      <c r="D102" s="86">
        <v>5.1619999999999999</v>
      </c>
      <c r="E102" s="86">
        <f t="shared" si="16"/>
        <v>0.39956000000000014</v>
      </c>
      <c r="F102" s="86">
        <f>Таблица22462791012131457[[#This Row],[Столбец8]]/Таблица22462791012131457[[#This Row],[Столбец4]]*100-100</f>
        <v>8.3898169845709276</v>
      </c>
      <c r="G102" s="86">
        <f>Таблица22462791012131457[[#This Row],[Столбец4]]/$B$6*100</f>
        <v>5.1407753628272728E-3</v>
      </c>
      <c r="H102" s="87">
        <f t="shared" si="20"/>
        <v>4.9642252654254499E-3</v>
      </c>
    </row>
    <row r="103" spans="1:8" s="4" customFormat="1" ht="33" customHeight="1">
      <c r="A103" s="93" t="s">
        <v>47</v>
      </c>
      <c r="B103" s="81">
        <f>SUM(B104,B108,B109)</f>
        <v>741.19259199999999</v>
      </c>
      <c r="C103" s="81">
        <f>SUM(C104,C108,C109)</f>
        <v>978.82193500000005</v>
      </c>
      <c r="D103" s="81">
        <f>SUM(D104,D108,D109)</f>
        <v>1002.5119349999999</v>
      </c>
      <c r="E103" s="81">
        <f t="shared" si="16"/>
        <v>261.31934299999989</v>
      </c>
      <c r="F103" s="81">
        <f>Таблица22462791012131457[[#This Row],[Столбец8]]/Таблица22462791012131457[[#This Row],[Столбец4]]*100-100</f>
        <v>35.256604804274673</v>
      </c>
      <c r="G103" s="81">
        <f>Таблица22462791012131457[[#This Row],[Столбец4]]/$B$6*100</f>
        <v>0.80007404105116009</v>
      </c>
      <c r="H103" s="82">
        <f t="shared" si="20"/>
        <v>0.96410210705493138</v>
      </c>
    </row>
    <row r="104" spans="1:8" s="4" customFormat="1" ht="21">
      <c r="A104" s="95" t="s">
        <v>28</v>
      </c>
      <c r="B104" s="94">
        <f>B105+B106+B107</f>
        <v>222.085443</v>
      </c>
      <c r="C104" s="94">
        <f t="shared" ref="C104:D104" si="21">C105+C106+C107</f>
        <v>227.02193499999998</v>
      </c>
      <c r="D104" s="94">
        <f t="shared" si="21"/>
        <v>228.92193499999999</v>
      </c>
      <c r="E104" s="86">
        <f t="shared" si="16"/>
        <v>6.8364919999999927</v>
      </c>
      <c r="F104" s="86">
        <f>Таблица22462791012131457[[#This Row],[Столбец8]]/Таблица22462791012131457[[#This Row],[Столбец4]]*100-100</f>
        <v>3.0783161235831074</v>
      </c>
      <c r="G104" s="86">
        <f>Таблица22462791012131457[[#This Row],[Столбец4]]/$B$6*100</f>
        <v>0.23972824304704746</v>
      </c>
      <c r="H104" s="87">
        <f t="shared" si="20"/>
        <v>0.22015111459455303</v>
      </c>
    </row>
    <row r="105" spans="1:8" s="4" customFormat="1" ht="21">
      <c r="A105" s="90" t="s">
        <v>29</v>
      </c>
      <c r="B105" s="94">
        <v>63.963507999999997</v>
      </c>
      <c r="C105" s="86">
        <v>70.8</v>
      </c>
      <c r="D105" s="86">
        <v>70.8</v>
      </c>
      <c r="E105" s="86">
        <f t="shared" si="16"/>
        <v>6.8364919999999998</v>
      </c>
      <c r="F105" s="86">
        <f>Таблица22462791012131457[[#This Row],[Столбец8]]/Таблица22462791012131457[[#This Row],[Столбец4]]*100-100</f>
        <v>10.688112978418872</v>
      </c>
      <c r="G105" s="86">
        <f>Таблица22462791012131457[[#This Row],[Столбец4]]/$B$6*100</f>
        <v>6.9044864826938543E-2</v>
      </c>
      <c r="H105" s="87">
        <f t="shared" si="20"/>
        <v>6.8087398061240187E-2</v>
      </c>
    </row>
    <row r="106" spans="1:8" s="4" customFormat="1" ht="21">
      <c r="A106" s="90" t="s">
        <v>30</v>
      </c>
      <c r="B106" s="94">
        <v>17.899999999999999</v>
      </c>
      <c r="C106" s="86">
        <v>16</v>
      </c>
      <c r="D106" s="94">
        <v>17.899999999999999</v>
      </c>
      <c r="E106" s="86">
        <f t="shared" si="16"/>
        <v>0</v>
      </c>
      <c r="F106" s="86">
        <f>Таблица22462791012131457[[#This Row],[Столбец8]]/Таблица22462791012131457[[#This Row],[Столбец4]]*100-100</f>
        <v>0</v>
      </c>
      <c r="G106" s="86">
        <f>Таблица22462791012131457[[#This Row],[Столбец4]]/$B$6*100</f>
        <v>1.9322002795753475E-2</v>
      </c>
      <c r="H106" s="87">
        <f t="shared" si="20"/>
        <v>1.7214186797968916E-2</v>
      </c>
    </row>
    <row r="107" spans="1:8" s="4" customFormat="1" ht="21">
      <c r="A107" s="90" t="s">
        <v>31</v>
      </c>
      <c r="B107" s="88">
        <v>140.221935</v>
      </c>
      <c r="C107" s="91">
        <v>140.221935</v>
      </c>
      <c r="D107" s="91">
        <v>140.221935</v>
      </c>
      <c r="E107" s="91">
        <f t="shared" si="16"/>
        <v>0</v>
      </c>
      <c r="F107" s="91">
        <f>Таблица22462791012131457[[#This Row],[Столбец8]]/Таблица22462791012131457[[#This Row],[Столбец4]]*100-100</f>
        <v>0</v>
      </c>
      <c r="G107" s="91">
        <f>Таблица22462791012131457[[#This Row],[Столбец4]]/$B$6*100</f>
        <v>0.15136137542435543</v>
      </c>
      <c r="H107" s="92">
        <f t="shared" si="20"/>
        <v>0.13484952973534392</v>
      </c>
    </row>
    <row r="108" spans="1:8" s="4" customFormat="1" ht="21">
      <c r="A108" s="95" t="s">
        <v>37</v>
      </c>
      <c r="B108" s="94">
        <f>329.96865+162.72278</f>
        <v>492.69143000000003</v>
      </c>
      <c r="C108" s="86">
        <v>725.1</v>
      </c>
      <c r="D108" s="86">
        <f>232.91+512.236</f>
        <v>745.14599999999996</v>
      </c>
      <c r="E108" s="86">
        <f t="shared" si="16"/>
        <v>252.45456999999993</v>
      </c>
      <c r="F108" s="86">
        <f>Таблица22462791012131457[[#This Row],[Столбец8]]/Таблица22462791012131457[[#This Row],[Столбец4]]*100-100</f>
        <v>51.239894714628974</v>
      </c>
      <c r="G108" s="86">
        <f>Таблица22462791012131457[[#This Row],[Столбец4]]/$B$6*100</f>
        <v>0.53183157474322784</v>
      </c>
      <c r="H108" s="87">
        <f t="shared" si="20"/>
        <v>0.71659678412063388</v>
      </c>
    </row>
    <row r="109" spans="1:8" s="4" customFormat="1" ht="21">
      <c r="A109" s="95" t="s">
        <v>35</v>
      </c>
      <c r="B109" s="94">
        <v>26.415718999999999</v>
      </c>
      <c r="C109" s="86">
        <v>26.7</v>
      </c>
      <c r="D109" s="86">
        <v>28.443999999999999</v>
      </c>
      <c r="E109" s="86">
        <f t="shared" si="16"/>
        <v>2.0282809999999998</v>
      </c>
      <c r="F109" s="86">
        <f>Таблица22462791012131457[[#This Row],[Столбец8]]/Таблица22462791012131457[[#This Row],[Столбец4]]*100-100</f>
        <v>7.6783107815464007</v>
      </c>
      <c r="G109" s="86">
        <f>Таблица22462791012131457[[#This Row],[Столбец4]]/$B$6*100</f>
        <v>2.8514223260884819E-2</v>
      </c>
      <c r="H109" s="87">
        <f t="shared" si="20"/>
        <v>2.7354208339744574E-2</v>
      </c>
    </row>
    <row r="110" spans="1:8" s="4" customFormat="1" ht="21">
      <c r="A110" s="93" t="s">
        <v>48</v>
      </c>
      <c r="B110" s="81">
        <f>SUM(B111,B115)</f>
        <v>193.345247</v>
      </c>
      <c r="C110" s="81">
        <f>SUM(C111,C115)</f>
        <v>191.6</v>
      </c>
      <c r="D110" s="81">
        <f>SUM(D111,D115)</f>
        <v>187.255044</v>
      </c>
      <c r="E110" s="81">
        <f t="shared" si="16"/>
        <v>-6.0902030000000025</v>
      </c>
      <c r="F110" s="81">
        <f>Таблица22462791012131457[[#This Row],[Столбец8]]/Таблица22462791012131457[[#This Row],[Столбец4]]*100-100</f>
        <v>-3.1499108948874266</v>
      </c>
      <c r="G110" s="81">
        <f>Таблица22462791012131457[[#This Row],[Столбец4]]/$B$6*100</f>
        <v>0.20870488285361152</v>
      </c>
      <c r="H110" s="82">
        <f t="shared" si="20"/>
        <v>0.18008063163563623</v>
      </c>
    </row>
    <row r="111" spans="1:8" s="4" customFormat="1" ht="21">
      <c r="A111" s="95" t="s">
        <v>28</v>
      </c>
      <c r="B111" s="94">
        <f>B112+B113+B114</f>
        <v>190.33478400000001</v>
      </c>
      <c r="C111" s="94">
        <f>C112+C113+C114</f>
        <v>188.6</v>
      </c>
      <c r="D111" s="94">
        <f>D112+D113+D114</f>
        <v>184.255044</v>
      </c>
      <c r="E111" s="86">
        <f t="shared" si="16"/>
        <v>-6.0797400000000152</v>
      </c>
      <c r="F111" s="86">
        <f>Таблица22462791012131457[[#This Row],[Столбец8]]/Таблица22462791012131457[[#This Row],[Столбец4]]*100-100</f>
        <v>-3.1942348488440331</v>
      </c>
      <c r="G111" s="86">
        <f>Таблица22462791012131457[[#This Row],[Столбец4]]/$B$6*100</f>
        <v>0.20545526416632037</v>
      </c>
      <c r="H111" s="87">
        <f t="shared" si="20"/>
        <v>0.1771955723957532</v>
      </c>
    </row>
    <row r="112" spans="1:8" s="4" customFormat="1" ht="21">
      <c r="A112" s="90" t="s">
        <v>29</v>
      </c>
      <c r="B112" s="94">
        <v>36.859740000000002</v>
      </c>
      <c r="C112" s="86">
        <v>36.9</v>
      </c>
      <c r="D112" s="86">
        <v>30.78</v>
      </c>
      <c r="E112" s="86">
        <f t="shared" si="16"/>
        <v>-6.079740000000001</v>
      </c>
      <c r="F112" s="86">
        <f>Таблица22462791012131457[[#This Row],[Столбец8]]/Таблица22462791012131457[[#This Row],[Столбец4]]*100-100</f>
        <v>-16.494256334960582</v>
      </c>
      <c r="G112" s="86">
        <f>Таблица22462791012131457[[#This Row],[Столбец4]]/$B$6*100</f>
        <v>3.9787932923505381E-2</v>
      </c>
      <c r="H112" s="87">
        <f t="shared" si="20"/>
        <v>2.9600707801200186E-2</v>
      </c>
    </row>
    <row r="113" spans="1:8" s="4" customFormat="1" ht="21">
      <c r="A113" s="90" t="s">
        <v>30</v>
      </c>
      <c r="B113" s="94">
        <v>73.396000000000001</v>
      </c>
      <c r="C113" s="86">
        <v>71.599999999999994</v>
      </c>
      <c r="D113" s="94">
        <v>73.396000000000001</v>
      </c>
      <c r="E113" s="86">
        <f t="shared" si="16"/>
        <v>0</v>
      </c>
      <c r="F113" s="86">
        <f>Таблица22462791012131457[[#This Row],[Столбец8]]/Таблица22462791012131457[[#This Row],[Столбец4]]*100-100</f>
        <v>0</v>
      </c>
      <c r="G113" s="86">
        <f>Таблица22462791012131457[[#This Row],[Столбец4]]/$B$6*100</f>
        <v>7.9226688111571075E-2</v>
      </c>
      <c r="H113" s="87">
        <f t="shared" si="20"/>
        <v>7.0583935990152336E-2</v>
      </c>
    </row>
    <row r="114" spans="1:8" s="4" customFormat="1" ht="21">
      <c r="A114" s="90" t="s">
        <v>31</v>
      </c>
      <c r="B114" s="88">
        <v>80.079043999999996</v>
      </c>
      <c r="C114" s="91">
        <v>80.099999999999994</v>
      </c>
      <c r="D114" s="91">
        <v>80.079043999999996</v>
      </c>
      <c r="E114" s="91">
        <f t="shared" si="16"/>
        <v>0</v>
      </c>
      <c r="F114" s="91">
        <f>Таблица22462791012131457[[#This Row],[Столбец8]]/Таблица22462791012131457[[#This Row],[Столбец4]]*100-100</f>
        <v>0</v>
      </c>
      <c r="G114" s="91">
        <f>Таблица22462791012131457[[#This Row],[Столбец4]]/$B$6*100</f>
        <v>8.6440643131243888E-2</v>
      </c>
      <c r="H114" s="92">
        <f t="shared" si="20"/>
        <v>7.7010928604400675E-2</v>
      </c>
    </row>
    <row r="115" spans="1:8" s="4" customFormat="1" ht="21">
      <c r="A115" s="95" t="s">
        <v>35</v>
      </c>
      <c r="B115" s="94">
        <v>3.0104630000000001</v>
      </c>
      <c r="C115" s="86">
        <v>3</v>
      </c>
      <c r="D115" s="86">
        <v>3</v>
      </c>
      <c r="E115" s="86">
        <f t="shared" si="16"/>
        <v>-1.0463000000000111E-2</v>
      </c>
      <c r="F115" s="86">
        <f>Таблица22462791012131457[[#This Row],[Столбец8]]/Таблица22462791012131457[[#This Row],[Столбец4]]*100-100</f>
        <v>-0.34755451237900559</v>
      </c>
      <c r="G115" s="86">
        <f>Таблица22462791012131457[[#This Row],[Столбец4]]/$B$6*100</f>
        <v>3.2496186872911954E-3</v>
      </c>
      <c r="H115" s="87">
        <f t="shared" si="20"/>
        <v>2.8850592398830589E-3</v>
      </c>
    </row>
    <row r="116" spans="1:8" s="4" customFormat="1" ht="21">
      <c r="A116" s="93" t="s">
        <v>49</v>
      </c>
      <c r="B116" s="81">
        <f>SUM(B117,B121,B122)</f>
        <v>2259.5400370000002</v>
      </c>
      <c r="C116" s="81">
        <f>SUM(C117,C121,C122)</f>
        <v>2370.7190000000001</v>
      </c>
      <c r="D116" s="81">
        <f>SUM(D117,D121,D122)</f>
        <v>2497.462</v>
      </c>
      <c r="E116" s="81">
        <f t="shared" si="16"/>
        <v>237.92196299999978</v>
      </c>
      <c r="F116" s="81">
        <f>Таблица22462791012131457[[#This Row],[Столбец8]]/Таблица22462791012131457[[#This Row],[Столбец4]]*100-100</f>
        <v>10.529663520186602</v>
      </c>
      <c r="G116" s="81">
        <f>Таблица22462791012131457[[#This Row],[Столбец4]]/$B$6*100</f>
        <v>2.4390412800017276</v>
      </c>
      <c r="H116" s="82">
        <f t="shared" si="20"/>
        <v>2.4017752731189415</v>
      </c>
    </row>
    <row r="117" spans="1:8" s="4" customFormat="1" ht="21">
      <c r="A117" s="95" t="s">
        <v>28</v>
      </c>
      <c r="B117" s="94">
        <f>B118+B119+B120</f>
        <v>776.47313800000006</v>
      </c>
      <c r="C117" s="94">
        <f t="shared" ref="C117:D117" si="22">C118+C119+C120</f>
        <v>780.30000000000007</v>
      </c>
      <c r="D117" s="94">
        <f t="shared" si="22"/>
        <v>790.10000000000014</v>
      </c>
      <c r="E117" s="86">
        <f t="shared" si="16"/>
        <v>13.626862000000074</v>
      </c>
      <c r="F117" s="86">
        <f>Таблица22462791012131457[[#This Row],[Столбец8]]/Таблица22462791012131457[[#This Row],[Столбец4]]*100-100</f>
        <v>1.7549688885696071</v>
      </c>
      <c r="G117" s="86">
        <f>Таблица22462791012131457[[#This Row],[Столбец4]]/$B$6*100</f>
        <v>0.83815732643930041</v>
      </c>
      <c r="H117" s="87">
        <f t="shared" si="20"/>
        <v>0.75982843514386844</v>
      </c>
    </row>
    <row r="118" spans="1:8" s="4" customFormat="1" ht="21">
      <c r="A118" s="90" t="s">
        <v>29</v>
      </c>
      <c r="B118" s="94">
        <v>38.530684999999998</v>
      </c>
      <c r="C118" s="86">
        <v>38.200000000000003</v>
      </c>
      <c r="D118" s="86">
        <v>38.5</v>
      </c>
      <c r="E118" s="86">
        <f t="shared" si="16"/>
        <v>-3.0684999999998297E-2</v>
      </c>
      <c r="F118" s="86">
        <f>Таблица22462791012131457[[#This Row],[Столбец8]]/Таблица22462791012131457[[#This Row],[Столбец4]]*100-100</f>
        <v>-7.9637826319455485E-2</v>
      </c>
      <c r="G118" s="86">
        <f>Таблица22462791012131457[[#This Row],[Столбец4]]/$B$6*100</f>
        <v>4.1591620295659021E-2</v>
      </c>
      <c r="H118" s="87">
        <f t="shared" si="20"/>
        <v>3.7024926911832588E-2</v>
      </c>
    </row>
    <row r="119" spans="1:8" s="4" customFormat="1" ht="21">
      <c r="A119" s="90" t="s">
        <v>30</v>
      </c>
      <c r="B119" s="94">
        <v>342.5</v>
      </c>
      <c r="C119" s="86">
        <v>333</v>
      </c>
      <c r="D119" s="86">
        <v>342.5</v>
      </c>
      <c r="E119" s="86">
        <f t="shared" si="16"/>
        <v>0</v>
      </c>
      <c r="F119" s="86">
        <f>Таблица22462791012131457[[#This Row],[Столбец8]]/Таблица22462791012131457[[#This Row],[Столбец4]]*100-100</f>
        <v>0</v>
      </c>
      <c r="G119" s="86">
        <f>Таблица22462791012131457[[#This Row],[Столбец4]]/$B$6*100</f>
        <v>0.36970871271204281</v>
      </c>
      <c r="H119" s="87">
        <f t="shared" si="20"/>
        <v>0.32937759655331589</v>
      </c>
    </row>
    <row r="120" spans="1:8" s="4" customFormat="1" ht="21">
      <c r="A120" s="90" t="s">
        <v>31</v>
      </c>
      <c r="B120" s="88">
        <v>395.442453</v>
      </c>
      <c r="C120" s="91">
        <v>409.10000000000008</v>
      </c>
      <c r="D120" s="91">
        <v>409.10000000000008</v>
      </c>
      <c r="E120" s="91">
        <f>D120-B120</f>
        <v>13.657547000000079</v>
      </c>
      <c r="F120" s="91">
        <f>Таблица22462791012131457[[#This Row],[Столбец8]]/Таблица22462791012131457[[#This Row],[Столбец4]]*100-100</f>
        <v>3.4537381852625941</v>
      </c>
      <c r="G120" s="91">
        <f>Таблица22462791012131457[[#This Row],[Столбец4]]/$B$6*100</f>
        <v>0.42685699343159844</v>
      </c>
      <c r="H120" s="92">
        <f t="shared" si="20"/>
        <v>0.39342591167871988</v>
      </c>
    </row>
    <row r="121" spans="1:8" s="4" customFormat="1" ht="21">
      <c r="A121" s="95" t="s">
        <v>37</v>
      </c>
      <c r="B121" s="94">
        <v>1428.649306</v>
      </c>
      <c r="C121" s="86">
        <v>1535.4</v>
      </c>
      <c r="D121" s="86">
        <v>1646.481</v>
      </c>
      <c r="E121" s="86">
        <f t="shared" si="16"/>
        <v>217.83169399999997</v>
      </c>
      <c r="F121" s="86">
        <f>Таблица22462791012131457[[#This Row],[Столбец8]]/Таблица22462791012131457[[#This Row],[Столбец4]]*100-100</f>
        <v>15.247387380874827</v>
      </c>
      <c r="G121" s="86">
        <f>Таблица22462791012131457[[#This Row],[Столбец4]]/$B$6*100</f>
        <v>1.5421433455130316</v>
      </c>
      <c r="H121" s="87">
        <f t="shared" si="20"/>
        <v>1.5833984074472995</v>
      </c>
    </row>
    <row r="122" spans="1:8" s="4" customFormat="1" ht="21">
      <c r="A122" s="95" t="s">
        <v>35</v>
      </c>
      <c r="B122" s="94">
        <v>54.417592999999997</v>
      </c>
      <c r="C122" s="86">
        <v>55.018999999999998</v>
      </c>
      <c r="D122" s="86">
        <v>60.881</v>
      </c>
      <c r="E122" s="86">
        <f t="shared" si="16"/>
        <v>6.4634070000000037</v>
      </c>
      <c r="F122" s="86">
        <f>Таблица22462791012131457[[#This Row],[Столбец8]]/Таблица22462791012131457[[#This Row],[Столбец4]]*100-100</f>
        <v>11.877421700735653</v>
      </c>
      <c r="G122" s="86">
        <f>Таблица22462791012131457[[#This Row],[Столбец4]]/$B$6*100</f>
        <v>5.8740608049395238E-2</v>
      </c>
      <c r="H122" s="87">
        <f t="shared" si="20"/>
        <v>5.8548430527773497E-2</v>
      </c>
    </row>
    <row r="123" spans="1:8" s="4" customFormat="1" ht="42">
      <c r="A123" s="93" t="s">
        <v>50</v>
      </c>
      <c r="B123" s="81">
        <f>SUM(B124,B127)</f>
        <v>78.599184000000008</v>
      </c>
      <c r="C123" s="81">
        <f>SUM(C124,C127)</f>
        <v>92.599184000000008</v>
      </c>
      <c r="D123" s="81">
        <f>SUM(D124,D127)</f>
        <v>92.599184000000008</v>
      </c>
      <c r="E123" s="81">
        <f t="shared" si="16"/>
        <v>14</v>
      </c>
      <c r="F123" s="81">
        <f>Таблица22462791012131457[[#This Row],[Столбец8]]/Таблица22462791012131457[[#This Row],[Столбец4]]*100-100</f>
        <v>17.811889751934331</v>
      </c>
      <c r="G123" s="81">
        <f>Таблица22462791012131457[[#This Row],[Столбец4]]/$B$6*100</f>
        <v>8.4843220837538674E-2</v>
      </c>
      <c r="H123" s="82">
        <f t="shared" si="20"/>
        <v>8.9051377134943849E-2</v>
      </c>
    </row>
    <row r="124" spans="1:8" s="4" customFormat="1" ht="21">
      <c r="A124" s="95" t="s">
        <v>28</v>
      </c>
      <c r="B124" s="94">
        <f>B125+B126</f>
        <v>74.816034000000002</v>
      </c>
      <c r="C124" s="94">
        <f t="shared" ref="C124:D124" si="23">C125+C126</f>
        <v>88.816034000000002</v>
      </c>
      <c r="D124" s="94">
        <f t="shared" si="23"/>
        <v>88.816034000000002</v>
      </c>
      <c r="E124" s="86">
        <f t="shared" si="16"/>
        <v>14</v>
      </c>
      <c r="F124" s="86">
        <f>Таблица22462791012131457[[#This Row],[Столбец8]]/Таблица22462791012131457[[#This Row],[Столбец4]]*100-100</f>
        <v>18.712566346406433</v>
      </c>
      <c r="G124" s="86">
        <f>Таблица22462791012131457[[#This Row],[Столбец4]]/$B$6*100</f>
        <v>8.0759531738278628E-2</v>
      </c>
      <c r="H124" s="87">
        <f t="shared" si="20"/>
        <v>8.5413173180489313E-2</v>
      </c>
    </row>
    <row r="125" spans="1:8" s="4" customFormat="1" ht="21">
      <c r="A125" s="90" t="s">
        <v>29</v>
      </c>
      <c r="B125" s="94">
        <v>11.487135</v>
      </c>
      <c r="C125" s="94">
        <v>11.487135</v>
      </c>
      <c r="D125" s="94">
        <v>11.487135</v>
      </c>
      <c r="E125" s="86">
        <f t="shared" si="16"/>
        <v>0</v>
      </c>
      <c r="F125" s="86">
        <f>Таблица22462791012131457[[#This Row],[Столбец8]]/Таблица22462791012131457[[#This Row],[Столбец4]]*100-100</f>
        <v>0</v>
      </c>
      <c r="G125" s="86">
        <f>Таблица22462791012131457[[#This Row],[Столбец4]]/$B$6*100</f>
        <v>1.2399690200290371E-2</v>
      </c>
      <c r="H125" s="87">
        <f t="shared" ref="H125:H135" si="24">D125/$D$6*100</f>
        <v>1.1047021657178028E-2</v>
      </c>
    </row>
    <row r="126" spans="1:8" s="4" customFormat="1" ht="21">
      <c r="A126" s="90" t="s">
        <v>31</v>
      </c>
      <c r="B126" s="88">
        <v>63.328899</v>
      </c>
      <c r="C126" s="88">
        <f>63.328899+14</f>
        <v>77.328899000000007</v>
      </c>
      <c r="D126" s="88">
        <f>63.328899+14</f>
        <v>77.328899000000007</v>
      </c>
      <c r="E126" s="91">
        <f t="shared" si="16"/>
        <v>14.000000000000007</v>
      </c>
      <c r="F126" s="91">
        <f>Таблица22462791012131457[[#This Row],[Столбец8]]/Таблица22462791012131457[[#This Row],[Столбец4]]*100-100</f>
        <v>22.106810983718518</v>
      </c>
      <c r="G126" s="91">
        <f>Таблица22462791012131457[[#This Row],[Столбец4]]/$B$6*100</f>
        <v>6.8359841537988242E-2</v>
      </c>
      <c r="H126" s="92">
        <f t="shared" si="24"/>
        <v>7.4366151523311289E-2</v>
      </c>
    </row>
    <row r="127" spans="1:8" s="4" customFormat="1" ht="21">
      <c r="A127" s="95" t="s">
        <v>35</v>
      </c>
      <c r="B127" s="94">
        <v>3.78315</v>
      </c>
      <c r="C127" s="94">
        <v>3.78315</v>
      </c>
      <c r="D127" s="94">
        <v>3.78315</v>
      </c>
      <c r="E127" s="86">
        <f t="shared" si="16"/>
        <v>0</v>
      </c>
      <c r="F127" s="86">
        <f>Таблица22462791012131457[[#This Row],[Столбец8]]/Таблица22462791012131457[[#This Row],[Столбец4]]*100-100</f>
        <v>0</v>
      </c>
      <c r="G127" s="86">
        <f>Таблица22462791012131457[[#This Row],[Столбец4]]/$B$6*100</f>
        <v>4.0836890992600426E-3</v>
      </c>
      <c r="H127" s="87">
        <f t="shared" si="24"/>
        <v>3.6382039544545315E-3</v>
      </c>
    </row>
    <row r="128" spans="1:8" s="4" customFormat="1" ht="21">
      <c r="A128" s="93" t="s">
        <v>51</v>
      </c>
      <c r="B128" s="81">
        <f>SUM(B129,)</f>
        <v>3088</v>
      </c>
      <c r="C128" s="81">
        <f>SUM(C129)</f>
        <v>3775.7</v>
      </c>
      <c r="D128" s="81">
        <f>SUM(D129)</f>
        <v>3735.7</v>
      </c>
      <c r="E128" s="81">
        <f t="shared" si="16"/>
        <v>647.69999999999982</v>
      </c>
      <c r="F128" s="81">
        <f>Таблица22462791012131457[[#This Row],[Столбец8]]/Таблица22462791012131457[[#This Row],[Столбец4]]*100-100</f>
        <v>20.97474093264249</v>
      </c>
      <c r="G128" s="81">
        <f>Таблица22462791012131457[[#This Row],[Столбец4]]/$B$6*100</f>
        <v>3.333315342641717</v>
      </c>
      <c r="H128" s="82">
        <f t="shared" si="24"/>
        <v>3.5925719341437143</v>
      </c>
    </row>
    <row r="129" spans="1:8" s="4" customFormat="1" ht="21">
      <c r="A129" s="95" t="s">
        <v>28</v>
      </c>
      <c r="B129" s="94">
        <v>3088</v>
      </c>
      <c r="C129" s="86">
        <f>3644.6+30+102.1-22+21</f>
        <v>3775.7</v>
      </c>
      <c r="D129" s="86">
        <f>3644.6+30+102.1-22+21-40</f>
        <v>3735.7</v>
      </c>
      <c r="E129" s="86">
        <f t="shared" si="16"/>
        <v>647.69999999999982</v>
      </c>
      <c r="F129" s="86">
        <f>Таблица22462791012131457[[#This Row],[Столбец8]]/Таблица22462791012131457[[#This Row],[Столбец4]]*100-100</f>
        <v>20.97474093264249</v>
      </c>
      <c r="G129" s="86">
        <f>Таблица22462791012131457[[#This Row],[Столбец4]]/$B$6*100</f>
        <v>3.333315342641717</v>
      </c>
      <c r="H129" s="87">
        <f t="shared" si="24"/>
        <v>3.5925719341437143</v>
      </c>
    </row>
    <row r="130" spans="1:8" s="4" customFormat="1" ht="21">
      <c r="A130" s="85" t="s">
        <v>52</v>
      </c>
      <c r="B130" s="94">
        <v>5</v>
      </c>
      <c r="C130" s="86">
        <v>5</v>
      </c>
      <c r="D130" s="86">
        <v>5</v>
      </c>
      <c r="E130" s="86">
        <f t="shared" si="16"/>
        <v>0</v>
      </c>
      <c r="F130" s="86" t="s">
        <v>11</v>
      </c>
      <c r="G130" s="86">
        <f>Таблица22462791012131457[[#This Row],[Столбец4]]/$B$6*100</f>
        <v>5.3972074848473396E-3</v>
      </c>
      <c r="H130" s="87">
        <f t="shared" si="24"/>
        <v>4.8084320664717652E-3</v>
      </c>
    </row>
    <row r="131" spans="1:8" s="4" customFormat="1" ht="21">
      <c r="A131" s="96" t="s">
        <v>53</v>
      </c>
      <c r="B131" s="88">
        <v>1045</v>
      </c>
      <c r="C131" s="91">
        <f>1086.958+200</f>
        <v>1286.9580000000001</v>
      </c>
      <c r="D131" s="91">
        <f>1086.958+200</f>
        <v>1286.9580000000001</v>
      </c>
      <c r="E131" s="91">
        <f t="shared" si="16"/>
        <v>241.95800000000008</v>
      </c>
      <c r="F131" s="91">
        <f>Таблица22462791012131457[[#This Row],[Столбец8]]/Таблица22462791012131457[[#This Row],[Столбец4]]*100-100</f>
        <v>23.153875598086131</v>
      </c>
      <c r="G131" s="91">
        <f>Таблица22462791012131457[[#This Row],[Столбец4]]/$B$6*100</f>
        <v>1.128016364333094</v>
      </c>
      <c r="H131" s="92">
        <f t="shared" si="24"/>
        <v>1.2376500230804741</v>
      </c>
    </row>
    <row r="132" spans="1:8" s="4" customFormat="1" ht="21">
      <c r="A132" s="96" t="s">
        <v>54</v>
      </c>
      <c r="B132" s="91">
        <v>153.79</v>
      </c>
      <c r="C132" s="91">
        <v>168</v>
      </c>
      <c r="D132" s="91">
        <v>168</v>
      </c>
      <c r="E132" s="91">
        <f t="shared" si="16"/>
        <v>14.210000000000008</v>
      </c>
      <c r="F132" s="91">
        <f>Таблица22462791012131457[[#This Row],[Столбец8]]/Таблица22462791012131457[[#This Row],[Столбец4]]*100-100</f>
        <v>9.2398725534820159</v>
      </c>
      <c r="G132" s="91">
        <f>Таблица22462791012131457[[#This Row],[Столбец4]]/$B$6*100</f>
        <v>0.16600730781893447</v>
      </c>
      <c r="H132" s="92">
        <f t="shared" si="24"/>
        <v>0.16156331743345129</v>
      </c>
    </row>
    <row r="133" spans="1:8" s="4" customFormat="1" ht="21">
      <c r="A133" s="96" t="s">
        <v>55</v>
      </c>
      <c r="B133" s="91">
        <f>B134+B135</f>
        <v>901.13</v>
      </c>
      <c r="C133" s="91">
        <f t="shared" ref="C133" si="25">C134+C135</f>
        <v>1168.961</v>
      </c>
      <c r="D133" s="91">
        <f>D134+D135</f>
        <v>1169.761</v>
      </c>
      <c r="E133" s="91">
        <f t="shared" si="16"/>
        <v>268.63099999999997</v>
      </c>
      <c r="F133" s="91">
        <f>Таблица22462791012131457[[#This Row],[Столбец8]]/Таблица22462791012131457[[#This Row],[Столбец4]]*100-100</f>
        <v>29.810460199971146</v>
      </c>
      <c r="G133" s="91">
        <f>Таблица22462791012131457[[#This Row],[Столбец4]]/$B$6*100</f>
        <v>0.97271711616409673</v>
      </c>
      <c r="H133" s="92">
        <f t="shared" si="24"/>
        <v>1.1249432605016156</v>
      </c>
    </row>
    <row r="134" spans="1:8" s="4" customFormat="1" ht="21">
      <c r="A134" s="96" t="s">
        <v>56</v>
      </c>
      <c r="B134" s="91">
        <v>40.03</v>
      </c>
      <c r="C134" s="91">
        <v>109</v>
      </c>
      <c r="D134" s="91">
        <v>109.8</v>
      </c>
      <c r="E134" s="91">
        <f t="shared" si="16"/>
        <v>69.77</v>
      </c>
      <c r="F134" s="91">
        <f>Таблица22462791012131457[[#This Row],[Столбец8]]/Таблица22462791012131457[[#This Row],[Столбец4]]*100-100</f>
        <v>174.29427929053207</v>
      </c>
      <c r="G134" s="91">
        <f>Таблица22462791012131457[[#This Row],[Столбец4]]/$B$6*100</f>
        <v>4.3210043123687807E-2</v>
      </c>
      <c r="H134" s="92">
        <f t="shared" si="24"/>
        <v>0.10559316817971996</v>
      </c>
    </row>
    <row r="135" spans="1:8" s="4" customFormat="1" ht="21">
      <c r="A135" s="96" t="s">
        <v>57</v>
      </c>
      <c r="B135" s="91">
        <v>861.1</v>
      </c>
      <c r="C135" s="91">
        <v>1059.961</v>
      </c>
      <c r="D135" s="91">
        <v>1059.961</v>
      </c>
      <c r="E135" s="91">
        <f t="shared" si="16"/>
        <v>198.86099999999999</v>
      </c>
      <c r="F135" s="91">
        <f>Таблица22462791012131457[[#This Row],[Столбец8]]/Таблица22462791012131457[[#This Row],[Столбец4]]*100-100</f>
        <v>23.093833468818943</v>
      </c>
      <c r="G135" s="91">
        <f>Таблица22462791012131457[[#This Row],[Столбец4]]/$B$6*100</f>
        <v>0.92950707304040892</v>
      </c>
      <c r="H135" s="92">
        <f t="shared" si="24"/>
        <v>1.0193500923218957</v>
      </c>
    </row>
    <row r="136" spans="1:8" s="6" customFormat="1" ht="21">
      <c r="A136" s="97" t="s">
        <v>58</v>
      </c>
      <c r="B136" s="98">
        <f>B12-B24</f>
        <v>-463.16144299999723</v>
      </c>
      <c r="C136" s="98">
        <f>C12-C24</f>
        <v>-372.30766899999799</v>
      </c>
      <c r="D136" s="98">
        <f>D12-D24</f>
        <v>-519.02693100000033</v>
      </c>
      <c r="E136" s="98">
        <f t="shared" si="16"/>
        <v>-55.865488000003097</v>
      </c>
      <c r="F136" s="98">
        <f>Таблица22462791012131457[[#This Row],[Столбец8]]/Таблица22462791012131457[[#This Row],[Столбец4]]*100-100</f>
        <v>12.06177432174627</v>
      </c>
      <c r="G136" s="98">
        <f>Таблица22462791012131457[[#This Row],[Столбец4]]/$B$6*100</f>
        <v>-0.49995568137045593</v>
      </c>
      <c r="H136" s="99">
        <f>D136/$D$6*100</f>
        <v>-0.49914114767656592</v>
      </c>
    </row>
    <row r="137" spans="1:8" ht="22.5" hidden="1">
      <c r="A137" s="64"/>
      <c r="B137" s="156"/>
      <c r="C137" s="60"/>
      <c r="D137" s="60">
        <f>D6*0.5%</f>
        <v>519.91999999999996</v>
      </c>
      <c r="E137" s="65"/>
      <c r="F137" s="66"/>
      <c r="G137" s="67"/>
      <c r="H137" s="68"/>
    </row>
    <row r="138" spans="1:8" ht="42" hidden="1">
      <c r="A138" s="36" t="s">
        <v>59</v>
      </c>
      <c r="B138" s="44">
        <f>B136-B140-B142</f>
        <v>-1104.1614429999972</v>
      </c>
      <c r="C138" s="44">
        <f t="shared" ref="C138:D138" si="26">C136-C140-C142</f>
        <v>-1576.7076689999981</v>
      </c>
      <c r="D138" s="44">
        <f t="shared" si="26"/>
        <v>-1723.4269310000004</v>
      </c>
      <c r="E138" s="44">
        <f>D138-B138</f>
        <v>-619.26548800000319</v>
      </c>
      <c r="F138" s="37"/>
      <c r="G138" s="37"/>
      <c r="H138" s="37"/>
    </row>
    <row r="139" spans="1:8" ht="13.5" hidden="1" customHeight="1">
      <c r="B139" s="45"/>
      <c r="C139" s="46"/>
      <c r="D139" s="47"/>
      <c r="E139" s="48"/>
    </row>
    <row r="140" spans="1:8" ht="18.95" hidden="1" customHeight="1">
      <c r="A140" s="38" t="s">
        <v>60</v>
      </c>
      <c r="B140" s="49">
        <v>442</v>
      </c>
      <c r="C140" s="50">
        <v>884</v>
      </c>
      <c r="D140" s="50">
        <v>884</v>
      </c>
      <c r="E140" s="44">
        <f>D140-B140</f>
        <v>442</v>
      </c>
      <c r="F140" s="37"/>
      <c r="G140" s="37"/>
      <c r="H140" s="37"/>
    </row>
    <row r="141" spans="1:8" ht="13.5" hidden="1" customHeight="1">
      <c r="A141" s="39"/>
      <c r="B141" s="51"/>
      <c r="C141" s="52"/>
      <c r="D141" s="51"/>
      <c r="E141" s="53"/>
    </row>
    <row r="142" spans="1:8" ht="22.5" hidden="1">
      <c r="A142" s="38" t="s">
        <v>61</v>
      </c>
      <c r="B142" s="49">
        <v>199</v>
      </c>
      <c r="C142" s="49">
        <v>320.39999999999998</v>
      </c>
      <c r="D142" s="49">
        <v>320.39999999999998</v>
      </c>
      <c r="E142" s="44">
        <f>D142-B142</f>
        <v>121.39999999999998</v>
      </c>
      <c r="F142" s="37"/>
      <c r="G142" s="37"/>
      <c r="H142" s="37"/>
    </row>
    <row r="143" spans="1:8" ht="22.5" hidden="1">
      <c r="A143" s="40"/>
      <c r="B143" s="54"/>
      <c r="C143" s="55"/>
      <c r="D143" s="55"/>
      <c r="E143" s="55"/>
    </row>
    <row r="144" spans="1:8" ht="22.5" hidden="1">
      <c r="A144" s="41"/>
      <c r="B144" s="56">
        <f>B12-B22</f>
        <v>25305.604319999999</v>
      </c>
      <c r="C144" s="56">
        <f t="shared" ref="C144:E144" si="27">C12-C22</f>
        <v>27257.162150000004</v>
      </c>
      <c r="D144" s="56">
        <f t="shared" si="27"/>
        <v>27600.873149999999</v>
      </c>
      <c r="E144" s="56">
        <f t="shared" si="27"/>
        <v>2295.2688299999982</v>
      </c>
    </row>
    <row r="145" spans="1:8" ht="22.5" hidden="1">
      <c r="B145" s="57">
        <f>B24-B131</f>
        <v>27063.956545999998</v>
      </c>
      <c r="C145" s="57">
        <f t="shared" ref="C145:E145" si="28">C24-C131-C132</f>
        <v>29175.167819000002</v>
      </c>
      <c r="D145" s="57">
        <f t="shared" si="28"/>
        <v>29665.598081</v>
      </c>
      <c r="E145" s="57">
        <f t="shared" si="28"/>
        <v>2755.4315350000011</v>
      </c>
    </row>
    <row r="146" spans="1:8" ht="42" hidden="1">
      <c r="A146" s="36" t="s">
        <v>62</v>
      </c>
      <c r="B146" s="58">
        <f>B144-B145</f>
        <v>-1758.3522259999991</v>
      </c>
      <c r="C146" s="58">
        <f t="shared" ref="C146" si="29">C144-C145</f>
        <v>-1918.0056689999983</v>
      </c>
      <c r="D146" s="58">
        <f>D144-D145</f>
        <v>-2064.7249310000007</v>
      </c>
      <c r="E146" s="58">
        <f>D146-B146</f>
        <v>-306.37270500000159</v>
      </c>
      <c r="F146" s="37"/>
      <c r="G146" s="37"/>
      <c r="H146" s="37"/>
    </row>
    <row r="147" spans="1:8" ht="22.5" hidden="1">
      <c r="A147" s="42" t="s">
        <v>63</v>
      </c>
      <c r="B147" s="59">
        <f>B146*100/B6</f>
        <v>-1.8980383590330354</v>
      </c>
      <c r="C147" s="59">
        <f t="shared" ref="C147:D147" si="30">C146*100/C6</f>
        <v>-1.8448748307106291</v>
      </c>
      <c r="D147" s="59">
        <f t="shared" si="30"/>
        <v>-1.9856179133328211</v>
      </c>
      <c r="E147" s="59"/>
    </row>
    <row r="148" spans="1:8" ht="22.5" hidden="1">
      <c r="B148" s="45"/>
      <c r="C148" s="46"/>
      <c r="D148" s="60"/>
      <c r="E148" s="48"/>
    </row>
    <row r="149" spans="1:8" ht="22.5" hidden="1">
      <c r="A149" s="43" t="s">
        <v>64</v>
      </c>
      <c r="B149" s="153" t="s">
        <v>65</v>
      </c>
      <c r="C149" s="153"/>
      <c r="D149" s="153"/>
      <c r="E149" s="153"/>
    </row>
    <row r="150" spans="1:8" ht="22.5" hidden="1">
      <c r="B150" s="45"/>
      <c r="C150" s="46"/>
      <c r="D150" s="62">
        <f>D136+Таблица22462791012131457[[#Totals],[Столбец8]]</f>
        <v>0.89306899999962752</v>
      </c>
      <c r="E150" s="61"/>
    </row>
    <row r="151" spans="1:8" hidden="1"/>
  </sheetData>
  <mergeCells count="3">
    <mergeCell ref="F1:G1"/>
    <mergeCell ref="A3:H3"/>
    <mergeCell ref="B149:E149"/>
  </mergeCells>
  <pageMargins left="0.39" right="0.27559055118110237" top="0.39" bottom="0.67" header="0.31496062992125984" footer="0.31496062992125984"/>
  <pageSetup paperSize="9" scale="8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A1:S116"/>
  <sheetViews>
    <sheetView showGridLines="0" tabSelected="1" topLeftCell="A3" zoomScaleNormal="100" zoomScaleSheetLayoutView="70" workbookViewId="0">
      <selection activeCell="C8" sqref="C8"/>
    </sheetView>
  </sheetViews>
  <sheetFormatPr defaultColWidth="9.140625" defaultRowHeight="18"/>
  <cols>
    <col min="1" max="1" width="59" style="2" customWidth="1"/>
    <col min="2" max="2" width="16.85546875" style="9" customWidth="1"/>
    <col min="3" max="3" width="21.28515625" style="9" customWidth="1"/>
    <col min="4" max="4" width="16.85546875" style="2" customWidth="1"/>
    <col min="5" max="5" width="13.85546875" style="2" customWidth="1"/>
    <col min="6" max="7" width="10.5703125" style="2" customWidth="1"/>
    <col min="8" max="8" width="10" style="2" hidden="1" customWidth="1"/>
    <col min="9" max="9" width="13.7109375" style="2" hidden="1" customWidth="1"/>
    <col min="10" max="10" width="12.140625" style="2" hidden="1" customWidth="1"/>
    <col min="11" max="15" width="9.140625" style="2" hidden="1" customWidth="1"/>
    <col min="16" max="16" width="0" style="2" hidden="1" customWidth="1"/>
    <col min="17" max="17" width="13.140625" style="2" hidden="1" customWidth="1"/>
    <col min="18" max="18" width="0" style="2" hidden="1" customWidth="1"/>
    <col min="19" max="19" width="13.140625" style="2" hidden="1" customWidth="1"/>
    <col min="20" max="16384" width="9.140625" style="2"/>
  </cols>
  <sheetData>
    <row r="1" spans="1:7" ht="42.75" hidden="1" customHeight="1">
      <c r="C1" s="151"/>
      <c r="D1" s="151"/>
    </row>
    <row r="2" spans="1:7" ht="15.6" hidden="1" customHeight="1">
      <c r="C2" s="129"/>
      <c r="D2" s="8"/>
    </row>
    <row r="3" spans="1:7" ht="72.75" customHeight="1">
      <c r="A3" s="152" t="s">
        <v>66</v>
      </c>
      <c r="B3" s="152"/>
      <c r="C3" s="152"/>
      <c r="D3" s="152"/>
      <c r="E3" s="152"/>
      <c r="F3" s="152"/>
      <c r="G3" s="152"/>
    </row>
    <row r="4" spans="1:7" ht="19.5" customHeight="1">
      <c r="A4" s="150"/>
      <c r="B4" s="150"/>
      <c r="C4" s="150"/>
      <c r="D4" s="150"/>
      <c r="E4" s="150"/>
      <c r="F4" s="154" t="s">
        <v>67</v>
      </c>
      <c r="G4" s="154"/>
    </row>
    <row r="5" spans="1:7" s="1" customFormat="1" ht="36" hidden="1" customHeight="1">
      <c r="A5" s="63"/>
      <c r="B5" s="63"/>
      <c r="C5" s="63"/>
      <c r="D5" s="130"/>
      <c r="E5" s="130"/>
      <c r="F5" s="149"/>
      <c r="G5" s="149" t="s">
        <v>68</v>
      </c>
    </row>
    <row r="6" spans="1:7" ht="51.75">
      <c r="A6" s="112" t="s">
        <v>2</v>
      </c>
      <c r="B6" s="113" t="s">
        <v>69</v>
      </c>
      <c r="C6" s="113" t="s">
        <v>70</v>
      </c>
      <c r="D6" s="113" t="s">
        <v>71</v>
      </c>
      <c r="E6" s="113" t="s">
        <v>7</v>
      </c>
      <c r="F6" s="113" t="s">
        <v>72</v>
      </c>
      <c r="G6" s="114" t="s">
        <v>73</v>
      </c>
    </row>
    <row r="7" spans="1:7" s="3" customFormat="1" ht="32.25" customHeight="1">
      <c r="A7" s="131" t="s">
        <v>10</v>
      </c>
      <c r="B7" s="132">
        <v>103984</v>
      </c>
      <c r="C7" s="125">
        <v>127253</v>
      </c>
      <c r="D7" s="132">
        <v>23269</v>
      </c>
      <c r="E7" s="133" t="s">
        <v>11</v>
      </c>
      <c r="F7" s="134" t="s">
        <v>11</v>
      </c>
      <c r="G7" s="135" t="s">
        <v>11</v>
      </c>
    </row>
    <row r="8" spans="1:7" s="4" customFormat="1" ht="30" customHeight="1">
      <c r="A8" s="131" t="s">
        <v>17</v>
      </c>
      <c r="B8" s="125">
        <v>33002.830999999998</v>
      </c>
      <c r="C8" s="125">
        <v>37072.943471999999</v>
      </c>
      <c r="D8" s="125">
        <v>4070.1124720000007</v>
      </c>
      <c r="E8" s="125">
        <v>12.33261616859474</v>
      </c>
      <c r="F8" s="125">
        <v>31.738374172949683</v>
      </c>
      <c r="G8" s="125">
        <v>29.133256954256481</v>
      </c>
    </row>
    <row r="9" spans="1:7" s="4" customFormat="1" ht="40.5" customHeight="1">
      <c r="A9" s="131" t="s">
        <v>18</v>
      </c>
      <c r="B9" s="136">
        <v>21927</v>
      </c>
      <c r="C9" s="136">
        <v>24768.999</v>
      </c>
      <c r="D9" s="136">
        <v>2841.9989999999998</v>
      </c>
      <c r="E9" s="136">
        <v>12.961184840607473</v>
      </c>
      <c r="F9" s="136">
        <v>21.086897984305278</v>
      </c>
      <c r="G9" s="136">
        <v>19.464373335009782</v>
      </c>
    </row>
    <row r="10" spans="1:7" s="4" customFormat="1" ht="21">
      <c r="A10" s="137" t="s">
        <v>19</v>
      </c>
      <c r="B10" s="124">
        <v>20463.5</v>
      </c>
      <c r="C10" s="124">
        <v>23082.334999999999</v>
      </c>
      <c r="D10" s="124">
        <v>2618.8349999999991</v>
      </c>
      <c r="E10" s="124">
        <v>12.797590832457786</v>
      </c>
      <c r="F10" s="124">
        <v>19.679469918448991</v>
      </c>
      <c r="G10" s="124">
        <v>18.138931891586051</v>
      </c>
    </row>
    <row r="11" spans="1:7" s="4" customFormat="1" ht="21">
      <c r="A11" s="137" t="s">
        <v>20</v>
      </c>
      <c r="B11" s="124">
        <v>1463.5</v>
      </c>
      <c r="C11" s="124">
        <v>1686.664</v>
      </c>
      <c r="D11" s="124">
        <v>223.16399999999999</v>
      </c>
      <c r="E11" s="124">
        <v>15.248650495387764</v>
      </c>
      <c r="F11" s="124">
        <v>1.4074280658562854</v>
      </c>
      <c r="G11" s="124">
        <v>1.3254414434237307</v>
      </c>
    </row>
    <row r="12" spans="1:7" s="4" customFormat="1" ht="42">
      <c r="A12" s="131" t="s">
        <v>21</v>
      </c>
      <c r="B12" s="136">
        <v>22592</v>
      </c>
      <c r="C12" s="136">
        <v>25355.999</v>
      </c>
      <c r="D12" s="136">
        <v>2763.9989999999998</v>
      </c>
      <c r="E12" s="136">
        <v>12.234414837110478</v>
      </c>
      <c r="F12" s="136">
        <v>21.726419449146022</v>
      </c>
      <c r="G12" s="136">
        <v>19.925659120020747</v>
      </c>
    </row>
    <row r="13" spans="1:7" s="4" customFormat="1" ht="21">
      <c r="A13" s="137" t="s">
        <v>74</v>
      </c>
      <c r="B13" s="124">
        <v>20463.5</v>
      </c>
      <c r="C13" s="124">
        <v>23082.334999999999</v>
      </c>
      <c r="D13" s="124">
        <v>2618.8349999999991</v>
      </c>
      <c r="E13" s="124">
        <v>12.797590832457786</v>
      </c>
      <c r="F13" s="124">
        <v>19.679469918448991</v>
      </c>
      <c r="G13" s="124">
        <v>18.138931891586051</v>
      </c>
    </row>
    <row r="14" spans="1:7" s="4" customFormat="1" ht="21">
      <c r="A14" s="137" t="s">
        <v>20</v>
      </c>
      <c r="B14" s="124">
        <v>1463.5</v>
      </c>
      <c r="C14" s="124">
        <v>1686.664</v>
      </c>
      <c r="D14" s="124">
        <v>223.16399999999999</v>
      </c>
      <c r="E14" s="124">
        <v>15.248650495387764</v>
      </c>
      <c r="F14" s="124">
        <v>1.4074280658562854</v>
      </c>
      <c r="G14" s="124">
        <v>1.3254414434237307</v>
      </c>
    </row>
    <row r="15" spans="1:7" s="4" customFormat="1" ht="21">
      <c r="A15" s="137" t="s">
        <v>22</v>
      </c>
      <c r="B15" s="124">
        <v>665</v>
      </c>
      <c r="C15" s="124">
        <v>587</v>
      </c>
      <c r="D15" s="124">
        <v>-78</v>
      </c>
      <c r="E15" s="124">
        <v>-11.729323308270679</v>
      </c>
      <c r="F15" s="124">
        <v>0.63952146484074468</v>
      </c>
      <c r="G15" s="124">
        <v>0.4612857850109624</v>
      </c>
    </row>
    <row r="16" spans="1:7" s="4" customFormat="1" ht="42">
      <c r="A16" s="131" t="s">
        <v>23</v>
      </c>
      <c r="B16" s="136">
        <v>7938.6310000000003</v>
      </c>
      <c r="C16" s="136">
        <v>9292.144472</v>
      </c>
      <c r="D16" s="136">
        <v>1353.5134719999996</v>
      </c>
      <c r="E16" s="136">
        <v>17.04970884778497</v>
      </c>
      <c r="F16" s="136">
        <v>7.6344735728573632</v>
      </c>
      <c r="G16" s="136">
        <v>7.3021024824562089</v>
      </c>
    </row>
    <row r="17" spans="1:19" s="5" customFormat="1" ht="21">
      <c r="A17" s="137" t="s">
        <v>24</v>
      </c>
      <c r="B17" s="124">
        <v>4696.8310000000001</v>
      </c>
      <c r="C17" s="124">
        <v>6043.1254099999996</v>
      </c>
      <c r="D17" s="124">
        <v>1346.2944099999995</v>
      </c>
      <c r="E17" s="124">
        <v>28.663888694313243</v>
      </c>
      <c r="F17" s="124">
        <v>4.5168785582397293</v>
      </c>
      <c r="G17" s="124">
        <v>4.7489060454370424</v>
      </c>
    </row>
    <row r="18" spans="1:19" s="4" customFormat="1" ht="21">
      <c r="A18" s="137" t="s">
        <v>25</v>
      </c>
      <c r="B18" s="124">
        <v>3241.8</v>
      </c>
      <c r="C18" s="124">
        <v>3249.0190619999998</v>
      </c>
      <c r="D18" s="124">
        <v>7.219061999999667</v>
      </c>
      <c r="E18" s="124">
        <v>0.22268684064407296</v>
      </c>
      <c r="F18" s="124">
        <v>3.1175950146176334</v>
      </c>
      <c r="G18" s="124">
        <v>2.5531964370191664</v>
      </c>
    </row>
    <row r="19" spans="1:19" s="4" customFormat="1" ht="42">
      <c r="A19" s="131" t="s">
        <v>26</v>
      </c>
      <c r="B19" s="125">
        <v>2472.1999999999998</v>
      </c>
      <c r="C19" s="125">
        <v>2424.8000000000002</v>
      </c>
      <c r="D19" s="125">
        <v>-47.399999999999636</v>
      </c>
      <c r="E19" s="125">
        <v>-1.9173206051290208</v>
      </c>
      <c r="F19" s="125">
        <v>2.3774811509462994</v>
      </c>
      <c r="G19" s="125">
        <v>1.9054953517795261</v>
      </c>
    </row>
    <row r="20" spans="1:19" s="5" customFormat="1" ht="48.75" customHeight="1">
      <c r="A20" s="131" t="s">
        <v>27</v>
      </c>
      <c r="B20" s="125">
        <v>33626.756000000001</v>
      </c>
      <c r="C20" s="125">
        <v>38103.704980000002</v>
      </c>
      <c r="D20" s="125">
        <v>4476.948980000001</v>
      </c>
      <c r="E20" s="125">
        <v>13.313651129475588</v>
      </c>
      <c r="F20" s="125">
        <v>32.338394368364362</v>
      </c>
      <c r="G20" s="125">
        <v>29.943266547743473</v>
      </c>
    </row>
    <row r="21" spans="1:19" s="123" customFormat="1" ht="21">
      <c r="A21" s="139" t="s">
        <v>28</v>
      </c>
      <c r="B21" s="125">
        <v>23363.475000000002</v>
      </c>
      <c r="C21" s="125">
        <v>26549.418755999995</v>
      </c>
      <c r="D21" s="125">
        <v>3185.9437559999933</v>
      </c>
      <c r="E21" s="125">
        <v>13.636429323976813</v>
      </c>
      <c r="F21" s="125">
        <v>22.468336474842285</v>
      </c>
      <c r="G21" s="125">
        <v>20.863491435172449</v>
      </c>
    </row>
    <row r="22" spans="1:19" s="4" customFormat="1" ht="21">
      <c r="A22" s="138" t="s">
        <v>29</v>
      </c>
      <c r="B22" s="124">
        <v>6457.9149999999991</v>
      </c>
      <c r="C22" s="124">
        <v>7963.4586660000004</v>
      </c>
      <c r="D22" s="124">
        <v>1505.5436660000014</v>
      </c>
      <c r="E22" s="124">
        <v>23.313153951391456</v>
      </c>
      <c r="F22" s="124">
        <v>6.2104891137098006</v>
      </c>
      <c r="G22" s="124">
        <v>6.2579732234210592</v>
      </c>
    </row>
    <row r="23" spans="1:19" s="123" customFormat="1" ht="21">
      <c r="A23" s="138" t="s">
        <v>30</v>
      </c>
      <c r="B23" s="124">
        <v>4246.8829999999998</v>
      </c>
      <c r="C23" s="124">
        <v>4311.3766059999998</v>
      </c>
      <c r="D23" s="124">
        <v>64.493606</v>
      </c>
      <c r="E23" s="124">
        <v>1.5186103784822933</v>
      </c>
      <c r="F23" s="124">
        <v>4.0841696799507616</v>
      </c>
      <c r="G23" s="124">
        <v>3.388035335905637</v>
      </c>
      <c r="I23" s="128"/>
    </row>
    <row r="24" spans="1:19" s="123" customFormat="1" ht="21">
      <c r="A24" s="140" t="s">
        <v>32</v>
      </c>
      <c r="B24" s="125">
        <v>7938.6260000000002</v>
      </c>
      <c r="C24" s="125">
        <v>9292.144472</v>
      </c>
      <c r="D24" s="136">
        <v>1353.5184719999997</v>
      </c>
      <c r="E24" s="125">
        <v>17.049782569427009</v>
      </c>
      <c r="F24" s="125">
        <v>7.6344687644252964</v>
      </c>
      <c r="G24" s="125">
        <v>7.3021024824562089</v>
      </c>
      <c r="J24" s="141"/>
    </row>
    <row r="25" spans="1:19" s="123" customFormat="1" ht="21">
      <c r="A25" s="138" t="s">
        <v>33</v>
      </c>
      <c r="B25" s="124">
        <v>4696.8310000000001</v>
      </c>
      <c r="C25" s="124">
        <v>6043.1</v>
      </c>
      <c r="D25" s="124">
        <v>1346.2690000000002</v>
      </c>
      <c r="E25" s="124">
        <v>28.663347691241171</v>
      </c>
      <c r="F25" s="124">
        <v>4.5168785582397293</v>
      </c>
      <c r="G25" s="124">
        <v>4.7488860773419885</v>
      </c>
      <c r="I25" s="123">
        <f>3326.2+5781.8</f>
        <v>9108</v>
      </c>
    </row>
    <row r="26" spans="1:19" s="123" customFormat="1" ht="21">
      <c r="A26" s="138" t="s">
        <v>34</v>
      </c>
      <c r="B26" s="124">
        <v>3241.8</v>
      </c>
      <c r="C26" s="124">
        <v>3249</v>
      </c>
      <c r="D26" s="124">
        <v>7.1999999999998181</v>
      </c>
      <c r="E26" s="124">
        <v>0.2220988339811214</v>
      </c>
      <c r="F26" s="124">
        <v>3.1175950146176334</v>
      </c>
      <c r="G26" s="124">
        <v>2.553181457411613</v>
      </c>
    </row>
    <row r="27" spans="1:19" s="4" customFormat="1" ht="42">
      <c r="A27" s="139" t="s">
        <v>35</v>
      </c>
      <c r="B27" s="125">
        <v>2324.6550000000002</v>
      </c>
      <c r="C27" s="125">
        <v>2262.1417520000005</v>
      </c>
      <c r="D27" s="125">
        <v>-62.513247999999749</v>
      </c>
      <c r="E27" s="125">
        <v>-2.6891408832708379</v>
      </c>
      <c r="F27" s="125">
        <v>2.2355891290967844</v>
      </c>
      <c r="G27" s="125">
        <v>1.7776726301148109</v>
      </c>
    </row>
    <row r="28" spans="1:19" s="4" customFormat="1" ht="42">
      <c r="A28" s="140" t="s">
        <v>36</v>
      </c>
      <c r="B28" s="124">
        <v>1421.864</v>
      </c>
      <c r="C28" s="125">
        <v>1661.6052600000003</v>
      </c>
      <c r="D28" s="125">
        <v>239.74126000000024</v>
      </c>
      <c r="E28" s="125">
        <v>16.861054221782112</v>
      </c>
      <c r="F28" s="125">
        <v>1.3673872903523618</v>
      </c>
      <c r="G28" s="125">
        <v>1.305749381154079</v>
      </c>
      <c r="S28" s="148"/>
    </row>
    <row r="29" spans="1:19" s="4" customFormat="1" ht="21">
      <c r="A29" s="142" t="s">
        <v>28</v>
      </c>
      <c r="B29" s="125">
        <v>1031.433</v>
      </c>
      <c r="C29" s="125">
        <v>1172.1676550000002</v>
      </c>
      <c r="D29" s="125">
        <v>140.7346550000002</v>
      </c>
      <c r="E29" s="125">
        <v>13.644575556531564</v>
      </c>
      <c r="F29" s="125">
        <v>0.99191510232343438</v>
      </c>
      <c r="G29" s="125">
        <v>0.92113164719102913</v>
      </c>
    </row>
    <row r="30" spans="1:19" s="4" customFormat="1" ht="24" customHeight="1">
      <c r="A30" s="138" t="s">
        <v>29</v>
      </c>
      <c r="B30" s="121">
        <v>488.18099999999998</v>
      </c>
      <c r="C30" s="121">
        <v>564.87689399999999</v>
      </c>
      <c r="D30" s="121">
        <v>76.69589400000001</v>
      </c>
      <c r="E30" s="121">
        <v>15.710544654544123</v>
      </c>
      <c r="F30" s="121">
        <v>0.4694770349284505</v>
      </c>
      <c r="G30" s="121">
        <v>0.44390064988644667</v>
      </c>
    </row>
    <row r="31" spans="1:19" s="4" customFormat="1" ht="21">
      <c r="A31" s="138" t="s">
        <v>30</v>
      </c>
      <c r="B31" s="121">
        <v>91.745999999999995</v>
      </c>
      <c r="C31" s="121">
        <v>81.2</v>
      </c>
      <c r="D31" s="121">
        <v>-10.545999999999992</v>
      </c>
      <c r="E31" s="121">
        <v>-11.494779063937386</v>
      </c>
      <c r="F31" s="121">
        <v>8.8230881674103701E-2</v>
      </c>
      <c r="G31" s="121">
        <v>6.3809890533032626E-2</v>
      </c>
    </row>
    <row r="32" spans="1:19" s="4" customFormat="1" ht="21">
      <c r="A32" s="142" t="s">
        <v>37</v>
      </c>
      <c r="B32" s="124">
        <v>126.35</v>
      </c>
      <c r="C32" s="124">
        <v>237.075975</v>
      </c>
      <c r="D32" s="124">
        <v>110.72597500000001</v>
      </c>
      <c r="E32" s="124">
        <v>87.634329244163041</v>
      </c>
      <c r="F32" s="124">
        <v>0.12150907831974149</v>
      </c>
      <c r="G32" s="124">
        <v>0.18630285730002438</v>
      </c>
    </row>
    <row r="33" spans="1:18" s="4" customFormat="1" ht="21">
      <c r="A33" s="142" t="s">
        <v>35</v>
      </c>
      <c r="B33" s="124">
        <v>264.08100000000002</v>
      </c>
      <c r="C33" s="124">
        <v>252.36162999999999</v>
      </c>
      <c r="D33" s="124">
        <v>-11.719370000000026</v>
      </c>
      <c r="E33" s="124">
        <v>-4.4377937072337659</v>
      </c>
      <c r="F33" s="124">
        <v>0.25396310970918601</v>
      </c>
      <c r="G33" s="124">
        <v>0.19831487666302564</v>
      </c>
    </row>
    <row r="34" spans="1:18" s="4" customFormat="1" ht="30" customHeight="1">
      <c r="A34" s="131" t="s">
        <v>39</v>
      </c>
      <c r="B34" s="125">
        <v>14716.174999999997</v>
      </c>
      <c r="C34" s="125">
        <v>16946.411085</v>
      </c>
      <c r="D34" s="125">
        <v>2230.2360850000023</v>
      </c>
      <c r="E34" s="125">
        <v>15.154998394623632</v>
      </c>
      <c r="F34" s="125">
        <v>14.152345553162021</v>
      </c>
      <c r="G34" s="125">
        <v>13.317101431793358</v>
      </c>
    </row>
    <row r="35" spans="1:18" s="4" customFormat="1" ht="21">
      <c r="A35" s="142" t="s">
        <v>28</v>
      </c>
      <c r="B35" s="124">
        <v>11719.334999999999</v>
      </c>
      <c r="C35" s="124">
        <v>13811.879652</v>
      </c>
      <c r="D35" s="124">
        <v>2092.5446520000005</v>
      </c>
      <c r="E35" s="124">
        <v>17.855489684354964</v>
      </c>
      <c r="F35" s="124">
        <v>11.270325242344976</v>
      </c>
      <c r="G35" s="124">
        <v>10.853873505536214</v>
      </c>
    </row>
    <row r="36" spans="1:18" s="4" customFormat="1" ht="21">
      <c r="A36" s="138" t="s">
        <v>29</v>
      </c>
      <c r="B36" s="121">
        <v>4453.1269999999995</v>
      </c>
      <c r="C36" s="121">
        <v>5594.4763530000009</v>
      </c>
      <c r="D36" s="121">
        <v>1141.3493530000014</v>
      </c>
      <c r="E36" s="121">
        <v>25.630289749203229</v>
      </c>
      <c r="F36" s="121">
        <v>4.2825117325742417</v>
      </c>
      <c r="G36" s="121">
        <v>4.3963414245636647</v>
      </c>
    </row>
    <row r="37" spans="1:18" s="4" customFormat="1" ht="21">
      <c r="A37" s="138" t="s">
        <v>30</v>
      </c>
      <c r="B37" s="121">
        <v>794.36400000000003</v>
      </c>
      <c r="C37" s="121">
        <v>888.48300000000006</v>
      </c>
      <c r="D37" s="121">
        <v>94.119000000000028</v>
      </c>
      <c r="E37" s="121">
        <v>11.848346601809752</v>
      </c>
      <c r="F37" s="121">
        <v>0.76392906601015542</v>
      </c>
      <c r="G37" s="121">
        <v>0.69820200702537472</v>
      </c>
    </row>
    <row r="38" spans="1:18" s="4" customFormat="1" ht="21">
      <c r="A38" s="142" t="s">
        <v>37</v>
      </c>
      <c r="B38" s="124">
        <v>1342.3519999999999</v>
      </c>
      <c r="C38" s="124">
        <v>1509.3732150000001</v>
      </c>
      <c r="D38" s="124">
        <v>167.02121500000021</v>
      </c>
      <c r="E38" s="124">
        <v>12.442430524929406</v>
      </c>
      <c r="F38" s="124">
        <v>1.2909216802585011</v>
      </c>
      <c r="G38" s="124">
        <v>1.1861199460916443</v>
      </c>
    </row>
    <row r="39" spans="1:18" s="4" customFormat="1" ht="21">
      <c r="A39" s="142" t="s">
        <v>35</v>
      </c>
      <c r="B39" s="124">
        <v>1654.4880000000001</v>
      </c>
      <c r="C39" s="124">
        <v>1625.1582180000003</v>
      </c>
      <c r="D39" s="124">
        <v>-29.329781999999796</v>
      </c>
      <c r="E39" s="124">
        <v>-1.7727406907756205</v>
      </c>
      <c r="F39" s="124">
        <v>1.5910986305585475</v>
      </c>
      <c r="G39" s="124">
        <v>1.2771079801654972</v>
      </c>
    </row>
    <row r="40" spans="1:18" s="123" customFormat="1" ht="39.75" customHeight="1">
      <c r="A40" s="140" t="s">
        <v>40</v>
      </c>
      <c r="B40" s="125">
        <v>6304.0259999999998</v>
      </c>
      <c r="C40" s="81">
        <v>7210.3550690000002</v>
      </c>
      <c r="D40" s="125">
        <v>906.32906900000035</v>
      </c>
      <c r="E40" s="125">
        <v>14.376988118386578</v>
      </c>
      <c r="F40" s="125">
        <v>6.0624961532543464</v>
      </c>
      <c r="G40" s="125">
        <v>5.6661572371574733</v>
      </c>
    </row>
    <row r="41" spans="1:18" s="123" customFormat="1" ht="21">
      <c r="A41" s="142" t="s">
        <v>28</v>
      </c>
      <c r="B41" s="143">
        <v>4664.2309999999998</v>
      </c>
      <c r="C41" s="143">
        <v>5552.3556260000005</v>
      </c>
      <c r="D41" s="143">
        <v>888.12462600000072</v>
      </c>
      <c r="E41" s="143">
        <v>19.041180121653511</v>
      </c>
      <c r="F41" s="124">
        <v>4.4855275811663331</v>
      </c>
      <c r="G41" s="124">
        <v>4.3632414371370425</v>
      </c>
    </row>
    <row r="42" spans="1:18" s="123" customFormat="1" ht="21">
      <c r="A42" s="138" t="s">
        <v>29</v>
      </c>
      <c r="B42" s="121">
        <v>2876.9380000000001</v>
      </c>
      <c r="C42" s="121">
        <v>3622.8805670000002</v>
      </c>
      <c r="D42" s="121">
        <v>745.94256700000005</v>
      </c>
      <c r="E42" s="121">
        <v>25.928350454545765</v>
      </c>
      <c r="F42" s="121">
        <v>2.7667121864902295</v>
      </c>
      <c r="G42" s="121">
        <v>2.8469903004251376</v>
      </c>
      <c r="H42" s="123">
        <f>Таблица2246279101213145745[[#This Row],[Столбец8]]*20%</f>
        <v>575.38760000000002</v>
      </c>
    </row>
    <row r="43" spans="1:18" s="123" customFormat="1" ht="21">
      <c r="A43" s="138" t="s">
        <v>30</v>
      </c>
      <c r="B43" s="143">
        <v>407.79300000000001</v>
      </c>
      <c r="C43" s="143">
        <v>397.33699999999999</v>
      </c>
      <c r="D43" s="143">
        <v>-10.456000000000017</v>
      </c>
      <c r="E43" s="143">
        <v>-2.5640459743055999</v>
      </c>
      <c r="F43" s="121">
        <v>0.39216898753654406</v>
      </c>
      <c r="G43" s="121">
        <v>0.31224175461482245</v>
      </c>
    </row>
    <row r="44" spans="1:18" s="123" customFormat="1" ht="21">
      <c r="A44" s="142" t="s">
        <v>37</v>
      </c>
      <c r="B44" s="121">
        <v>512.82299999999998</v>
      </c>
      <c r="C44" s="124">
        <v>560.44070399999998</v>
      </c>
      <c r="D44" s="121">
        <v>47.617704000000003</v>
      </c>
      <c r="E44" s="121">
        <v>9.2854072457748629</v>
      </c>
      <c r="F44" s="124">
        <v>0.49317491152484993</v>
      </c>
      <c r="G44" s="124">
        <v>0.44041453168098199</v>
      </c>
      <c r="L44" s="4">
        <v>10779.7</v>
      </c>
      <c r="M44" s="123">
        <v>1494.3</v>
      </c>
      <c r="N44" s="123">
        <v>4899.6000000000004</v>
      </c>
      <c r="O44" s="123">
        <v>3343.1</v>
      </c>
      <c r="P44" s="123">
        <v>7210.4</v>
      </c>
      <c r="Q44" s="123">
        <v>16947.400000000001</v>
      </c>
      <c r="R44" s="123">
        <v>13812.9</v>
      </c>
    </row>
    <row r="45" spans="1:18" s="123" customFormat="1" ht="21">
      <c r="A45" s="142" t="s">
        <v>35</v>
      </c>
      <c r="B45" s="124">
        <v>1126.972</v>
      </c>
      <c r="C45" s="124">
        <v>1097.5587390000001</v>
      </c>
      <c r="D45" s="124">
        <v>-29.41326099999992</v>
      </c>
      <c r="E45" s="124">
        <v>-2.6099371590421043</v>
      </c>
      <c r="F45" s="124">
        <v>1.0837936605631637</v>
      </c>
      <c r="G45" s="124">
        <v>0.86250126833944984</v>
      </c>
    </row>
    <row r="46" spans="1:18" s="123" customFormat="1" ht="40.5" customHeight="1">
      <c r="A46" s="140" t="s">
        <v>41</v>
      </c>
      <c r="B46" s="125">
        <v>2881.39</v>
      </c>
      <c r="C46" s="81">
        <v>3343.0768000000003</v>
      </c>
      <c r="D46" s="125">
        <v>461.6868000000004</v>
      </c>
      <c r="E46" s="125">
        <v>16.023058315604644</v>
      </c>
      <c r="F46" s="125">
        <v>2.7709936144022156</v>
      </c>
      <c r="G46" s="125">
        <v>2.6271104021123275</v>
      </c>
    </row>
    <row r="47" spans="1:18" s="126" customFormat="1" ht="21">
      <c r="A47" s="142" t="s">
        <v>28</v>
      </c>
      <c r="B47" s="124">
        <v>1939.6020000000001</v>
      </c>
      <c r="C47" s="124">
        <v>2399.6386700000003</v>
      </c>
      <c r="D47" s="124">
        <v>460.03667000000019</v>
      </c>
      <c r="E47" s="124">
        <v>23.718096289857414</v>
      </c>
      <c r="F47" s="124">
        <v>1.8652888905985536</v>
      </c>
      <c r="G47" s="124">
        <v>1.8857226705853696</v>
      </c>
    </row>
    <row r="48" spans="1:18" s="123" customFormat="1" ht="21">
      <c r="A48" s="138" t="s">
        <v>29</v>
      </c>
      <c r="B48" s="124">
        <v>1296.2180000000001</v>
      </c>
      <c r="C48" s="124">
        <v>1636.6378990000001</v>
      </c>
      <c r="D48" s="124">
        <v>340.41989899999999</v>
      </c>
      <c r="E48" s="124">
        <v>26.262549895156525</v>
      </c>
      <c r="F48" s="124">
        <v>1.2465552392675798</v>
      </c>
      <c r="G48" s="124">
        <v>1.2861291278005234</v>
      </c>
      <c r="I48" s="127" t="e">
        <f>#REF!-2621.1</f>
        <v>#REF!</v>
      </c>
      <c r="L48" s="123" t="e">
        <f>L44/#REF!*100</f>
        <v>#REF!</v>
      </c>
      <c r="M48" s="123" t="e">
        <f>M44/#REF!*100</f>
        <v>#REF!</v>
      </c>
      <c r="N48" s="123" t="e">
        <f>N44/#REF!*100</f>
        <v>#REF!</v>
      </c>
      <c r="O48" s="123" t="e">
        <f>O44/#REF!*100</f>
        <v>#REF!</v>
      </c>
      <c r="P48" s="123" t="e">
        <f>P44/#REF!*100</f>
        <v>#REF!</v>
      </c>
      <c r="Q48" s="123" t="e">
        <f>Q44/#REF!*100</f>
        <v>#REF!</v>
      </c>
      <c r="R48" s="123" t="e">
        <f>R44/#REF!*100</f>
        <v>#REF!</v>
      </c>
    </row>
    <row r="49" spans="1:19" s="123" customFormat="1" ht="21">
      <c r="A49" s="138" t="s">
        <v>30</v>
      </c>
      <c r="B49" s="143">
        <v>63.972000000000001</v>
      </c>
      <c r="C49" s="143">
        <v>104.50700000000001</v>
      </c>
      <c r="D49" s="143">
        <v>40.535000000000004</v>
      </c>
      <c r="E49" s="143">
        <v>63.363659100856637</v>
      </c>
      <c r="F49" s="124">
        <v>6.1521003231266358E-2</v>
      </c>
      <c r="G49" s="124">
        <v>8.2125372289847787E-2</v>
      </c>
    </row>
    <row r="50" spans="1:19" s="123" customFormat="1" ht="21">
      <c r="A50" s="142" t="s">
        <v>37</v>
      </c>
      <c r="B50" s="124">
        <v>633.11599999999999</v>
      </c>
      <c r="C50" s="124">
        <v>627.376801</v>
      </c>
      <c r="D50" s="124">
        <v>-5.7391989999999851</v>
      </c>
      <c r="E50" s="124">
        <v>-0.90650038855439163</v>
      </c>
      <c r="F50" s="124">
        <v>0.60885905523926753</v>
      </c>
      <c r="G50" s="124">
        <v>0.49301533244795798</v>
      </c>
    </row>
    <row r="51" spans="1:19" s="123" customFormat="1" ht="21">
      <c r="A51" s="142" t="s">
        <v>35</v>
      </c>
      <c r="B51" s="124">
        <v>308.67200000000003</v>
      </c>
      <c r="C51" s="124">
        <v>316.061329</v>
      </c>
      <c r="D51" s="124">
        <v>7.3893289999999752</v>
      </c>
      <c r="E51" s="124">
        <v>2.3939097164627725</v>
      </c>
      <c r="F51" s="124">
        <v>0.29684566856439454</v>
      </c>
      <c r="G51" s="124">
        <v>0.24837239907900011</v>
      </c>
      <c r="J51" s="127"/>
      <c r="M51" s="123">
        <v>3269</v>
      </c>
    </row>
    <row r="52" spans="1:19" s="4" customFormat="1" ht="21">
      <c r="A52" s="140" t="s">
        <v>42</v>
      </c>
      <c r="B52" s="125">
        <v>4331.6099999999997</v>
      </c>
      <c r="C52" s="81">
        <v>4898.6308350000008</v>
      </c>
      <c r="D52" s="125">
        <v>567.02083500000117</v>
      </c>
      <c r="E52" s="125">
        <v>13.090302104760141</v>
      </c>
      <c r="F52" s="125">
        <v>4.1656504846899516</v>
      </c>
      <c r="G52" s="125">
        <v>3.8495209032400028</v>
      </c>
      <c r="M52" s="4">
        <v>7510.7</v>
      </c>
      <c r="S52" s="147"/>
    </row>
    <row r="53" spans="1:19" s="4" customFormat="1" ht="21">
      <c r="A53" s="142" t="s">
        <v>28</v>
      </c>
      <c r="B53" s="143">
        <v>4153.5129999999999</v>
      </c>
      <c r="C53" s="143">
        <v>4720.3479400000006</v>
      </c>
      <c r="D53" s="143">
        <v>566.83494000000064</v>
      </c>
      <c r="E53" s="143">
        <v>13.647120882973056</v>
      </c>
      <c r="F53" s="124">
        <v>3.9943770195414681</v>
      </c>
      <c r="G53" s="124">
        <v>3.7094197700643603</v>
      </c>
      <c r="M53" s="4">
        <f>SUM(M51:M52)</f>
        <v>10779.7</v>
      </c>
    </row>
    <row r="54" spans="1:19" s="4" customFormat="1" ht="21">
      <c r="A54" s="138" t="s">
        <v>29</v>
      </c>
      <c r="B54" s="124">
        <v>76.400000000000006</v>
      </c>
      <c r="C54" s="124">
        <v>90.087340999999995</v>
      </c>
      <c r="D54" s="124">
        <v>13.687340999999989</v>
      </c>
      <c r="E54" s="124">
        <v>17.915367801047111</v>
      </c>
      <c r="F54" s="124">
        <v>7.3472841975688569E-2</v>
      </c>
      <c r="G54" s="124">
        <v>7.0793883837709126E-2</v>
      </c>
      <c r="P54" s="4">
        <v>1536.6</v>
      </c>
    </row>
    <row r="55" spans="1:19" s="4" customFormat="1" ht="21">
      <c r="A55" s="138" t="s">
        <v>30</v>
      </c>
      <c r="B55" s="143">
        <v>15.316000000000001</v>
      </c>
      <c r="C55" s="143">
        <v>17.5</v>
      </c>
      <c r="D55" s="143">
        <v>2.1839999999999993</v>
      </c>
      <c r="E55" s="143">
        <v>14.259597806215723</v>
      </c>
      <c r="F55" s="124">
        <v>1.472918910601631E-2</v>
      </c>
      <c r="G55" s="124">
        <v>1.375213158039496E-2</v>
      </c>
      <c r="P55" s="4">
        <v>96.3</v>
      </c>
    </row>
    <row r="56" spans="1:19" s="4" customFormat="1" ht="21">
      <c r="A56" s="142" t="s">
        <v>35</v>
      </c>
      <c r="B56" s="124">
        <v>178.09700000000001</v>
      </c>
      <c r="C56" s="124">
        <v>178.282895</v>
      </c>
      <c r="D56" s="124">
        <v>0.18589499999998793</v>
      </c>
      <c r="E56" s="124">
        <v>0.10437851283288069</v>
      </c>
      <c r="F56" s="124">
        <v>0.17127346514848441</v>
      </c>
      <c r="G56" s="124">
        <v>0.14010113317564221</v>
      </c>
    </row>
    <row r="57" spans="1:19" s="4" customFormat="1" ht="36" customHeight="1">
      <c r="A57" s="140" t="s">
        <v>43</v>
      </c>
      <c r="B57" s="125">
        <v>1199.1490000000001</v>
      </c>
      <c r="C57" s="125">
        <v>1494.3483810000002</v>
      </c>
      <c r="D57" s="125">
        <v>295.19938100000013</v>
      </c>
      <c r="E57" s="125">
        <v>24.617406260606487</v>
      </c>
      <c r="F57" s="125">
        <v>1.1532053008155101</v>
      </c>
      <c r="G57" s="125">
        <v>1.1743128892835535</v>
      </c>
    </row>
    <row r="58" spans="1:19" s="4" customFormat="1" ht="21">
      <c r="A58" s="142" t="s">
        <v>28</v>
      </c>
      <c r="B58" s="143">
        <v>961.98900000000003</v>
      </c>
      <c r="C58" s="143">
        <v>1139.5374160000001</v>
      </c>
      <c r="D58" s="143">
        <v>177.54841600000009</v>
      </c>
      <c r="E58" s="143">
        <v>18.456387339148378</v>
      </c>
      <c r="F58" s="124">
        <v>0.92513175103862144</v>
      </c>
      <c r="G58" s="124">
        <v>0.89548962774944407</v>
      </c>
    </row>
    <row r="59" spans="1:19" s="4" customFormat="1" ht="21">
      <c r="A59" s="138" t="s">
        <v>29</v>
      </c>
      <c r="B59" s="124">
        <v>203.571</v>
      </c>
      <c r="C59" s="124">
        <v>244.87054599999999</v>
      </c>
      <c r="D59" s="124">
        <v>41.299545999999992</v>
      </c>
      <c r="E59" s="124">
        <v>20.287538991310157</v>
      </c>
      <c r="F59" s="124">
        <v>0.19577146484074473</v>
      </c>
      <c r="G59" s="124">
        <v>0.19242811250029468</v>
      </c>
      <c r="J59" s="119"/>
    </row>
    <row r="60" spans="1:19" s="4" customFormat="1" ht="21">
      <c r="A60" s="138" t="s">
        <v>30</v>
      </c>
      <c r="B60" s="143">
        <v>307.28300000000002</v>
      </c>
      <c r="C60" s="143">
        <v>369.13900000000001</v>
      </c>
      <c r="D60" s="143">
        <v>61.855999999999995</v>
      </c>
      <c r="E60" s="143">
        <v>20.129977903105612</v>
      </c>
      <c r="F60" s="124">
        <v>0.29550988613632867</v>
      </c>
      <c r="G60" s="124">
        <v>0.29008274854030947</v>
      </c>
    </row>
    <row r="61" spans="1:19" s="5" customFormat="1" ht="21">
      <c r="A61" s="142" t="s">
        <v>37</v>
      </c>
      <c r="B61" s="124">
        <v>196.41300000000001</v>
      </c>
      <c r="C61" s="124">
        <v>321.55570999999998</v>
      </c>
      <c r="D61" s="124">
        <v>125.14270999999997</v>
      </c>
      <c r="E61" s="124">
        <v>63.714066787839869</v>
      </c>
      <c r="F61" s="124">
        <v>0.18888771349438374</v>
      </c>
      <c r="G61" s="124">
        <v>0.2526900819627042</v>
      </c>
    </row>
    <row r="62" spans="1:19" s="4" customFormat="1" ht="21">
      <c r="A62" s="142" t="s">
        <v>35</v>
      </c>
      <c r="B62" s="124">
        <v>40.747</v>
      </c>
      <c r="C62" s="124">
        <v>33.255254999999998</v>
      </c>
      <c r="D62" s="124">
        <v>-7.4917450000000017</v>
      </c>
      <c r="E62" s="124">
        <v>-18.386003877586091</v>
      </c>
      <c r="F62" s="124">
        <v>3.9185836282505E-2</v>
      </c>
      <c r="G62" s="124">
        <v>2.6133179571404996E-2</v>
      </c>
    </row>
    <row r="63" spans="1:19" s="4" customFormat="1" ht="38.25" customHeight="1">
      <c r="A63" s="140" t="s">
        <v>44</v>
      </c>
      <c r="B63" s="125">
        <v>11551.255999999999</v>
      </c>
      <c r="C63" s="125">
        <v>12581.308802999998</v>
      </c>
      <c r="D63" s="125">
        <v>1030.0528029999987</v>
      </c>
      <c r="E63" s="125">
        <v>8.9172363853766115</v>
      </c>
      <c r="F63" s="125">
        <v>11.108685951684874</v>
      </c>
      <c r="G63" s="125">
        <v>9.8868465207107086</v>
      </c>
      <c r="I63" s="119"/>
    </row>
    <row r="64" spans="1:19" s="4" customFormat="1" ht="21">
      <c r="A64" s="142" t="s">
        <v>28</v>
      </c>
      <c r="B64" s="124">
        <v>4914.5460000000003</v>
      </c>
      <c r="C64" s="124">
        <v>4929.2415039999996</v>
      </c>
      <c r="D64" s="124">
        <v>14.695503999999346</v>
      </c>
      <c r="E64" s="124">
        <v>0.29902058094479855</v>
      </c>
      <c r="F64" s="124">
        <v>4.7262521157101096</v>
      </c>
      <c r="G64" s="124">
        <v>3.8735758716886828</v>
      </c>
      <c r="I64" s="119"/>
    </row>
    <row r="65" spans="1:7" s="4" customFormat="1" ht="21">
      <c r="A65" s="138" t="s">
        <v>29</v>
      </c>
      <c r="B65" s="124">
        <v>306.65500000000003</v>
      </c>
      <c r="C65" s="124">
        <v>389.01960300000002</v>
      </c>
      <c r="D65" s="124">
        <v>82.364602999999988</v>
      </c>
      <c r="E65" s="124">
        <v>26.859044528867926</v>
      </c>
      <c r="F65" s="124">
        <v>0.29490594706877987</v>
      </c>
      <c r="G65" s="124">
        <v>0.30570564387480059</v>
      </c>
    </row>
    <row r="66" spans="1:7" s="4" customFormat="1" ht="21">
      <c r="A66" s="138" t="s">
        <v>30</v>
      </c>
      <c r="B66" s="124">
        <v>3228.0049999999997</v>
      </c>
      <c r="C66" s="124">
        <v>3169.0239999999994</v>
      </c>
      <c r="D66" s="124">
        <v>-58.981000000000222</v>
      </c>
      <c r="E66" s="124">
        <v>-1.8271656952204296</v>
      </c>
      <c r="F66" s="124">
        <v>3.1043285505462377</v>
      </c>
      <c r="G66" s="124">
        <v>2.4903334302531173</v>
      </c>
    </row>
    <row r="67" spans="1:7" s="4" customFormat="1" ht="21">
      <c r="A67" s="142" t="s">
        <v>37</v>
      </c>
      <c r="B67" s="124">
        <v>6461.857</v>
      </c>
      <c r="C67" s="124">
        <v>7510.7049319999996</v>
      </c>
      <c r="D67" s="124">
        <v>1048.8479319999997</v>
      </c>
      <c r="E67" s="124">
        <v>16.231370208285313</v>
      </c>
      <c r="F67" s="124">
        <v>6.2142800815510082</v>
      </c>
      <c r="G67" s="124">
        <v>5.9021829992220223</v>
      </c>
    </row>
    <row r="68" spans="1:7" s="4" customFormat="1" ht="21">
      <c r="A68" s="142" t="s">
        <v>35</v>
      </c>
      <c r="B68" s="124">
        <v>174.85299999999998</v>
      </c>
      <c r="C68" s="124">
        <v>141.36236700000001</v>
      </c>
      <c r="D68" s="124">
        <v>-33.490632999999974</v>
      </c>
      <c r="E68" s="124">
        <v>-19.153593590044196</v>
      </c>
      <c r="F68" s="124">
        <v>0.16815375442375749</v>
      </c>
      <c r="G68" s="124">
        <v>0.11108764980000473</v>
      </c>
    </row>
    <row r="69" spans="1:7" s="5" customFormat="1" ht="42">
      <c r="A69" s="140" t="s">
        <v>45</v>
      </c>
      <c r="B69" s="125">
        <v>1503.4579999999999</v>
      </c>
      <c r="C69" s="125">
        <v>1696.5845159999999</v>
      </c>
      <c r="D69" s="125">
        <v>193.12651600000004</v>
      </c>
      <c r="E69" s="125">
        <v>12.845487935146849</v>
      </c>
      <c r="F69" s="125">
        <v>1.4458551315587012</v>
      </c>
      <c r="G69" s="125">
        <v>1.3332373429310114</v>
      </c>
    </row>
    <row r="70" spans="1:7" s="4" customFormat="1" ht="21">
      <c r="A70" s="142" t="s">
        <v>28</v>
      </c>
      <c r="B70" s="143">
        <v>854.15</v>
      </c>
      <c r="C70" s="143">
        <v>941.92801699999995</v>
      </c>
      <c r="D70" s="143">
        <v>87.778016999999977</v>
      </c>
      <c r="E70" s="143">
        <v>10.276651290756888</v>
      </c>
      <c r="F70" s="124">
        <v>0.82142444991537156</v>
      </c>
      <c r="G70" s="124">
        <v>0.74020103023111439</v>
      </c>
    </row>
    <row r="71" spans="1:7" s="123" customFormat="1" ht="21">
      <c r="A71" s="138" t="s">
        <v>29</v>
      </c>
      <c r="B71" s="143">
        <v>148.608</v>
      </c>
      <c r="C71" s="143">
        <v>194.58434600000001</v>
      </c>
      <c r="D71" s="143">
        <v>45.976346000000007</v>
      </c>
      <c r="E71" s="143">
        <v>30.938001991817401</v>
      </c>
      <c r="F71" s="124">
        <v>0.1429142945068472</v>
      </c>
      <c r="G71" s="124">
        <v>0.15291140169583431</v>
      </c>
    </row>
    <row r="72" spans="1:7" s="123" customFormat="1" ht="21">
      <c r="A72" s="138" t="s">
        <v>30</v>
      </c>
      <c r="B72" s="143">
        <v>157.571</v>
      </c>
      <c r="C72" s="143">
        <v>167.09100000000001</v>
      </c>
      <c r="D72" s="143">
        <v>9.5200000000000102</v>
      </c>
      <c r="E72" s="143">
        <v>6.0417208750341302</v>
      </c>
      <c r="F72" s="124">
        <v>0.15153388982920449</v>
      </c>
      <c r="G72" s="124">
        <v>0.13130613816570141</v>
      </c>
    </row>
    <row r="73" spans="1:7" s="123" customFormat="1" ht="21">
      <c r="A73" s="142" t="s">
        <v>37</v>
      </c>
      <c r="B73" s="124">
        <v>575.83400000000006</v>
      </c>
      <c r="C73" s="124">
        <v>686.57327899999996</v>
      </c>
      <c r="D73" s="124">
        <v>110.7392789999999</v>
      </c>
      <c r="E73" s="124">
        <v>19.231111570348375</v>
      </c>
      <c r="F73" s="124">
        <v>0.55377173411294056</v>
      </c>
      <c r="G73" s="124">
        <v>0.53953406127949821</v>
      </c>
    </row>
    <row r="74" spans="1:7" s="123" customFormat="1" ht="21">
      <c r="A74" s="142" t="s">
        <v>35</v>
      </c>
      <c r="B74" s="124">
        <v>73.474000000000004</v>
      </c>
      <c r="C74" s="124">
        <v>68.083219999999997</v>
      </c>
      <c r="D74" s="124">
        <v>-5.3907800000000066</v>
      </c>
      <c r="E74" s="124">
        <v>-7.3369899556305711</v>
      </c>
      <c r="F74" s="124">
        <v>7.0658947530389288E-2</v>
      </c>
      <c r="G74" s="124">
        <v>5.3502251420398737E-2</v>
      </c>
    </row>
    <row r="75" spans="1:7" s="123" customFormat="1" ht="21">
      <c r="A75" s="140" t="s">
        <v>46</v>
      </c>
      <c r="B75" s="125">
        <v>6022.41</v>
      </c>
      <c r="C75" s="125">
        <v>5991.354969</v>
      </c>
      <c r="D75" s="125">
        <v>-31.055030999999872</v>
      </c>
      <c r="E75" s="125">
        <v>-0.51565786786352419</v>
      </c>
      <c r="F75" s="125">
        <v>5.7916698722880442</v>
      </c>
      <c r="G75" s="125">
        <v>4.7082229644880673</v>
      </c>
    </row>
    <row r="76" spans="1:7" s="123" customFormat="1" ht="21">
      <c r="A76" s="142" t="s">
        <v>28</v>
      </c>
      <c r="B76" s="143">
        <v>2690.3020000000001</v>
      </c>
      <c r="C76" s="143">
        <v>2592.6795899999997</v>
      </c>
      <c r="D76" s="143">
        <v>-97.6224100000004</v>
      </c>
      <c r="E76" s="143">
        <v>-3.628678490370234</v>
      </c>
      <c r="F76" s="124">
        <v>2.5872268810586245</v>
      </c>
      <c r="G76" s="124">
        <v>2.0374211924276833</v>
      </c>
    </row>
    <row r="77" spans="1:7" s="123" customFormat="1" ht="21">
      <c r="A77" s="138" t="s">
        <v>29</v>
      </c>
      <c r="B77" s="124">
        <v>9.0129999999999999</v>
      </c>
      <c r="C77" s="124">
        <v>10.937844</v>
      </c>
      <c r="D77" s="124">
        <v>1.9248440000000002</v>
      </c>
      <c r="E77" s="124">
        <v>21.356307555752807</v>
      </c>
      <c r="F77" s="124">
        <v>8.667679643022003E-3</v>
      </c>
      <c r="G77" s="124">
        <v>8.5953525653619158E-3</v>
      </c>
    </row>
    <row r="78" spans="1:7" s="123" customFormat="1" ht="21">
      <c r="A78" s="138" t="s">
        <v>30</v>
      </c>
      <c r="B78" s="143">
        <v>2676.0940000000001</v>
      </c>
      <c r="C78" s="143">
        <v>2576.1</v>
      </c>
      <c r="D78" s="143">
        <v>-99.994000000000142</v>
      </c>
      <c r="E78" s="143">
        <v>-3.7365653074966758</v>
      </c>
      <c r="F78" s="124">
        <v>2.5735632404985385</v>
      </c>
      <c r="G78" s="124">
        <v>2.024392352243169</v>
      </c>
    </row>
    <row r="79" spans="1:7" s="123" customFormat="1" ht="21">
      <c r="A79" s="142" t="s">
        <v>37</v>
      </c>
      <c r="B79" s="124">
        <v>3327.346</v>
      </c>
      <c r="C79" s="124">
        <v>3394.6629389999998</v>
      </c>
      <c r="D79" s="124">
        <v>67.31693899999982</v>
      </c>
      <c r="E79" s="124">
        <v>2.0231421379081098</v>
      </c>
      <c r="F79" s="124">
        <v>3.1998634405293123</v>
      </c>
      <c r="G79" s="124">
        <v>2.6676486518981872</v>
      </c>
    </row>
    <row r="80" spans="1:7" s="123" customFormat="1" ht="21">
      <c r="A80" s="142" t="s">
        <v>35</v>
      </c>
      <c r="B80" s="143">
        <v>4.7619999999999996</v>
      </c>
      <c r="C80" s="143">
        <v>4.0124399999999998</v>
      </c>
      <c r="D80" s="143">
        <v>-0.74955999999999978</v>
      </c>
      <c r="E80" s="143">
        <v>-15.740445191096171</v>
      </c>
      <c r="F80" s="124">
        <v>4.5795507001077087E-3</v>
      </c>
      <c r="G80" s="124">
        <v>3.1531201621965693E-3</v>
      </c>
    </row>
    <row r="81" spans="1:7" s="123" customFormat="1" ht="33" customHeight="1">
      <c r="A81" s="140" t="s">
        <v>47</v>
      </c>
      <c r="B81" s="125">
        <v>1030.614</v>
      </c>
      <c r="C81" s="125">
        <v>1620.738914</v>
      </c>
      <c r="D81" s="125">
        <v>590.12491399999999</v>
      </c>
      <c r="E81" s="125">
        <v>57.259547609483263</v>
      </c>
      <c r="F81" s="125">
        <v>0.99112748115094629</v>
      </c>
      <c r="G81" s="125">
        <v>1.2736351315882533</v>
      </c>
    </row>
    <row r="82" spans="1:7" s="123" customFormat="1" ht="21">
      <c r="A82" s="142" t="s">
        <v>28</v>
      </c>
      <c r="B82" s="143">
        <v>226.01499999999999</v>
      </c>
      <c r="C82" s="143">
        <v>268.81733600000001</v>
      </c>
      <c r="D82" s="143">
        <v>42.802336000000025</v>
      </c>
      <c r="E82" s="143">
        <v>18.937829790058188</v>
      </c>
      <c r="F82" s="124">
        <v>0.21735555470072318</v>
      </c>
      <c r="G82" s="124">
        <v>0.21124636432932822</v>
      </c>
    </row>
    <row r="83" spans="1:7" s="123" customFormat="1" ht="21">
      <c r="A83" s="138" t="s">
        <v>29</v>
      </c>
      <c r="B83" s="124">
        <v>67.599000000000004</v>
      </c>
      <c r="C83" s="124">
        <v>84.224162000000007</v>
      </c>
      <c r="D83" s="124">
        <v>16.625162000000003</v>
      </c>
      <c r="E83" s="124">
        <v>24.593798724833221</v>
      </c>
      <c r="F83" s="124">
        <v>6.5009039852284969E-2</v>
      </c>
      <c r="G83" s="124">
        <v>6.6186386175571502E-2</v>
      </c>
    </row>
    <row r="84" spans="1:7" s="123" customFormat="1" ht="21">
      <c r="A84" s="138" t="s">
        <v>30</v>
      </c>
      <c r="B84" s="143">
        <v>18.062000000000001</v>
      </c>
      <c r="C84" s="143">
        <v>21.1</v>
      </c>
      <c r="D84" s="143">
        <v>3.0380000000000003</v>
      </c>
      <c r="E84" s="143">
        <v>16.819842763813526</v>
      </c>
      <c r="F84" s="124">
        <v>1.7369979996922604E-2</v>
      </c>
      <c r="G84" s="124">
        <v>1.6581141505504784E-2</v>
      </c>
    </row>
    <row r="85" spans="1:7" s="123" customFormat="1" ht="21">
      <c r="A85" s="142" t="s">
        <v>37</v>
      </c>
      <c r="B85" s="124">
        <v>770.72199999999998</v>
      </c>
      <c r="C85" s="124">
        <v>1323.755216</v>
      </c>
      <c r="D85" s="124">
        <v>553.03321600000004</v>
      </c>
      <c r="E85" s="124">
        <v>71.755213423257686</v>
      </c>
      <c r="F85" s="124">
        <v>0.74119287582705029</v>
      </c>
      <c r="G85" s="124">
        <v>1.0402546234666374</v>
      </c>
    </row>
    <row r="86" spans="1:7" s="123" customFormat="1" ht="21">
      <c r="A86" s="142" t="s">
        <v>35</v>
      </c>
      <c r="B86" s="124">
        <v>33.877000000000002</v>
      </c>
      <c r="C86" s="124">
        <v>28.166361999999999</v>
      </c>
      <c r="D86" s="124">
        <v>-5.710638000000003</v>
      </c>
      <c r="E86" s="124">
        <v>-16.856976709862153</v>
      </c>
      <c r="F86" s="124">
        <v>3.2579050623172796E-2</v>
      </c>
      <c r="G86" s="124">
        <v>2.2134143792287803E-2</v>
      </c>
    </row>
    <row r="87" spans="1:7" s="123" customFormat="1" ht="21">
      <c r="A87" s="140" t="s">
        <v>48</v>
      </c>
      <c r="B87" s="125">
        <v>208.79000000000002</v>
      </c>
      <c r="C87" s="125">
        <v>259.78188599999999</v>
      </c>
      <c r="D87" s="125">
        <v>50.991885999999965</v>
      </c>
      <c r="E87" s="125">
        <v>24.422571004358417</v>
      </c>
      <c r="F87" s="125">
        <v>0.20079050623172798</v>
      </c>
      <c r="G87" s="125">
        <v>0.2041459816271522</v>
      </c>
    </row>
    <row r="88" spans="1:7" s="123" customFormat="1" ht="21">
      <c r="A88" s="142" t="s">
        <v>28</v>
      </c>
      <c r="B88" s="143">
        <v>205.36500000000001</v>
      </c>
      <c r="C88" s="143">
        <v>256.867501</v>
      </c>
      <c r="D88" s="143">
        <v>51.502500999999995</v>
      </c>
      <c r="E88" s="143">
        <v>25.07851922187325</v>
      </c>
      <c r="F88" s="124">
        <v>0.19749673026619483</v>
      </c>
      <c r="G88" s="124">
        <v>0.20185575271309911</v>
      </c>
    </row>
    <row r="89" spans="1:7" s="123" customFormat="1" ht="21">
      <c r="A89" s="138" t="s">
        <v>29</v>
      </c>
      <c r="B89" s="124">
        <v>30.228000000000002</v>
      </c>
      <c r="C89" s="124">
        <v>36.256909999999998</v>
      </c>
      <c r="D89" s="124">
        <v>6.0289099999999962</v>
      </c>
      <c r="E89" s="124">
        <v>19.944786290856143</v>
      </c>
      <c r="F89" s="124">
        <v>2.9069856901061703E-2</v>
      </c>
      <c r="G89" s="124">
        <v>2.8491988401059303E-2</v>
      </c>
    </row>
    <row r="90" spans="1:7" s="123" customFormat="1" ht="21">
      <c r="A90" s="138" t="s">
        <v>30</v>
      </c>
      <c r="B90" s="143">
        <v>88.186999999999998</v>
      </c>
      <c r="C90" s="143">
        <v>111.133</v>
      </c>
      <c r="D90" s="143">
        <v>22.945999999999998</v>
      </c>
      <c r="E90" s="143">
        <v>26.019708120244474</v>
      </c>
      <c r="F90" s="124">
        <v>8.4808239729189105E-2</v>
      </c>
      <c r="G90" s="124">
        <v>8.7332322224230471E-2</v>
      </c>
    </row>
    <row r="91" spans="1:7" s="123" customFormat="1" ht="21">
      <c r="A91" s="142" t="s">
        <v>35</v>
      </c>
      <c r="B91" s="124">
        <v>3.4249999999999998</v>
      </c>
      <c r="C91" s="124">
        <v>2.9143849999999998</v>
      </c>
      <c r="D91" s="124">
        <v>-0.51061500000000004</v>
      </c>
      <c r="E91" s="124">
        <v>-14.908467153284676</v>
      </c>
      <c r="F91" s="124">
        <v>3.2937759655331587E-3</v>
      </c>
      <c r="G91" s="124">
        <v>2.2902289140531067E-3</v>
      </c>
    </row>
    <row r="92" spans="1:7" s="123" customFormat="1" ht="21">
      <c r="A92" s="140" t="s">
        <v>49</v>
      </c>
      <c r="B92" s="125">
        <v>2660.636</v>
      </c>
      <c r="C92" s="125">
        <v>2887.3520840000001</v>
      </c>
      <c r="D92" s="125">
        <v>226.71608400000014</v>
      </c>
      <c r="E92" s="125">
        <v>8.5211236711823801</v>
      </c>
      <c r="F92" s="125">
        <v>2.5586974919218344</v>
      </c>
      <c r="G92" s="125">
        <v>2.2689854730340344</v>
      </c>
    </row>
    <row r="93" spans="1:7" s="123" customFormat="1" ht="21">
      <c r="A93" s="142" t="s">
        <v>28</v>
      </c>
      <c r="B93" s="143">
        <v>817.149</v>
      </c>
      <c r="C93" s="143">
        <v>743.45262600000001</v>
      </c>
      <c r="D93" s="143">
        <v>-73.696373999999992</v>
      </c>
      <c r="E93" s="143">
        <v>-9.0187192299078873</v>
      </c>
      <c r="F93" s="124">
        <v>0.78584109093706722</v>
      </c>
      <c r="G93" s="124">
        <v>0.58423190494526656</v>
      </c>
    </row>
    <row r="94" spans="1:7" s="123" customFormat="1" ht="21">
      <c r="A94" s="138" t="s">
        <v>29</v>
      </c>
      <c r="B94" s="124">
        <v>38.113999999999997</v>
      </c>
      <c r="C94" s="124">
        <v>47.304011000000003</v>
      </c>
      <c r="D94" s="124">
        <v>9.1900110000000055</v>
      </c>
      <c r="E94" s="124">
        <v>24.111903762397034</v>
      </c>
      <c r="F94" s="124">
        <v>3.6653715956300965E-2</v>
      </c>
      <c r="G94" s="124">
        <v>3.7173199060140036E-2</v>
      </c>
    </row>
    <row r="95" spans="1:7" s="123" customFormat="1" ht="21">
      <c r="A95" s="138" t="s">
        <v>30</v>
      </c>
      <c r="B95" s="124">
        <v>288.09100000000001</v>
      </c>
      <c r="C95" s="124">
        <v>293.60000000000002</v>
      </c>
      <c r="D95" s="124">
        <v>5.5090000000000146</v>
      </c>
      <c r="E95" s="124">
        <v>1.9122430065500282</v>
      </c>
      <c r="F95" s="124">
        <v>0.27705320049238341</v>
      </c>
      <c r="G95" s="124">
        <v>0.23072147611451205</v>
      </c>
    </row>
    <row r="96" spans="1:7" s="123" customFormat="1" ht="21">
      <c r="A96" s="142" t="s">
        <v>37</v>
      </c>
      <c r="B96" s="124">
        <v>1787.9549999999999</v>
      </c>
      <c r="C96" s="124">
        <v>2105.7134980000001</v>
      </c>
      <c r="D96" s="124">
        <v>317.75849800000015</v>
      </c>
      <c r="E96" s="124">
        <v>17.772175362355313</v>
      </c>
      <c r="F96" s="124">
        <v>1.7194520310817047</v>
      </c>
      <c r="G96" s="124">
        <v>1.6547456625776995</v>
      </c>
    </row>
    <row r="97" spans="1:10" s="123" customFormat="1" ht="21">
      <c r="A97" s="142" t="s">
        <v>35</v>
      </c>
      <c r="B97" s="124">
        <v>55.531999999999996</v>
      </c>
      <c r="C97" s="124">
        <v>38.185960000000001</v>
      </c>
      <c r="D97" s="124">
        <v>-17.346039999999995</v>
      </c>
      <c r="E97" s="124">
        <v>-31.236116113232001</v>
      </c>
      <c r="F97" s="124">
        <v>5.3404369903062007E-2</v>
      </c>
      <c r="G97" s="124">
        <v>3.0007905511068501E-2</v>
      </c>
    </row>
    <row r="98" spans="1:10" s="123" customFormat="1" ht="42">
      <c r="A98" s="140" t="s">
        <v>50</v>
      </c>
      <c r="B98" s="125">
        <v>125.348</v>
      </c>
      <c r="C98" s="125">
        <v>128.52607399999999</v>
      </c>
      <c r="D98" s="125">
        <v>3.1780739999999952</v>
      </c>
      <c r="E98" s="125">
        <v>2.5354006446054171</v>
      </c>
      <c r="F98" s="125">
        <v>0.12054546853362057</v>
      </c>
      <c r="G98" s="125">
        <v>0.10100042749483311</v>
      </c>
    </row>
    <row r="99" spans="1:10" s="123" customFormat="1" ht="21">
      <c r="A99" s="142" t="s">
        <v>28</v>
      </c>
      <c r="B99" s="143">
        <v>121.565</v>
      </c>
      <c r="C99" s="143">
        <v>125.49643399999999</v>
      </c>
      <c r="D99" s="143">
        <v>3.9314339999999959</v>
      </c>
      <c r="E99" s="143">
        <v>3.2340180150536639</v>
      </c>
      <c r="F99" s="124">
        <v>0.11690740883212802</v>
      </c>
      <c r="G99" s="124">
        <v>9.8619627042191529E-2</v>
      </c>
      <c r="J99" s="128">
        <f>124.838721-3.273399</f>
        <v>121.56532200000001</v>
      </c>
    </row>
    <row r="100" spans="1:10" s="123" customFormat="1" ht="21">
      <c r="A100" s="138" t="s">
        <v>29</v>
      </c>
      <c r="B100" s="143">
        <v>13.093</v>
      </c>
      <c r="C100" s="143">
        <v>15.71233</v>
      </c>
      <c r="D100" s="143">
        <v>2.6193299999999997</v>
      </c>
      <c r="E100" s="143">
        <v>20.005575498357899</v>
      </c>
      <c r="F100" s="124">
        <v>1.2591360209262964E-2</v>
      </c>
      <c r="G100" s="124">
        <v>1.2347315976833553E-2</v>
      </c>
    </row>
    <row r="101" spans="1:10" s="123" customFormat="1" ht="29.25" customHeight="1">
      <c r="A101" s="142" t="s">
        <v>35</v>
      </c>
      <c r="B101" s="143">
        <v>3.7829999999999999</v>
      </c>
      <c r="C101" s="124">
        <v>3.0296400000000001</v>
      </c>
      <c r="D101" s="143">
        <v>-0.75335999999999981</v>
      </c>
      <c r="E101" s="143">
        <v>-19.914353687549564</v>
      </c>
      <c r="F101" s="124">
        <v>3.6380597014925371E-3</v>
      </c>
      <c r="G101" s="124">
        <v>2.380800452641588E-3</v>
      </c>
    </row>
    <row r="102" spans="1:10" s="123" customFormat="1" ht="27" customHeight="1">
      <c r="A102" s="140" t="s">
        <v>51</v>
      </c>
      <c r="B102" s="125">
        <v>3646.4650000000001</v>
      </c>
      <c r="C102" s="125">
        <v>3966.5043089999999</v>
      </c>
      <c r="D102" s="125">
        <v>320.03930899999978</v>
      </c>
      <c r="E102" s="125">
        <v>8.7767004208185142</v>
      </c>
      <c r="F102" s="125">
        <v>3.5067558470533928</v>
      </c>
      <c r="G102" s="125">
        <v>3.1170222383755197</v>
      </c>
    </row>
    <row r="103" spans="1:10" s="123" customFormat="1" ht="21">
      <c r="A103" s="142" t="s">
        <v>28</v>
      </c>
      <c r="B103" s="124">
        <v>3646.4650000000001</v>
      </c>
      <c r="C103" s="124">
        <v>3966.5043089999999</v>
      </c>
      <c r="D103" s="124">
        <v>320.03930899999978</v>
      </c>
      <c r="E103" s="124">
        <v>8.7767004208185142</v>
      </c>
      <c r="F103" s="124">
        <v>3.5067558470533928</v>
      </c>
      <c r="G103" s="124">
        <v>3.1170222383755197</v>
      </c>
    </row>
    <row r="104" spans="1:10" s="123" customFormat="1" ht="21" customHeight="1">
      <c r="A104" s="137" t="s">
        <v>52</v>
      </c>
      <c r="B104" s="124">
        <v>300</v>
      </c>
      <c r="C104" s="124">
        <v>100</v>
      </c>
      <c r="D104" s="124">
        <v>-200</v>
      </c>
      <c r="E104" s="124">
        <v>-66.666666666666657</v>
      </c>
      <c r="F104" s="124">
        <v>0.28850592398830588</v>
      </c>
      <c r="G104" s="124">
        <v>7.8583609030828352E-2</v>
      </c>
    </row>
    <row r="105" spans="1:10" s="123" customFormat="1" ht="21">
      <c r="A105" s="144" t="s">
        <v>53</v>
      </c>
      <c r="B105" s="121">
        <v>1187</v>
      </c>
      <c r="C105" s="121">
        <v>1349.8</v>
      </c>
      <c r="D105" s="121">
        <v>162.79999999999995</v>
      </c>
      <c r="E105" s="121">
        <v>13.715248525695031</v>
      </c>
      <c r="F105" s="121">
        <v>1.141521772580397</v>
      </c>
      <c r="G105" s="121">
        <v>1.060721554698121</v>
      </c>
    </row>
    <row r="106" spans="1:10" s="123" customFormat="1" ht="21">
      <c r="A106" s="144" t="s">
        <v>54</v>
      </c>
      <c r="B106" s="121">
        <v>108.99000000000001</v>
      </c>
      <c r="C106" s="121">
        <v>259.7</v>
      </c>
      <c r="D106" s="121">
        <v>150.70999999999998</v>
      </c>
      <c r="E106" s="121">
        <v>138.27874116891456</v>
      </c>
      <c r="F106" s="121">
        <v>0.10481420218495155</v>
      </c>
      <c r="G106" s="121">
        <v>0.2040816326530612</v>
      </c>
    </row>
    <row r="107" spans="1:10" s="123" customFormat="1" ht="21">
      <c r="A107" s="144" t="s">
        <v>55</v>
      </c>
      <c r="B107" s="121">
        <v>1169.761</v>
      </c>
      <c r="C107" s="121">
        <v>1161.8000000000002</v>
      </c>
      <c r="D107" s="121">
        <v>-7.9609999999997854</v>
      </c>
      <c r="E107" s="121">
        <v>-0.6805663721050621</v>
      </c>
      <c r="F107" s="121">
        <v>1.1249432605016156</v>
      </c>
      <c r="G107" s="121">
        <v>0.91298436972016384</v>
      </c>
    </row>
    <row r="108" spans="1:10" s="123" customFormat="1" ht="21">
      <c r="A108" s="144" t="s">
        <v>56</v>
      </c>
      <c r="B108" s="121">
        <v>109.8</v>
      </c>
      <c r="C108" s="124">
        <v>119.9</v>
      </c>
      <c r="D108" s="121">
        <v>10.100000000000009</v>
      </c>
      <c r="E108" s="121">
        <v>9.198542805100189</v>
      </c>
      <c r="F108" s="121">
        <v>0.10559316817971996</v>
      </c>
      <c r="G108" s="121">
        <v>9.4221747227963198E-2</v>
      </c>
    </row>
    <row r="109" spans="1:10" s="4" customFormat="1" ht="21">
      <c r="A109" s="144" t="s">
        <v>57</v>
      </c>
      <c r="B109" s="121">
        <v>1059.961</v>
      </c>
      <c r="C109" s="121">
        <v>1041.9000000000001</v>
      </c>
      <c r="D109" s="121">
        <v>-18.060999999999922</v>
      </c>
      <c r="E109" s="121">
        <v>-1.7039306163151196</v>
      </c>
      <c r="F109" s="121">
        <v>1.0193500923218957</v>
      </c>
      <c r="G109" s="121">
        <v>0.81876262249220066</v>
      </c>
    </row>
    <row r="110" spans="1:10" s="6" customFormat="1" ht="23.25" customHeight="1">
      <c r="A110" s="145" t="s">
        <v>58</v>
      </c>
      <c r="B110" s="146">
        <v>-623.92500000000291</v>
      </c>
      <c r="C110" s="146">
        <v>-1030.7615080000032</v>
      </c>
      <c r="D110" s="146">
        <v>-406.83650800000032</v>
      </c>
      <c r="E110" s="146">
        <v>65.205995592418702</v>
      </c>
      <c r="F110" s="146">
        <v>-0.60002019541468199</v>
      </c>
      <c r="G110" s="146">
        <v>-0.81000959348699297</v>
      </c>
    </row>
    <row r="111" spans="1:10" ht="22.5">
      <c r="B111" s="57"/>
    </row>
    <row r="114" spans="2:2">
      <c r="B114" s="122"/>
    </row>
    <row r="116" spans="2:2">
      <c r="B116" s="122"/>
    </row>
  </sheetData>
  <mergeCells count="3">
    <mergeCell ref="C1:D1"/>
    <mergeCell ref="A3:G3"/>
    <mergeCell ref="F4:G4"/>
  </mergeCells>
  <pageMargins left="0.6692913385826772" right="0.27559055118110237" top="0.74" bottom="0.44" header="0.19685039370078741" footer="0.19685039370078741"/>
  <pageSetup paperSize="8" scale="90" orientation="landscape" r:id="rId1"/>
  <headerFooter>
    <oddFooter>&amp;C&amp;P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35"/>
  <sheetViews>
    <sheetView zoomScaleNormal="100" zoomScaleSheetLayoutView="100" workbookViewId="0">
      <pane ySplit="3" topLeftCell="A4" activePane="bottomLeft" state="frozen"/>
      <selection pane="bottomLeft" activeCell="M7" sqref="M7"/>
      <selection activeCell="D17" sqref="D17"/>
    </sheetView>
  </sheetViews>
  <sheetFormatPr defaultColWidth="9.140625" defaultRowHeight="15"/>
  <cols>
    <col min="1" max="1" width="59.140625" style="10" customWidth="1"/>
    <col min="2" max="2" width="15.85546875" style="10" hidden="1" customWidth="1"/>
    <col min="3" max="3" width="15.85546875" style="10" customWidth="1"/>
    <col min="4" max="5" width="15.28515625" style="10" customWidth="1"/>
    <col min="6" max="6" width="15.28515625" style="35" customWidth="1"/>
    <col min="7" max="7" width="15.28515625" style="10" customWidth="1"/>
    <col min="8" max="8" width="15.28515625" style="10" hidden="1" customWidth="1"/>
    <col min="9" max="9" width="15.28515625" style="10" customWidth="1"/>
    <col min="10" max="10" width="13" style="10" customWidth="1"/>
    <col min="11" max="11" width="9.140625" style="10"/>
    <col min="12" max="12" width="19.28515625" style="10" customWidth="1"/>
    <col min="13" max="13" width="9.140625" style="10"/>
    <col min="14" max="14" width="9.140625" style="10" customWidth="1"/>
    <col min="15" max="16384" width="9.140625" style="10"/>
  </cols>
  <sheetData>
    <row r="1" spans="1:10" ht="62.25" customHeight="1">
      <c r="A1" s="152" t="s">
        <v>75</v>
      </c>
      <c r="B1" s="152"/>
      <c r="C1" s="152"/>
      <c r="D1" s="152"/>
      <c r="E1" s="152"/>
      <c r="F1" s="152"/>
      <c r="G1" s="152"/>
      <c r="H1" s="152"/>
      <c r="I1" s="152"/>
      <c r="J1" s="152"/>
    </row>
    <row r="2" spans="1:10" ht="14.25" customHeight="1">
      <c r="A2" s="11"/>
      <c r="B2" s="11"/>
      <c r="C2" s="11"/>
      <c r="D2" s="11"/>
      <c r="E2" s="11"/>
      <c r="F2" s="32"/>
      <c r="G2" s="11"/>
      <c r="H2" s="11"/>
      <c r="I2" s="155" t="s">
        <v>1</v>
      </c>
      <c r="J2" s="155"/>
    </row>
    <row r="3" spans="1:10" ht="51.75">
      <c r="A3" s="108" t="s">
        <v>76</v>
      </c>
      <c r="B3" s="108" t="s">
        <v>77</v>
      </c>
      <c r="C3" s="108" t="s">
        <v>78</v>
      </c>
      <c r="D3" s="108" t="s">
        <v>79</v>
      </c>
      <c r="E3" s="108" t="s">
        <v>80</v>
      </c>
      <c r="F3" s="108" t="s">
        <v>81</v>
      </c>
      <c r="G3" s="108" t="s">
        <v>82</v>
      </c>
      <c r="H3" s="108" t="s">
        <v>83</v>
      </c>
      <c r="I3" s="108" t="s">
        <v>84</v>
      </c>
      <c r="J3" s="108" t="s">
        <v>85</v>
      </c>
    </row>
    <row r="4" spans="1:10" s="12" customFormat="1" ht="21.75" customHeight="1">
      <c r="A4" s="109" t="s">
        <v>10</v>
      </c>
      <c r="B4" s="110">
        <v>103964</v>
      </c>
      <c r="C4" s="110">
        <v>115184</v>
      </c>
      <c r="D4" s="110">
        <v>126995</v>
      </c>
      <c r="E4" s="111">
        <f>Таблица224[[#This Row],[Столбец20]]/Таблица224[[#This Row],[Столбец14]]*100-100</f>
        <v>10.254028337269077</v>
      </c>
      <c r="F4" s="111" t="s">
        <v>86</v>
      </c>
      <c r="G4" s="111" t="s">
        <v>86</v>
      </c>
      <c r="H4" s="111" t="s">
        <v>86</v>
      </c>
      <c r="I4" s="111" t="s">
        <v>86</v>
      </c>
      <c r="J4" s="111">
        <f>Таблица224[[#This Row],[Столбец20]]/Таблица224[[#This Row],[Столбец14]]*100-100</f>
        <v>10.254028337269077</v>
      </c>
    </row>
    <row r="5" spans="1:10" ht="18.75">
      <c r="A5" s="13" t="s">
        <v>12</v>
      </c>
      <c r="B5" s="14">
        <v>12.2</v>
      </c>
      <c r="C5" s="14">
        <f>C4/B4*100-100</f>
        <v>10.792197299065066</v>
      </c>
      <c r="D5" s="14">
        <f>D4/C4*100-100</f>
        <v>10.254028337269077</v>
      </c>
      <c r="E5" s="14" t="s">
        <v>11</v>
      </c>
      <c r="F5" s="14" t="s">
        <v>11</v>
      </c>
      <c r="G5" s="14" t="s">
        <v>11</v>
      </c>
      <c r="H5" s="14" t="s">
        <v>11</v>
      </c>
      <c r="I5" s="14" t="s">
        <v>11</v>
      </c>
      <c r="J5" s="14" t="s">
        <v>11</v>
      </c>
    </row>
    <row r="6" spans="1:10" ht="18.75">
      <c r="A6" s="13" t="s">
        <v>13</v>
      </c>
      <c r="B6" s="14">
        <v>7.9</v>
      </c>
      <c r="C6" s="14">
        <v>7.8</v>
      </c>
      <c r="D6" s="14">
        <v>8</v>
      </c>
      <c r="E6" s="14" t="s">
        <v>11</v>
      </c>
      <c r="F6" s="14" t="s">
        <v>11</v>
      </c>
      <c r="G6" s="14" t="s">
        <v>11</v>
      </c>
      <c r="H6" s="14" t="s">
        <v>11</v>
      </c>
      <c r="I6" s="14" t="s">
        <v>11</v>
      </c>
      <c r="J6" s="14" t="s">
        <v>11</v>
      </c>
    </row>
    <row r="7" spans="1:10" ht="18.75">
      <c r="A7" s="13" t="s">
        <v>14</v>
      </c>
      <c r="B7" s="14">
        <v>7</v>
      </c>
      <c r="C7" s="14">
        <v>6.9</v>
      </c>
      <c r="D7" s="14">
        <v>6.8</v>
      </c>
      <c r="E7" s="14" t="s">
        <v>11</v>
      </c>
      <c r="F7" s="14" t="s">
        <v>11</v>
      </c>
      <c r="G7" s="14" t="s">
        <v>11</v>
      </c>
      <c r="H7" s="14" t="s">
        <v>11</v>
      </c>
      <c r="I7" s="14" t="s">
        <v>11</v>
      </c>
      <c r="J7" s="14" t="s">
        <v>11</v>
      </c>
    </row>
    <row r="8" spans="1:10" ht="18.75">
      <c r="A8" s="13" t="s">
        <v>15</v>
      </c>
      <c r="B8" s="14">
        <v>3.4</v>
      </c>
      <c r="C8" s="14">
        <v>3.5</v>
      </c>
      <c r="D8" s="14">
        <v>2</v>
      </c>
      <c r="E8" s="14" t="s">
        <v>11</v>
      </c>
      <c r="F8" s="14" t="s">
        <v>11</v>
      </c>
      <c r="G8" s="14" t="s">
        <v>11</v>
      </c>
      <c r="H8" s="14" t="s">
        <v>11</v>
      </c>
      <c r="I8" s="14" t="s">
        <v>11</v>
      </c>
      <c r="J8" s="14" t="s">
        <v>11</v>
      </c>
    </row>
    <row r="9" spans="1:10" s="16" customFormat="1" ht="21.75" hidden="1" customHeight="1">
      <c r="A9" s="13" t="s">
        <v>16</v>
      </c>
      <c r="B9" s="15">
        <v>11</v>
      </c>
      <c r="C9" s="15" t="s">
        <v>11</v>
      </c>
      <c r="D9" s="15" t="s">
        <v>11</v>
      </c>
      <c r="E9" s="14" t="s">
        <v>11</v>
      </c>
      <c r="F9" s="33" t="s">
        <v>11</v>
      </c>
      <c r="G9" s="15" t="s">
        <v>11</v>
      </c>
      <c r="H9" s="15" t="s">
        <v>11</v>
      </c>
      <c r="I9" s="15" t="s">
        <v>11</v>
      </c>
      <c r="J9" s="15" t="s">
        <v>11</v>
      </c>
    </row>
    <row r="10" spans="1:10" ht="21.75" customHeight="1">
      <c r="A10" s="100" t="s">
        <v>17</v>
      </c>
      <c r="B10" s="101">
        <f>B11+B14+B15</f>
        <v>30374.400000000001</v>
      </c>
      <c r="C10" s="101">
        <f>C11+C14+C15</f>
        <v>33556.861000000004</v>
      </c>
      <c r="D10" s="101">
        <f>D11+D14+D15</f>
        <v>36125.369999999995</v>
      </c>
      <c r="E10" s="101">
        <f>Таблица224[[#This Row],[Столбец20]]/Таблица224[[#This Row],[Столбец14]]*100-100</f>
        <v>7.6541992411030009</v>
      </c>
      <c r="F10" s="101">
        <f>Таблица224[[#This Row],[Столбец14]]-Таблица224[[#This Row],[Столбец5]]</f>
        <v>3182.461000000003</v>
      </c>
      <c r="G10" s="101">
        <f>Таблица224[[#This Row],[Столбец20]]-Таблица224[[#This Row],[Столбец14]]</f>
        <v>2568.5089999999909</v>
      </c>
      <c r="H10" s="101">
        <f>Таблица224[[#This Row],[Столбец5]]/$B$4*100</f>
        <v>29.216267169404798</v>
      </c>
      <c r="I10" s="101">
        <f>Таблица224[[#This Row],[Столбец14]]/$C$4*100</f>
        <v>29.133265904986803</v>
      </c>
      <c r="J10" s="101">
        <f>Таблица224[[#This Row],[Столбец20]]/$D$4*100</f>
        <v>28.446293161148073</v>
      </c>
    </row>
    <row r="11" spans="1:10" ht="18.75">
      <c r="A11" s="100" t="s">
        <v>23</v>
      </c>
      <c r="B11" s="101">
        <v>6463.9</v>
      </c>
      <c r="C11" s="101">
        <f>C24</f>
        <v>7746.5609999999997</v>
      </c>
      <c r="D11" s="101">
        <f>D24</f>
        <v>8034.87</v>
      </c>
      <c r="E11" s="101">
        <f>Таблица224[[#This Row],[Столбец20]]/Таблица224[[#This Row],[Столбец14]]*100-100</f>
        <v>3.7217676334053209</v>
      </c>
      <c r="F11" s="101">
        <f>Таблица224[[#This Row],[Столбец14]]-Таблица224[[#This Row],[Столбец5]]</f>
        <v>1282.6610000000001</v>
      </c>
      <c r="G11" s="101">
        <f>Таблица224[[#This Row],[Столбец20]]-Таблица224[[#This Row],[Столбец14]]</f>
        <v>288.3090000000002</v>
      </c>
      <c r="H11" s="101">
        <f>Таблица224[[#This Row],[Столбец5]]/$B$4*100</f>
        <v>6.2174406525335684</v>
      </c>
      <c r="I11" s="101">
        <f>Таблица224[[#This Row],[Столбец14]]/$C$4*100</f>
        <v>6.7253793929712451</v>
      </c>
      <c r="J11" s="101">
        <f>Таблица224[[#This Row],[Столбец20]]/$D$4*100</f>
        <v>6.3269183826134885</v>
      </c>
    </row>
    <row r="12" spans="1:10" ht="21.75" customHeight="1">
      <c r="A12" s="17" t="s">
        <v>24</v>
      </c>
      <c r="B12" s="18">
        <v>3463.2</v>
      </c>
      <c r="C12" s="18">
        <v>4391.3</v>
      </c>
      <c r="D12" s="18">
        <v>4958.1000000000004</v>
      </c>
      <c r="E12" s="18">
        <f>Таблица224[[#This Row],[Столбец20]]/Таблица224[[#This Row],[Столбец14]]*100-100</f>
        <v>12.907339512217348</v>
      </c>
      <c r="F12" s="18">
        <f>Таблица224[[#This Row],[Столбец14]]-Таблица224[[#This Row],[Столбец5]]</f>
        <v>928.10000000000036</v>
      </c>
      <c r="G12" s="18">
        <f>Таблица224[[#This Row],[Столбец20]]-Таблица224[[#This Row],[Столбец14]]</f>
        <v>566.80000000000018</v>
      </c>
      <c r="H12" s="18">
        <f>Таблица224[[#This Row],[Столбец5]]/$B$4*100</f>
        <v>3.331153091454734</v>
      </c>
      <c r="I12" s="18">
        <f>Таблица224[[#This Row],[Столбец14]]/$C$4*100</f>
        <v>3.8124218641477983</v>
      </c>
      <c r="J12" s="18">
        <f>Таблица224[[#This Row],[Столбец20]]/$D$4*100</f>
        <v>3.9041694554903734</v>
      </c>
    </row>
    <row r="13" spans="1:10" ht="21.75" customHeight="1">
      <c r="A13" s="17" t="s">
        <v>25</v>
      </c>
      <c r="B13" s="18">
        <v>3000.7</v>
      </c>
      <c r="C13" s="18">
        <v>3355.3</v>
      </c>
      <c r="D13" s="18">
        <v>3075.9</v>
      </c>
      <c r="E13" s="18">
        <f>Таблица224[[#This Row],[Столбец20]]/Таблица224[[#This Row],[Столбец14]]*100-100</f>
        <v>-8.3271242511846992</v>
      </c>
      <c r="F13" s="18">
        <f>Таблица224[[#This Row],[Столбец14]]-Таблица224[[#This Row],[Столбец5]]</f>
        <v>354.60000000000036</v>
      </c>
      <c r="G13" s="18">
        <f>Таблица224[[#This Row],[Столбец20]]-Таблица224[[#This Row],[Столбец14]]</f>
        <v>-279.40000000000009</v>
      </c>
      <c r="H13" s="18">
        <f>Таблица224[[#This Row],[Столбец5]]/$B$4*100</f>
        <v>2.8862875610788348</v>
      </c>
      <c r="I13" s="18">
        <f>Таблица224[[#This Row],[Столбец14]]/$C$4*100</f>
        <v>2.9129913876927356</v>
      </c>
      <c r="J13" s="18">
        <f>Таблица224[[#This Row],[Столбец20]]/$D$4*100</f>
        <v>2.4220638607819209</v>
      </c>
    </row>
    <row r="14" spans="1:10" s="12" customFormat="1" ht="23.25" customHeight="1">
      <c r="A14" s="100" t="s">
        <v>26</v>
      </c>
      <c r="B14" s="14">
        <v>2378.5</v>
      </c>
      <c r="C14" s="101">
        <v>2714.3</v>
      </c>
      <c r="D14" s="101">
        <v>3190.5</v>
      </c>
      <c r="E14" s="101">
        <f>Таблица224[[#This Row],[Столбец20]]/Таблица224[[#This Row],[Столбец14]]*100-100</f>
        <v>17.544118188851627</v>
      </c>
      <c r="F14" s="101">
        <f>Таблица224[[#This Row],[Столбец14]]-Таблица224[[#This Row],[Столбец5]]</f>
        <v>335.80000000000018</v>
      </c>
      <c r="G14" s="101">
        <f>Таблица224[[#This Row],[Столбец20]]-Таблица224[[#This Row],[Столбец14]]</f>
        <v>476.19999999999982</v>
      </c>
      <c r="H14" s="101">
        <f>Таблица224[[#This Row],[Столбец5]]/$B$4*100</f>
        <v>2.2878111654034092</v>
      </c>
      <c r="I14" s="101">
        <f>Таблица224[[#This Row],[Столбец14]]/$C$4*100</f>
        <v>2.3564904847895543</v>
      </c>
      <c r="J14" s="101">
        <f>Таблица224[[#This Row],[Столбец20]]/$D$4*100</f>
        <v>2.5123036340013387</v>
      </c>
    </row>
    <row r="15" spans="1:10" s="16" customFormat="1" ht="23.25" customHeight="1">
      <c r="A15" s="102" t="s">
        <v>87</v>
      </c>
      <c r="B15" s="101">
        <f>B16+B17+B18</f>
        <v>21532</v>
      </c>
      <c r="C15" s="101">
        <f>C16+C17+C18</f>
        <v>23096</v>
      </c>
      <c r="D15" s="101">
        <f>D16+D17+D18</f>
        <v>24900</v>
      </c>
      <c r="E15" s="101">
        <f>Таблица224[[#This Row],[Столбец20]]/Таблица224[[#This Row],[Столбец14]]*100-100</f>
        <v>7.8108763422237644</v>
      </c>
      <c r="F15" s="101">
        <f>Таблица224[[#This Row],[Столбец14]]-Таблица224[[#This Row],[Столбец5]]</f>
        <v>1564</v>
      </c>
      <c r="G15" s="101">
        <f>Таблица224[[#This Row],[Столбец20]]-Таблица224[[#This Row],[Столбец14]]</f>
        <v>1804</v>
      </c>
      <c r="H15" s="101">
        <f>Таблица224[[#This Row],[Столбец5]]/$B$4*100</f>
        <v>20.711015351467815</v>
      </c>
      <c r="I15" s="101">
        <f>Таблица224[[#This Row],[Столбец14]]/$C$4*100</f>
        <v>20.051396027226005</v>
      </c>
      <c r="J15" s="101">
        <f>Таблица224[[#This Row],[Столбец20]]/$D$4*100</f>
        <v>19.607071144533251</v>
      </c>
    </row>
    <row r="16" spans="1:10" s="16" customFormat="1" ht="21.75" customHeight="1">
      <c r="A16" s="17" t="s">
        <v>74</v>
      </c>
      <c r="B16" s="18">
        <v>19580</v>
      </c>
      <c r="C16" s="18">
        <f>20356+900</f>
        <v>21256</v>
      </c>
      <c r="D16" s="18">
        <f>21900+900</f>
        <v>22800</v>
      </c>
      <c r="E16" s="18">
        <f>Таблица224[[#This Row],[Столбец20]]/Таблица224[[#This Row],[Столбец14]]*100-100</f>
        <v>7.2638313887843537</v>
      </c>
      <c r="F16" s="18">
        <f>Таблица224[[#This Row],[Столбец14]]-Таблица224[[#This Row],[Столбец5]]</f>
        <v>1676</v>
      </c>
      <c r="G16" s="18">
        <f>Таблица224[[#This Row],[Столбец20]]-Таблица224[[#This Row],[Столбец14]]</f>
        <v>1544</v>
      </c>
      <c r="H16" s="18">
        <f>Таблица224[[#This Row],[Столбец5]]/$B$4*100</f>
        <v>18.833442345427262</v>
      </c>
      <c r="I16" s="14">
        <f>Таблица224[[#This Row],[Столбец14]]/$C$4*100</f>
        <v>18.453951937769133</v>
      </c>
      <c r="J16" s="18">
        <f>Таблица224[[#This Row],[Столбец20]]/$D$4*100</f>
        <v>17.953462734753337</v>
      </c>
    </row>
    <row r="17" spans="1:10" s="16" customFormat="1" ht="21.75" customHeight="1">
      <c r="A17" s="17" t="s">
        <v>20</v>
      </c>
      <c r="B17" s="18">
        <v>1420</v>
      </c>
      <c r="C17" s="18">
        <v>1540</v>
      </c>
      <c r="D17" s="18">
        <v>1800</v>
      </c>
      <c r="E17" s="18">
        <f>Таблица224[[#This Row],[Столбец20]]/Таблица224[[#This Row],[Столбец14]]*100-100</f>
        <v>16.883116883116884</v>
      </c>
      <c r="F17" s="18">
        <f>Таблица224[[#This Row],[Столбец14]]-Таблица224[[#This Row],[Столбец5]]</f>
        <v>120</v>
      </c>
      <c r="G17" s="18">
        <f>Таблица224[[#This Row],[Столбец20]]-Таблица224[[#This Row],[Столбец14]]</f>
        <v>260</v>
      </c>
      <c r="H17" s="18">
        <f>Таблица224[[#This Row],[Столбец5]]/$B$4*100</f>
        <v>1.3658574121811395</v>
      </c>
      <c r="I17" s="14">
        <f>Таблица224[[#This Row],[Столбец14]]/$C$4*100</f>
        <v>1.3369912487845534</v>
      </c>
      <c r="J17" s="18">
        <f>Таблица224[[#This Row],[Столбец20]]/$D$4*100</f>
        <v>1.4173786369542107</v>
      </c>
    </row>
    <row r="18" spans="1:10" s="16" customFormat="1" ht="21.75" customHeight="1">
      <c r="A18" s="17" t="s">
        <v>22</v>
      </c>
      <c r="B18" s="18">
        <v>532</v>
      </c>
      <c r="C18" s="18">
        <v>300</v>
      </c>
      <c r="D18" s="18">
        <v>300</v>
      </c>
      <c r="E18" s="18">
        <f>Таблица224[[#This Row],[Столбец20]]/Таблица224[[#This Row],[Столбец14]]*100-100</f>
        <v>0</v>
      </c>
      <c r="F18" s="18">
        <f>Таблица224[[#This Row],[Столбец14]]-Таблица224[[#This Row],[Столбец5]]</f>
        <v>-232</v>
      </c>
      <c r="G18" s="18">
        <f>Таблица224[[#This Row],[Столбец20]]-Таблица224[[#This Row],[Столбец14]]</f>
        <v>0</v>
      </c>
      <c r="H18" s="18">
        <f>Таблица224[[#This Row],[Столбец5]]/$B$4*100</f>
        <v>0.5117155938594129</v>
      </c>
      <c r="I18" s="14">
        <f>Таблица224[[#This Row],[Столбец14]]/$C$4*100</f>
        <v>0.26045284067231561</v>
      </c>
      <c r="J18" s="18">
        <f>Таблица224[[#This Row],[Столбец20]]/$D$4*100</f>
        <v>0.23622977282570179</v>
      </c>
    </row>
    <row r="19" spans="1:10" ht="21.75" customHeight="1">
      <c r="A19" s="102" t="s">
        <v>27</v>
      </c>
      <c r="B19" s="101">
        <f>B20+B24+B27</f>
        <v>31831.510953000001</v>
      </c>
      <c r="C19" s="101">
        <f>C20+C24+C27</f>
        <v>34133.714</v>
      </c>
      <c r="D19" s="101">
        <f>D20+D24+D27</f>
        <v>36764.778000000006</v>
      </c>
      <c r="E19" s="101">
        <f>Таблица224[[#This Row],[Столбец20]]/Таблица224[[#This Row],[Столбец14]]*100-100</f>
        <v>7.7081093490148902</v>
      </c>
      <c r="F19" s="101">
        <f>Таблица224[[#This Row],[Столбец14]]-Таблица224[[#This Row],[Столбец5]]</f>
        <v>2302.2030469999991</v>
      </c>
      <c r="G19" s="101">
        <f>Таблица224[[#This Row],[Столбец20]]-Таблица224[[#This Row],[Столбец14]]</f>
        <v>2631.0640000000058</v>
      </c>
      <c r="H19" s="101">
        <f>Таблица224[[#This Row],[Столбец5]]/$B$4*100</f>
        <v>30.617820546535341</v>
      </c>
      <c r="I19" s="101">
        <f>Таблица224[[#This Row],[Столбец14]]/$C$4*100</f>
        <v>29.634075913321293</v>
      </c>
      <c r="J19" s="101">
        <f>Таблица224[[#This Row],[Столбец20]]/$D$4*100</f>
        <v>28.949783849757871</v>
      </c>
    </row>
    <row r="20" spans="1:10" s="16" customFormat="1" ht="21.75" customHeight="1">
      <c r="A20" s="103" t="s">
        <v>28</v>
      </c>
      <c r="B20" s="101">
        <f t="shared" ref="B20:D21" si="0">B29+B36+B43+B78+B124</f>
        <v>23123.481803000002</v>
      </c>
      <c r="C20" s="101">
        <f t="shared" si="0"/>
        <v>23826.438999999998</v>
      </c>
      <c r="D20" s="101">
        <f t="shared" si="0"/>
        <v>25720.004000000001</v>
      </c>
      <c r="E20" s="101">
        <f>Таблица224[[#This Row],[Столбец20]]/Таблица224[[#This Row],[Столбец14]]*100-100</f>
        <v>7.9473269169597813</v>
      </c>
      <c r="F20" s="101">
        <f>Таблица224[[#This Row],[Столбец14]]-Таблица224[[#This Row],[Столбец5]]</f>
        <v>702.95719699999609</v>
      </c>
      <c r="G20" s="101">
        <f>Таблица224[[#This Row],[Столбец20]]-Таблица224[[#This Row],[Столбец14]]</f>
        <v>1893.5650000000023</v>
      </c>
      <c r="H20" s="101">
        <f>Таблица224[[#This Row],[Столбец5]]/$B$4*100</f>
        <v>22.241816208495251</v>
      </c>
      <c r="I20" s="101">
        <f>Таблица224[[#This Row],[Столбец14]]/$C$4*100</f>
        <v>20.685545735518822</v>
      </c>
      <c r="J20" s="101">
        <f>Таблица224[[#This Row],[Столбец20]]/$D$4*100</f>
        <v>20.252769006653807</v>
      </c>
    </row>
    <row r="21" spans="1:10" s="16" customFormat="1" ht="21.75" customHeight="1">
      <c r="A21" s="19" t="s">
        <v>29</v>
      </c>
      <c r="B21" s="18">
        <f t="shared" si="0"/>
        <v>6580.8811349999987</v>
      </c>
      <c r="C21" s="18">
        <f t="shared" si="0"/>
        <v>6110.2299999999987</v>
      </c>
      <c r="D21" s="18">
        <f t="shared" si="0"/>
        <v>6117.329999999999</v>
      </c>
      <c r="E21" s="18">
        <f>Таблица224[[#This Row],[Столбец20]]/Таблица224[[#This Row],[Столбец14]]*100-100</f>
        <v>0.11619857190319749</v>
      </c>
      <c r="F21" s="18">
        <f>Таблица224[[#This Row],[Столбец14]]-Таблица224[[#This Row],[Столбец5]]</f>
        <v>-470.65113500000007</v>
      </c>
      <c r="G21" s="18">
        <f>Таблица224[[#This Row],[Столбец20]]-Таблица224[[#This Row],[Столбец14]]</f>
        <v>7.1000000000003638</v>
      </c>
      <c r="H21" s="18">
        <f>Таблица224[[#This Row],[Столбец5]]/$B$4*100</f>
        <v>6.3299614626216751</v>
      </c>
      <c r="I21" s="18">
        <f>Таблица224[[#This Row],[Столбец14]]/$C$4*100</f>
        <v>5.3047558688706751</v>
      </c>
      <c r="J21" s="18">
        <f>Таблица224[[#This Row],[Столбец20]]/$D$4*100</f>
        <v>4.816984920666167</v>
      </c>
    </row>
    <row r="22" spans="1:10" s="16" customFormat="1" ht="21.75" customHeight="1">
      <c r="A22" s="19" t="s">
        <v>30</v>
      </c>
      <c r="B22" s="18">
        <f>B31+B38+B45+B80-0.2</f>
        <v>3671.2000000000003</v>
      </c>
      <c r="C22" s="18">
        <f>SUM(C31,C38,C45,C80)</f>
        <v>3981.9399999999996</v>
      </c>
      <c r="D22" s="18">
        <f>SUM(D31,D38,D45,D80,)</f>
        <v>4221.0480000000007</v>
      </c>
      <c r="E22" s="18">
        <f>Таблица224[[#This Row],[Столбец20]]/Таблица224[[#This Row],[Столбец14]]*100-100</f>
        <v>6.0048117249381221</v>
      </c>
      <c r="F22" s="18">
        <f>Таблица224[[#This Row],[Столбец14]]-Таблица224[[#This Row],[Столбец5]]</f>
        <v>310.73999999999933</v>
      </c>
      <c r="G22" s="18">
        <f>Таблица224[[#This Row],[Столбец20]]-Таблица224[[#This Row],[Столбец14]]</f>
        <v>239.10800000000108</v>
      </c>
      <c r="H22" s="18">
        <f>Таблица224[[#This Row],[Столбец5]]/$B$4*100</f>
        <v>3.5312223461967607</v>
      </c>
      <c r="I22" s="18">
        <f>Таблица224[[#This Row],[Столбец14]]/$C$4*100</f>
        <v>3.4570252812890674</v>
      </c>
      <c r="J22" s="18">
        <f>Таблица224[[#This Row],[Столбец20]]/$D$4*100</f>
        <v>3.3237907004212772</v>
      </c>
    </row>
    <row r="23" spans="1:10" ht="21.75" customHeight="1">
      <c r="A23" s="20" t="s">
        <v>31</v>
      </c>
      <c r="B23" s="18">
        <f>B32+B39+B46+B81+B124-B125</f>
        <v>12871.200667999999</v>
      </c>
      <c r="C23" s="18">
        <f>C32+C39+C46+C81+C124-C125</f>
        <v>13734.269</v>
      </c>
      <c r="D23" s="18">
        <f>D32+D39+D46+D81+D124-D125</f>
        <v>15381.626</v>
      </c>
      <c r="E23" s="18">
        <f>Таблица224[[#This Row],[Столбец20]]/Таблица224[[#This Row],[Столбец14]]*100-100</f>
        <v>11.994500763018408</v>
      </c>
      <c r="F23" s="18">
        <f>Таблица224[[#This Row],[Столбец14]]-Таблица224[[#This Row],[Столбец5]]</f>
        <v>863.06833200000074</v>
      </c>
      <c r="G23" s="18">
        <f>Таблица224[[#This Row],[Столбец20]]-Таблица224[[#This Row],[Столбец14]]</f>
        <v>1647.357</v>
      </c>
      <c r="H23" s="18">
        <f>Таблица224[[#This Row],[Столбец5]]/$B$4*100</f>
        <v>12.380440025393405</v>
      </c>
      <c r="I23" s="18">
        <f>Таблица224[[#This Row],[Столбец14]]/$C$4*100</f>
        <v>11.923764585359079</v>
      </c>
      <c r="J23" s="18">
        <f>Таблица224[[#This Row],[Столбец20]]/$D$4*100</f>
        <v>12.111993385566361</v>
      </c>
    </row>
    <row r="24" spans="1:10" s="16" customFormat="1" ht="21.75" customHeight="1">
      <c r="A24" s="103" t="s">
        <v>32</v>
      </c>
      <c r="B24" s="101">
        <f>B33+B40+B47+B82</f>
        <v>6463.9029999999993</v>
      </c>
      <c r="C24" s="101">
        <f>C33+C40+C47+C82</f>
        <v>7746.5609999999997</v>
      </c>
      <c r="D24" s="101">
        <f>D33+D40+D47+D82</f>
        <v>8034.87</v>
      </c>
      <c r="E24" s="101">
        <f>Таблица224[[#This Row],[Столбец20]]/Таблица224[[#This Row],[Столбец14]]*100-100</f>
        <v>3.7217676334053209</v>
      </c>
      <c r="F24" s="101">
        <f>Таблица224[[#This Row],[Столбец14]]-Таблица224[[#This Row],[Столбец5]]</f>
        <v>1282.6580000000004</v>
      </c>
      <c r="G24" s="101">
        <f>Таблица224[[#This Row],[Столбец20]]-Таблица224[[#This Row],[Столбец14]]</f>
        <v>288.3090000000002</v>
      </c>
      <c r="H24" s="101">
        <f>Таблица224[[#This Row],[Столбец5]]/$B$4*100</f>
        <v>6.2174435381478199</v>
      </c>
      <c r="I24" s="101">
        <f>Таблица224[[#This Row],[Столбец14]]/$C$4*100</f>
        <v>6.7253793929712451</v>
      </c>
      <c r="J24" s="101">
        <f>Таблица224[[#This Row],[Столбец20]]/$D$4*100</f>
        <v>6.3269183826134885</v>
      </c>
    </row>
    <row r="25" spans="1:10" s="16" customFormat="1" ht="21.75" customHeight="1">
      <c r="A25" s="19" t="s">
        <v>33</v>
      </c>
      <c r="B25" s="14">
        <f>39.9+45.12+144.477+308.815+475.36+295.327+1044.588+232.91+876.75</f>
        <v>3463.2469999999998</v>
      </c>
      <c r="C25" s="14">
        <f>109.854+59.522+203.574+354.975+530.74+368.216+1631.669+209.226+923.491</f>
        <v>4391.2669999999998</v>
      </c>
      <c r="D25" s="14">
        <v>2861.395</v>
      </c>
      <c r="E25" s="14">
        <f>Таблица224[[#This Row],[Столбец20]]/Таблица224[[#This Row],[Столбец14]]*100-100</f>
        <v>-34.838965610608511</v>
      </c>
      <c r="F25" s="14">
        <f>Таблица224[[#This Row],[Столбец14]]-Таблица224[[#This Row],[Столбец5]]</f>
        <v>928.02</v>
      </c>
      <c r="G25" s="14">
        <f>Таблица224[[#This Row],[Столбец20]]-Таблица224[[#This Row],[Столбец14]]</f>
        <v>-1529.8719999999998</v>
      </c>
      <c r="H25" s="14">
        <f>Таблица224[[#This Row],[Столбец5]]/$B$4*100</f>
        <v>3.3311982994113345</v>
      </c>
      <c r="I25" s="14">
        <f>Таблица224[[#This Row],[Столбец14]]/$C$4*100</f>
        <v>3.8123932143353247</v>
      </c>
      <c r="J25" s="14">
        <f>Таблица224[[#This Row],[Столбец20]]/$D$4*100</f>
        <v>2.2531556360486635</v>
      </c>
    </row>
    <row r="26" spans="1:10" ht="21.75" customHeight="1">
      <c r="A26" s="19" t="s">
        <v>34</v>
      </c>
      <c r="B26" s="14">
        <f>252.39+83.637+93.121+1289.541+512.236+769.731</f>
        <v>3000.6559999999999</v>
      </c>
      <c r="C26" s="14">
        <f>133.317+97.248+24.621+2275.577+304.927+519.606</f>
        <v>3355.2960000000003</v>
      </c>
      <c r="D26" s="14">
        <v>3182.9760000000001</v>
      </c>
      <c r="E26" s="14">
        <f>Таблица224[[#This Row],[Столбец20]]/Таблица224[[#This Row],[Столбец14]]*100-100</f>
        <v>-5.1357614946639529</v>
      </c>
      <c r="F26" s="14">
        <f>Таблица224[[#This Row],[Столбец14]]-Таблица224[[#This Row],[Столбец5]]</f>
        <v>354.64000000000033</v>
      </c>
      <c r="G26" s="14">
        <f>Таблица224[[#This Row],[Столбец20]]-Таблица224[[#This Row],[Столбец14]]</f>
        <v>-172.32000000000016</v>
      </c>
      <c r="H26" s="14">
        <f>Таблица224[[#This Row],[Столбец5]]/$B$4*100</f>
        <v>2.8862452387364854</v>
      </c>
      <c r="I26" s="14">
        <f>Таблица224[[#This Row],[Столбец14]]/$C$4*100</f>
        <v>2.912987914988193</v>
      </c>
      <c r="J26" s="14">
        <f>Таблица224[[#This Row],[Столбец20]]/$D$4*100</f>
        <v>2.5063789912988703</v>
      </c>
    </row>
    <row r="27" spans="1:10" ht="21.75" customHeight="1">
      <c r="A27" s="103" t="s">
        <v>35</v>
      </c>
      <c r="B27" s="101">
        <f>B34+B41+B48+B83</f>
        <v>2244.1261500000001</v>
      </c>
      <c r="C27" s="101">
        <f>C34+C41+C48+C83</f>
        <v>2560.7139999999995</v>
      </c>
      <c r="D27" s="101">
        <f>D34+D41+D48+D83</f>
        <v>3009.904</v>
      </c>
      <c r="E27" s="101">
        <f>Таблица224[[#This Row],[Столбец20]]/Таблица224[[#This Row],[Столбец14]]*100-100</f>
        <v>17.541591915379868</v>
      </c>
      <c r="F27" s="101">
        <f>Таблица224[[#This Row],[Столбец14]]-Таблица224[[#This Row],[Столбец5]]</f>
        <v>316.58784999999943</v>
      </c>
      <c r="G27" s="101">
        <f>Таблица224[[#This Row],[Столбец20]]-Таблица224[[#This Row],[Столбец14]]</f>
        <v>449.19000000000051</v>
      </c>
      <c r="H27" s="101">
        <f>Таблица224[[#This Row],[Столбец5]]/$B$4*100</f>
        <v>2.1585607998922707</v>
      </c>
      <c r="I27" s="101">
        <f>Таблица224[[#This Row],[Столбец14]]/$C$4*100</f>
        <v>2.2231507848312262</v>
      </c>
      <c r="J27" s="101">
        <f>Таблица224[[#This Row],[Столбец20]]/$D$4*100</f>
        <v>2.3700964604905703</v>
      </c>
    </row>
    <row r="28" spans="1:10" ht="24.75" customHeight="1">
      <c r="A28" s="102" t="s">
        <v>36</v>
      </c>
      <c r="B28" s="101">
        <f>B29+B33+B34</f>
        <v>1477.6000000000001</v>
      </c>
      <c r="C28" s="101">
        <f>SUM(C29,C33,C34)</f>
        <v>1623.154</v>
      </c>
      <c r="D28" s="101">
        <f>SUM(D29,D33,D34)</f>
        <v>1954</v>
      </c>
      <c r="E28" s="101">
        <f>Таблица224[[#This Row],[Столбец20]]/Таблица224[[#This Row],[Столбец14]]*100-100</f>
        <v>20.382908830585393</v>
      </c>
      <c r="F28" s="101">
        <f>Таблица224[[#This Row],[Столбец14]]-Таблица224[[#This Row],[Столбец5]]</f>
        <v>145.55399999999986</v>
      </c>
      <c r="G28" s="101">
        <f>Таблица224[[#This Row],[Столбец20]]-Таблица224[[#This Row],[Столбец14]]</f>
        <v>330.846</v>
      </c>
      <c r="H28" s="101">
        <f>Таблица224[[#This Row],[Столбец5]]/$B$4*100</f>
        <v>1.4212612058020084</v>
      </c>
      <c r="I28" s="101">
        <f>Таблица224[[#This Row],[Столбец14]]/$C$4*100</f>
        <v>1.4091835671621058</v>
      </c>
      <c r="J28" s="101">
        <f>Таблица224[[#This Row],[Столбец20]]/$D$4*100</f>
        <v>1.5386432536714043</v>
      </c>
    </row>
    <row r="29" spans="1:10" ht="21.75" customHeight="1">
      <c r="A29" s="21" t="s">
        <v>28</v>
      </c>
      <c r="B29" s="14">
        <f t="shared" ref="B29" si="1">B30+B31+B32</f>
        <v>1175</v>
      </c>
      <c r="C29" s="14">
        <f t="shared" ref="C29:I29" si="2">C30+C31+C32</f>
        <v>1245.4000000000001</v>
      </c>
      <c r="D29" s="14">
        <f t="shared" si="2"/>
        <v>1392.1</v>
      </c>
      <c r="E29" s="14">
        <f>Таблица224[[#This Row],[Столбец20]]/Таблица224[[#This Row],[Столбец14]]*100-100</f>
        <v>11.779348000642358</v>
      </c>
      <c r="F29" s="14">
        <f>Таблица224[[#This Row],[Столбец14]]-Таблица224[[#This Row],[Столбец5]]</f>
        <v>70.400000000000091</v>
      </c>
      <c r="G29" s="14">
        <f>Таблица224[[#This Row],[Столбец20]]-Таблица224[[#This Row],[Столбец14]]</f>
        <v>146.69999999999982</v>
      </c>
      <c r="H29" s="14">
        <f t="shared" si="2"/>
        <v>1.1301989150090415</v>
      </c>
      <c r="I29" s="14">
        <f t="shared" si="2"/>
        <v>1.0812265592443395</v>
      </c>
      <c r="J29" s="14">
        <f>Таблица224[[#This Row],[Столбец20]]/$D$4*100</f>
        <v>1.0961848891688648</v>
      </c>
    </row>
    <row r="30" spans="1:10" ht="19.5" customHeight="1">
      <c r="A30" s="19" t="s">
        <v>29</v>
      </c>
      <c r="B30" s="14">
        <v>491.2</v>
      </c>
      <c r="C30" s="14">
        <v>500.7</v>
      </c>
      <c r="D30" s="14">
        <v>507.8</v>
      </c>
      <c r="E30" s="14">
        <f>Таблица224[[#This Row],[Столбец20]]/Таблица224[[#This Row],[Столбец14]]*100-100</f>
        <v>1.4180147793089617</v>
      </c>
      <c r="F30" s="14">
        <f>Таблица224[[#This Row],[Столбец14]]-Таблица224[[#This Row],[Столбец5]]</f>
        <v>9.5</v>
      </c>
      <c r="G30" s="14">
        <f>Таблица224[[#This Row],[Столбец20]]-Таблица224[[#This Row],[Столбец14]]</f>
        <v>7.1000000000000227</v>
      </c>
      <c r="H30" s="14">
        <f>Таблица224[[#This Row],[Столбец5]]/$B$4*100</f>
        <v>0.47247124004463081</v>
      </c>
      <c r="I30" s="14">
        <f>Таблица224[[#This Row],[Столбец14]]/$C$4*100</f>
        <v>0.43469579108209477</v>
      </c>
      <c r="J30" s="14">
        <f>Таблица224[[#This Row],[Столбец20]]/$D$4*100</f>
        <v>0.3998582621363046</v>
      </c>
    </row>
    <row r="31" spans="1:10" ht="19.5" customHeight="1">
      <c r="A31" s="19" t="s">
        <v>30</v>
      </c>
      <c r="B31" s="14">
        <v>146</v>
      </c>
      <c r="C31" s="14">
        <v>161</v>
      </c>
      <c r="D31" s="14">
        <v>170.7</v>
      </c>
      <c r="E31" s="14">
        <f>Таблица224[[#This Row],[Столбец20]]/Таблица224[[#This Row],[Столбец14]]*100-100</f>
        <v>6.0248447204968869</v>
      </c>
      <c r="F31" s="14">
        <f>Таблица224[[#This Row],[Столбец14]]-Таблица224[[#This Row],[Столбец5]]</f>
        <v>15</v>
      </c>
      <c r="G31" s="14">
        <f>Таблица224[[#This Row],[Столбец20]]-Таблица224[[#This Row],[Столбец14]]</f>
        <v>9.6999999999999886</v>
      </c>
      <c r="H31" s="14">
        <f>Таблица224[[#This Row],[Столбец5]]/$B$4*100</f>
        <v>0.14043322688622983</v>
      </c>
      <c r="I31" s="14">
        <f>Таблица224[[#This Row],[Столбец14]]/$C$4*100</f>
        <v>0.13977635782747602</v>
      </c>
      <c r="J31" s="14">
        <f>Таблица224[[#This Row],[Столбец20]]/$D$4*100</f>
        <v>0.13441474073782431</v>
      </c>
    </row>
    <row r="32" spans="1:10" ht="19.5" customHeight="1">
      <c r="A32" s="19" t="s">
        <v>31</v>
      </c>
      <c r="B32" s="18">
        <f>515.4+22.4</f>
        <v>537.79999999999995</v>
      </c>
      <c r="C32" s="18">
        <f>559.5+24.2</f>
        <v>583.70000000000005</v>
      </c>
      <c r="D32" s="18">
        <f>687.9+25.7</f>
        <v>713.6</v>
      </c>
      <c r="E32" s="18">
        <f>Таблица224[[#This Row],[Столбец20]]/Таблица224[[#This Row],[Столбец14]]*100-100</f>
        <v>22.254582833647405</v>
      </c>
      <c r="F32" s="18">
        <f>Таблица224[[#This Row],[Столбец14]]-Таблица224[[#This Row],[Столбец5]]</f>
        <v>45.900000000000091</v>
      </c>
      <c r="G32" s="18">
        <f>Таблица224[[#This Row],[Столбец20]]-Таблица224[[#This Row],[Столбец14]]</f>
        <v>129.89999999999998</v>
      </c>
      <c r="H32" s="18">
        <f>Таблица224[[#This Row],[Столбец5]]/$B$4*100</f>
        <v>0.51729444807818092</v>
      </c>
      <c r="I32" s="14">
        <f>Таблица224[[#This Row],[Столбец14]]/$C$4*100</f>
        <v>0.50675441033476876</v>
      </c>
      <c r="J32" s="18">
        <f>Таблица224[[#This Row],[Столбец20]]/$D$4*100</f>
        <v>0.5619118862947361</v>
      </c>
    </row>
    <row r="33" spans="1:10" ht="21.75" customHeight="1">
      <c r="A33" s="21" t="s">
        <v>37</v>
      </c>
      <c r="B33" s="14">
        <v>39.9</v>
      </c>
      <c r="C33" s="14">
        <v>109.854</v>
      </c>
      <c r="D33" s="14">
        <v>289.89999999999998</v>
      </c>
      <c r="E33" s="14">
        <f>Таблица224[[#This Row],[Столбец20]]/Таблица224[[#This Row],[Столбец14]]*100-100</f>
        <v>163.89571613232107</v>
      </c>
      <c r="F33" s="14">
        <f>Таблица224[[#This Row],[Столбец14]]-Таблица224[[#This Row],[Столбец5]]</f>
        <v>69.954000000000008</v>
      </c>
      <c r="G33" s="14">
        <f>Таблица224[[#This Row],[Столбец20]]-Таблица224[[#This Row],[Столбец14]]</f>
        <v>180.04599999999999</v>
      </c>
      <c r="H33" s="14">
        <f>Таблица224[[#This Row],[Столбец5]]/$B$4*100</f>
        <v>3.8378669539455963E-2</v>
      </c>
      <c r="I33" s="14">
        <f>Таблица224[[#This Row],[Столбец14]]/$C$4*100</f>
        <v>9.5372621197388527E-2</v>
      </c>
      <c r="J33" s="14">
        <f>Таблица224[[#This Row],[Столбец20]]/$D$4*100</f>
        <v>0.2282767038072365</v>
      </c>
    </row>
    <row r="34" spans="1:10" s="12" customFormat="1" ht="21.75" customHeight="1">
      <c r="A34" s="21" t="s">
        <v>35</v>
      </c>
      <c r="B34" s="14">
        <v>262.7</v>
      </c>
      <c r="C34" s="14">
        <v>267.89999999999998</v>
      </c>
      <c r="D34" s="14">
        <v>272</v>
      </c>
      <c r="E34" s="14">
        <f>Таблица224[[#This Row],[Столбец20]]/Таблица224[[#This Row],[Столбец14]]*100-100</f>
        <v>1.5304217991788107</v>
      </c>
      <c r="F34" s="14">
        <f>Таблица224[[#This Row],[Столбец14]]-Таблица224[[#This Row],[Столбец5]]</f>
        <v>5.1999999999999886</v>
      </c>
      <c r="G34" s="14">
        <f>Таблица224[[#This Row],[Столбец20]]-Таблица224[[#This Row],[Столбец14]]</f>
        <v>4.1000000000000227</v>
      </c>
      <c r="H34" s="14">
        <f>Таблица224[[#This Row],[Столбец5]]/$B$4*100</f>
        <v>0.25268362125351079</v>
      </c>
      <c r="I34" s="14">
        <f>Таблица224[[#This Row],[Столбец14]]/$C$4*100</f>
        <v>0.23258438672037782</v>
      </c>
      <c r="J34" s="14">
        <f>Таблица224[[#This Row],[Столбец20]]/$D$4*100</f>
        <v>0.21418166069530295</v>
      </c>
    </row>
    <row r="35" spans="1:10" ht="39.75" customHeight="1">
      <c r="A35" s="102" t="s">
        <v>38</v>
      </c>
      <c r="B35" s="101">
        <f>SUM(B36,B40,B41)</f>
        <v>2215.8200000000002</v>
      </c>
      <c r="C35" s="101">
        <f>SUM(C36,C40,C41)</f>
        <v>2672.1219999999998</v>
      </c>
      <c r="D35" s="101">
        <f>SUM(D36,D40,D41)</f>
        <v>2959.6200000000003</v>
      </c>
      <c r="E35" s="101">
        <f>Таблица224[[#This Row],[Столбец20]]/Таблица224[[#This Row],[Столбец14]]*100-100</f>
        <v>10.759164439348211</v>
      </c>
      <c r="F35" s="101">
        <f>Таблица224[[#This Row],[Столбец14]]-Таблица224[[#This Row],[Столбец5]]</f>
        <v>456.30199999999968</v>
      </c>
      <c r="G35" s="101">
        <f>Таблица224[[#This Row],[Столбец20]]-Таблица224[[#This Row],[Столбец14]]</f>
        <v>287.4980000000005</v>
      </c>
      <c r="H35" s="101">
        <f>Таблица224[[#This Row],[Столбец5]]/$B$4*100</f>
        <v>2.1313339232811361</v>
      </c>
      <c r="I35" s="101">
        <f>Таблица224[[#This Row],[Столбец14]]/$C$4*100</f>
        <v>2.3198725517432974</v>
      </c>
      <c r="J35" s="101">
        <f>Таблица224[[#This Row],[Столбец20]]/$D$4*100</f>
        <v>2.330501200834679</v>
      </c>
    </row>
    <row r="36" spans="1:10" ht="21.75" customHeight="1">
      <c r="A36" s="21" t="s">
        <v>28</v>
      </c>
      <c r="B36" s="14">
        <f t="shared" ref="B36" si="3">B37+B38+B39</f>
        <v>1928.4</v>
      </c>
      <c r="C36" s="14">
        <f t="shared" ref="C36:I36" si="4">C37+C38+C39</f>
        <v>2357.5</v>
      </c>
      <c r="D36" s="14">
        <f t="shared" si="4"/>
        <v>2597.5</v>
      </c>
      <c r="E36" s="14">
        <f>Таблица224[[#This Row],[Столбец20]]/Таблица224[[#This Row],[Столбец14]]*100-100</f>
        <v>10.180275715800647</v>
      </c>
      <c r="F36" s="14">
        <f>Таблица224[[#This Row],[Столбец14]]-Таблица224[[#This Row],[Столбец5]]</f>
        <v>429.09999999999991</v>
      </c>
      <c r="G36" s="14">
        <f>Таблица224[[#This Row],[Столбец20]]-Таблица224[[#This Row],[Столбец14]]</f>
        <v>240</v>
      </c>
      <c r="H36" s="14">
        <f t="shared" si="4"/>
        <v>1.8548728405986687</v>
      </c>
      <c r="I36" s="14">
        <f t="shared" si="4"/>
        <v>2.0467252396166131</v>
      </c>
      <c r="J36" s="14">
        <f>Таблица224[[#This Row],[Столбец20]]/$D$4*100</f>
        <v>2.0453561163825347</v>
      </c>
    </row>
    <row r="37" spans="1:10" ht="21.75" customHeight="1">
      <c r="A37" s="19" t="s">
        <v>29</v>
      </c>
      <c r="B37" s="14">
        <v>906.4</v>
      </c>
      <c r="C37" s="14">
        <v>906.4</v>
      </c>
      <c r="D37" s="14">
        <v>906.4</v>
      </c>
      <c r="E37" s="14">
        <f>Таблица224[[#This Row],[Столбец20]]/Таблица224[[#This Row],[Столбец14]]*100-100</f>
        <v>0</v>
      </c>
      <c r="F37" s="14">
        <f>Таблица224[[#This Row],[Столбец14]]-Таблица224[[#This Row],[Столбец5]]</f>
        <v>0</v>
      </c>
      <c r="G37" s="14">
        <f>Таблица224[[#This Row],[Столбец20]]-Таблица224[[#This Row],[Столбец14]]</f>
        <v>0</v>
      </c>
      <c r="H37" s="14">
        <f>Таблица224[[#This Row],[Столбец5]]/$B$4*100</f>
        <v>0.8718402523950598</v>
      </c>
      <c r="I37" s="14">
        <f>Таблица224[[#This Row],[Столбец14]]/$C$4*100</f>
        <v>0.78691484928462285</v>
      </c>
      <c r="J37" s="14">
        <f>Таблица224[[#This Row],[Столбец20]]/$D$4*100</f>
        <v>0.71372888696405368</v>
      </c>
    </row>
    <row r="38" spans="1:10" ht="21.75" customHeight="1">
      <c r="A38" s="19" t="s">
        <v>30</v>
      </c>
      <c r="B38" s="14">
        <v>99</v>
      </c>
      <c r="C38" s="14">
        <v>104.9</v>
      </c>
      <c r="D38" s="14">
        <v>111.2</v>
      </c>
      <c r="E38" s="14">
        <f>Таблица224[[#This Row],[Столбец20]]/Таблица224[[#This Row],[Столбец14]]*100-100</f>
        <v>6.0057197330791325</v>
      </c>
      <c r="F38" s="14">
        <f>Таблица224[[#This Row],[Столбец14]]-Таблица224[[#This Row],[Столбец5]]</f>
        <v>5.9000000000000057</v>
      </c>
      <c r="G38" s="14">
        <f>Таблица224[[#This Row],[Столбец20]]-Таблица224[[#This Row],[Столбец14]]</f>
        <v>6.2999999999999972</v>
      </c>
      <c r="H38" s="14">
        <f>Таблица224[[#This Row],[Столбец5]]/$B$4*100</f>
        <v>9.5225270285868191E-2</v>
      </c>
      <c r="I38" s="14">
        <f>Таблица224[[#This Row],[Столбец14]]/$C$4*100</f>
        <v>9.1071676621753028E-2</v>
      </c>
      <c r="J38" s="14">
        <f>Таблица224[[#This Row],[Столбец20]]/$D$4*100</f>
        <v>8.7562502460726804E-2</v>
      </c>
    </row>
    <row r="39" spans="1:10" ht="21.75" customHeight="1">
      <c r="A39" s="19" t="s">
        <v>31</v>
      </c>
      <c r="B39" s="14">
        <f>137.1+785.9</f>
        <v>923</v>
      </c>
      <c r="C39" s="14">
        <f>1208.8+137.4</f>
        <v>1346.2</v>
      </c>
      <c r="D39" s="14">
        <f>1442.3+137.6</f>
        <v>1579.8999999999999</v>
      </c>
      <c r="E39" s="14">
        <f>Таблица224[[#This Row],[Столбец20]]/Таблица224[[#This Row],[Столбец14]]*100-100</f>
        <v>17.359976229386405</v>
      </c>
      <c r="F39" s="14">
        <f>Таблица224[[#This Row],[Столбец14]]-Таблица224[[#This Row],[Столбец5]]</f>
        <v>423.20000000000005</v>
      </c>
      <c r="G39" s="14">
        <f>Таблица224[[#This Row],[Столбец20]]-Таблица224[[#This Row],[Столбец14]]</f>
        <v>233.69999999999982</v>
      </c>
      <c r="H39" s="14">
        <f>Таблица224[[#This Row],[Столбец5]]/$B$4*100</f>
        <v>0.8878073179177407</v>
      </c>
      <c r="I39" s="14">
        <f>Таблица224[[#This Row],[Столбец14]]/$C$4*100</f>
        <v>1.1687387137102374</v>
      </c>
      <c r="J39" s="14">
        <f>Таблица224[[#This Row],[Столбец20]]/$D$4*100</f>
        <v>1.2440647269577543</v>
      </c>
    </row>
    <row r="40" spans="1:10" s="16" customFormat="1" ht="21.75" customHeight="1">
      <c r="A40" s="21" t="s">
        <v>37</v>
      </c>
      <c r="B40" s="14">
        <v>45.12</v>
      </c>
      <c r="C40" s="14">
        <f>59.522</f>
        <v>59.521999999999998</v>
      </c>
      <c r="D40" s="14">
        <v>92.32</v>
      </c>
      <c r="E40" s="14">
        <v>0</v>
      </c>
      <c r="F40" s="14">
        <f>Таблица224[[#This Row],[Столбец14]]-Таблица224[[#This Row],[Столбец5]]</f>
        <v>14.402000000000001</v>
      </c>
      <c r="G40" s="14">
        <f>Таблица224[[#This Row],[Столбец20]]-Таблица224[[#This Row],[Столбец14]]</f>
        <v>32.797999999999995</v>
      </c>
      <c r="H40" s="14">
        <f>Таблица224[[#This Row],[Столбец5]]/$B$4*100</f>
        <v>4.3399638336347197E-2</v>
      </c>
      <c r="I40" s="14">
        <f>Таблица224[[#This Row],[Столбец14]]/$C$4*100</f>
        <v>5.1675579941658556E-2</v>
      </c>
      <c r="J40" s="14">
        <f>Таблица224[[#This Row],[Столбец20]]/$D$4*100</f>
        <v>7.2695775424229295E-2</v>
      </c>
    </row>
    <row r="41" spans="1:10" ht="21.75" customHeight="1">
      <c r="A41" s="21" t="s">
        <v>35</v>
      </c>
      <c r="B41" s="14">
        <v>242.3</v>
      </c>
      <c r="C41" s="14">
        <v>255.1</v>
      </c>
      <c r="D41" s="14">
        <v>269.8</v>
      </c>
      <c r="E41" s="14">
        <f>Таблица224[[#This Row],[Столбец20]]/Таблица224[[#This Row],[Столбец14]]*100-100</f>
        <v>5.7624460995687912</v>
      </c>
      <c r="F41" s="14">
        <f>Таблица224[[#This Row],[Столбец14]]-Таблица224[[#This Row],[Столбец5]]</f>
        <v>12.799999999999983</v>
      </c>
      <c r="G41" s="14">
        <f>Таблица224[[#This Row],[Столбец20]]-Таблица224[[#This Row],[Столбец14]]</f>
        <v>14.700000000000017</v>
      </c>
      <c r="H41" s="14">
        <f>Таблица224[[#This Row],[Столбец5]]/$B$4*100</f>
        <v>0.23306144434611983</v>
      </c>
      <c r="I41" s="14">
        <f>Таблица224[[#This Row],[Столбец14]]/$C$4*100</f>
        <v>0.22147173218502572</v>
      </c>
      <c r="J41" s="14">
        <f>Таблица224[[#This Row],[Столбец20]]/$D$4*100</f>
        <v>0.21244930902791451</v>
      </c>
    </row>
    <row r="42" spans="1:10" ht="22.5" customHeight="1">
      <c r="A42" s="100" t="s">
        <v>39</v>
      </c>
      <c r="B42" s="101">
        <f>SUM(B49,B56,B63,B70)</f>
        <v>14155.846000000001</v>
      </c>
      <c r="C42" s="101">
        <f>SUM(C49,C56,C63,C70)</f>
        <v>15180.228999999999</v>
      </c>
      <c r="D42" s="101">
        <f>SUM(D49,D56,D63,D70)</f>
        <v>16097.25</v>
      </c>
      <c r="E42" s="101">
        <f>Таблица224[[#This Row],[Столбец20]]/Таблица224[[#This Row],[Столбец14]]*100-100</f>
        <v>6.040890423985033</v>
      </c>
      <c r="F42" s="101">
        <f>Таблица224[[#This Row],[Столбец14]]-Таблица224[[#This Row],[Столбец5]]</f>
        <v>1024.382999999998</v>
      </c>
      <c r="G42" s="101">
        <f>Таблица224[[#This Row],[Столбец20]]-Таблица224[[#This Row],[Столбец14]]</f>
        <v>917.02100000000064</v>
      </c>
      <c r="H42" s="101">
        <f>Таблица224[[#This Row],[Столбец5]]/$B$4*100</f>
        <v>13.6161036512639</v>
      </c>
      <c r="I42" s="101">
        <f>Таблица224[[#This Row],[Столбец14]]/$C$4*100</f>
        <v>13.179112550354215</v>
      </c>
      <c r="J42" s="101">
        <f>Таблица224[[#This Row],[Столбец20]]/$D$4*100</f>
        <v>12.675499035395093</v>
      </c>
    </row>
    <row r="43" spans="1:10" ht="22.5" customHeight="1">
      <c r="A43" s="21" t="s">
        <v>28</v>
      </c>
      <c r="B43" s="14">
        <f t="shared" ref="B43:B48" si="5">B50+B57+B64+B71</f>
        <v>11506.7</v>
      </c>
      <c r="C43" s="14">
        <f>SUM(C50,C57,C64,C71)</f>
        <v>12129</v>
      </c>
      <c r="D43" s="14">
        <f>SUM(D50,D57,D64,D71)</f>
        <v>12358.000000000002</v>
      </c>
      <c r="E43" s="18">
        <f>Таблица224[[#This Row],[Столбец20]]/Таблица224[[#This Row],[Столбец14]]*100-100</f>
        <v>1.8880369362684633</v>
      </c>
      <c r="F43" s="14">
        <f>Таблица224[[#This Row],[Столбец14]]-Таблица224[[#This Row],[Столбец5]]</f>
        <v>622.29999999999927</v>
      </c>
      <c r="G43" s="14">
        <f>Таблица224[[#This Row],[Столбец20]]-Таблица224[[#This Row],[Столбец14]]</f>
        <v>229.00000000000182</v>
      </c>
      <c r="H43" s="14">
        <f>Таблица224[[#This Row],[Столбец5]]/$B$4*100</f>
        <v>11.067965834327268</v>
      </c>
      <c r="I43" s="14">
        <f>Таблица224[[#This Row],[Столбец14]]/$C$4*100</f>
        <v>10.53010834838172</v>
      </c>
      <c r="J43" s="14">
        <f>Таблица224[[#This Row],[Столбец20]]/$D$4*100</f>
        <v>9.7310917752667443</v>
      </c>
    </row>
    <row r="44" spans="1:10" ht="22.5" customHeight="1">
      <c r="A44" s="19" t="s">
        <v>29</v>
      </c>
      <c r="B44" s="18">
        <f t="shared" si="5"/>
        <v>4490.5999999999995</v>
      </c>
      <c r="C44" s="18">
        <f>C51+C58+C65+C72</f>
        <v>4500.5999999999995</v>
      </c>
      <c r="D44" s="18">
        <f>D51+D58+D65+D72</f>
        <v>4500.5999999999995</v>
      </c>
      <c r="E44" s="18">
        <f>Таблица224[[#This Row],[Столбец20]]/Таблица224[[#This Row],[Столбец14]]*100-100</f>
        <v>0</v>
      </c>
      <c r="F44" s="18">
        <f>Таблица224[[#This Row],[Столбец14]]-Таблица224[[#This Row],[Столбец5]]</f>
        <v>10</v>
      </c>
      <c r="G44" s="18">
        <f>Таблица224[[#This Row],[Столбец20]]-Таблица224[[#This Row],[Столбец14]]</f>
        <v>0</v>
      </c>
      <c r="H44" s="18">
        <f>Таблица224[[#This Row],[Столбец5]]/$B$4*100</f>
        <v>4.3193797853102991</v>
      </c>
      <c r="I44" s="14">
        <f>Таблица224[[#This Row],[Столбец14]]/$C$4*100</f>
        <v>3.9073135157660781</v>
      </c>
      <c r="J44" s="18">
        <f>Таблица224[[#This Row],[Столбец20]]/$D$4*100</f>
        <v>3.5439190519311778</v>
      </c>
    </row>
    <row r="45" spans="1:10" ht="22.5" customHeight="1">
      <c r="A45" s="19" t="s">
        <v>30</v>
      </c>
      <c r="B45" s="18">
        <f t="shared" si="5"/>
        <v>658.40000000000009</v>
      </c>
      <c r="C45" s="18">
        <f>C52+C59+C66+C73</f>
        <v>738.5</v>
      </c>
      <c r="D45" s="18">
        <f>SUM(D52,D59,D66,D73)</f>
        <v>783</v>
      </c>
      <c r="E45" s="18">
        <f>Таблица224[[#This Row],[Столбец20]]/Таблица224[[#This Row],[Столбец14]]*100-100</f>
        <v>6.0257278266756913</v>
      </c>
      <c r="F45" s="18">
        <f>Таблица224[[#This Row],[Столбец14]]-Таблица224[[#This Row],[Столбец5]]</f>
        <v>80.099999999999909</v>
      </c>
      <c r="G45" s="18">
        <f>Таблица224[[#This Row],[Столбец20]]-Таблица224[[#This Row],[Столбец14]]</f>
        <v>44.5</v>
      </c>
      <c r="H45" s="18">
        <f>Таблица224[[#This Row],[Столбец5]]/$B$4*100</f>
        <v>0.63329614097187503</v>
      </c>
      <c r="I45" s="14">
        <f>Таблица224[[#This Row],[Столбец14]]/$C$4*100</f>
        <v>0.64114807612168356</v>
      </c>
      <c r="J45" s="18">
        <f>Таблица224[[#This Row],[Столбец20]]/$D$4*100</f>
        <v>0.61655970707508168</v>
      </c>
    </row>
    <row r="46" spans="1:10" ht="22.5" customHeight="1">
      <c r="A46" s="19" t="s">
        <v>31</v>
      </c>
      <c r="B46" s="18">
        <f t="shared" si="5"/>
        <v>6357.7</v>
      </c>
      <c r="C46" s="18">
        <f>C53+C60+C67+C74</f>
        <v>6889.9</v>
      </c>
      <c r="D46" s="18">
        <f>D53+D60+D67+D74</f>
        <v>7074.4000000000005</v>
      </c>
      <c r="E46" s="18">
        <f>Таблица224[[#This Row],[Столбец20]]/Таблица224[[#This Row],[Столбец14]]*100-100</f>
        <v>2.6778327697063844</v>
      </c>
      <c r="F46" s="18">
        <f>Таблица224[[#This Row],[Столбец14]]-Таблица224[[#This Row],[Столбец5]]</f>
        <v>532.19999999999982</v>
      </c>
      <c r="G46" s="18">
        <f>Таблица224[[#This Row],[Столбец20]]-Таблица224[[#This Row],[Столбец14]]</f>
        <v>184.50000000000091</v>
      </c>
      <c r="H46" s="18">
        <f>Таблица224[[#This Row],[Столбец5]]/$B$4*100</f>
        <v>6.1152899080450922</v>
      </c>
      <c r="I46" s="14">
        <f>Таблица224[[#This Row],[Столбец14]]/$C$4*100</f>
        <v>5.9816467564939568</v>
      </c>
      <c r="J46" s="18">
        <f>Таблица224[[#This Row],[Столбец20]]/$D$4*100</f>
        <v>5.5706130162604834</v>
      </c>
    </row>
    <row r="47" spans="1:10" ht="22.5" customHeight="1">
      <c r="A47" s="21" t="s">
        <v>37</v>
      </c>
      <c r="B47" s="14">
        <f t="shared" si="5"/>
        <v>1084.646</v>
      </c>
      <c r="C47" s="14">
        <f>SUM(C54,C61,C68,C75)</f>
        <v>1157.3290000000002</v>
      </c>
      <c r="D47" s="14">
        <f>SUM(D54,D61,D68,D75)</f>
        <v>1422.75</v>
      </c>
      <c r="E47" s="14">
        <f>Таблица224[[#This Row],[Столбец20]]/Таблица224[[#This Row],[Столбец14]]*100-100</f>
        <v>22.933928036020859</v>
      </c>
      <c r="F47" s="14">
        <f>Таблица224[[#This Row],[Столбец14]]-Таблица224[[#This Row],[Столбец5]]</f>
        <v>72.68300000000022</v>
      </c>
      <c r="G47" s="14">
        <f>Таблица224[[#This Row],[Столбец20]]-Таблица224[[#This Row],[Столбец14]]</f>
        <v>265.42099999999982</v>
      </c>
      <c r="H47" s="14">
        <f>Таблица224[[#This Row],[Столбец5]]/$B$4*100</f>
        <v>1.0432899849948059</v>
      </c>
      <c r="I47" s="14">
        <f>Таблица224[[#This Row],[Столбец14]]/$C$4*100</f>
        <v>1.0047654188081681</v>
      </c>
      <c r="J47" s="14">
        <f>Таблица224[[#This Row],[Столбец20]]/$D$4*100</f>
        <v>1.1203196976258907</v>
      </c>
    </row>
    <row r="48" spans="1:10" ht="22.5" customHeight="1">
      <c r="A48" s="21" t="s">
        <v>35</v>
      </c>
      <c r="B48" s="14">
        <f t="shared" si="5"/>
        <v>1564.4999999999998</v>
      </c>
      <c r="C48" s="14">
        <f>SUM(C55,C62,C69,C76)</f>
        <v>1893.8999999999999</v>
      </c>
      <c r="D48" s="14">
        <f>SUM(D55,D62,D69,D76)</f>
        <v>2316.5</v>
      </c>
      <c r="E48" s="14">
        <f>Таблица224[[#This Row],[Столбец20]]/Таблица224[[#This Row],[Столбец14]]*100-100</f>
        <v>22.313744125877832</v>
      </c>
      <c r="F48" s="14">
        <f>Таблица224[[#This Row],[Столбец14]]-Таблица224[[#This Row],[Столбец5]]</f>
        <v>329.40000000000009</v>
      </c>
      <c r="G48" s="14">
        <f>Таблица224[[#This Row],[Столбец20]]-Таблица224[[#This Row],[Столбец14]]</f>
        <v>422.60000000000014</v>
      </c>
      <c r="H48" s="14">
        <f>Таблица224[[#This Row],[Столбец5]]/$B$4*100</f>
        <v>1.5048478319418257</v>
      </c>
      <c r="I48" s="14">
        <f>Таблица224[[#This Row],[Столбец14]]/$C$4*100</f>
        <v>1.6442387831643281</v>
      </c>
      <c r="J48" s="14">
        <f>Таблица224[[#This Row],[Столбец20]]/$D$4*100</f>
        <v>1.8240875625024608</v>
      </c>
    </row>
    <row r="49" spans="1:35" ht="22.5" customHeight="1" thickBot="1">
      <c r="A49" s="102" t="s">
        <v>40</v>
      </c>
      <c r="B49" s="101">
        <f>SUM(B50,B54,B55)</f>
        <v>5995.067</v>
      </c>
      <c r="C49" s="101">
        <f>SUM(C50,C54,C55)</f>
        <v>6450.6900000000005</v>
      </c>
      <c r="D49" s="101">
        <f>SUM(D50,D54,D55)</f>
        <v>6980.1</v>
      </c>
      <c r="E49" s="101">
        <f>Таблица224[[#This Row],[Столбец20]]/Таблица224[[#This Row],[Столбец14]]*100-100</f>
        <v>8.2070290155006518</v>
      </c>
      <c r="F49" s="101">
        <f>Таблица224[[#This Row],[Столбец14]]-Таблица224[[#This Row],[Столбец5]]</f>
        <v>455.6230000000005</v>
      </c>
      <c r="G49" s="101">
        <f>Таблица224[[#This Row],[Столбец20]]-Таблица224[[#This Row],[Столбец14]]</f>
        <v>529.40999999999985</v>
      </c>
      <c r="H49" s="101">
        <f>Таблица224[[#This Row],[Столбец5]]/$B$4*100</f>
        <v>5.7664835904736256</v>
      </c>
      <c r="I49" s="101">
        <f>Таблица224[[#This Row],[Столбец14]]/$C$4*100</f>
        <v>5.6003351159883321</v>
      </c>
      <c r="J49" s="101">
        <f>Таблица224[[#This Row],[Столбец20]]/$D$4*100</f>
        <v>5.4963581243356039</v>
      </c>
    </row>
    <row r="50" spans="1:35" s="22" customFormat="1" ht="22.5" customHeight="1">
      <c r="A50" s="21" t="s">
        <v>28</v>
      </c>
      <c r="B50" s="14">
        <f t="shared" ref="B50" si="6">B51+B52+B53</f>
        <v>4549.7</v>
      </c>
      <c r="C50" s="14">
        <f t="shared" ref="C50" si="7">C51+C52+C53</f>
        <v>4753.7</v>
      </c>
      <c r="D50" s="14">
        <f>D51+D52+D53</f>
        <v>4871.3</v>
      </c>
      <c r="E50" s="14">
        <f>Таблица224[[#This Row],[Столбец20]]/Таблица224[[#This Row],[Столбец14]]*100-100</f>
        <v>2.4738624650272527</v>
      </c>
      <c r="F50" s="14">
        <f>Таблица224[[#This Row],[Столбец14]]-Таблица224[[#This Row],[Столбец5]]</f>
        <v>204</v>
      </c>
      <c r="G50" s="14">
        <f>Таблица224[[#This Row],[Столбец20]]-Таблица224[[#This Row],[Столбец14]]</f>
        <v>117.60000000000036</v>
      </c>
      <c r="H50" s="14">
        <f>Таблица224[[#This Row],[Столбец5]]/$B$4*100</f>
        <v>4.3762263860567119</v>
      </c>
      <c r="I50" s="14">
        <f>Таблица224[[#This Row],[Столбец14]]/$C$4*100</f>
        <v>4.1270488956799554</v>
      </c>
      <c r="J50" s="14">
        <f>Таблица224[[#This Row],[Столбец20]]/$D$4*100</f>
        <v>3.8358203078861375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</row>
    <row r="51" spans="1:35" ht="22.5" customHeight="1">
      <c r="A51" s="19" t="s">
        <v>29</v>
      </c>
      <c r="B51" s="14">
        <v>2932.4</v>
      </c>
      <c r="C51" s="14">
        <v>2942.4</v>
      </c>
      <c r="D51" s="14">
        <v>2942.4</v>
      </c>
      <c r="E51" s="14">
        <f>Таблица224[[#This Row],[Столбец20]]/Таблица224[[#This Row],[Столбец14]]*100-100</f>
        <v>0</v>
      </c>
      <c r="F51" s="14">
        <f>Таблица224[[#This Row],[Столбец14]]-Таблица224[[#This Row],[Столбец5]]</f>
        <v>10</v>
      </c>
      <c r="G51" s="14">
        <f>Таблица224[[#This Row],[Столбец20]]-Таблица224[[#This Row],[Столбец14]]</f>
        <v>0</v>
      </c>
      <c r="H51" s="14">
        <f>Таблица224[[#This Row],[Столбец5]]/$B$4*100</f>
        <v>2.8205917432957563</v>
      </c>
      <c r="I51" s="14">
        <f>Таблица224[[#This Row],[Столбец14]]/$C$4*100</f>
        <v>2.5545214613140717</v>
      </c>
      <c r="J51" s="14">
        <f>Таблица224[[#This Row],[Столбец20]]/$D$4*100</f>
        <v>2.316941611874483</v>
      </c>
    </row>
    <row r="52" spans="1:35" ht="22.5" customHeight="1">
      <c r="A52" s="19" t="s">
        <v>30</v>
      </c>
      <c r="B52" s="14">
        <v>332.6</v>
      </c>
      <c r="C52" s="14">
        <v>381.6</v>
      </c>
      <c r="D52" s="14">
        <v>404.5</v>
      </c>
      <c r="E52" s="14">
        <f>Таблица224[[#This Row],[Столбец20]]/Таблица224[[#This Row],[Столбец14]]*100-100</f>
        <v>6.0010482180293394</v>
      </c>
      <c r="F52" s="14">
        <f>Таблица224[[#This Row],[Столбец14]]-Таблица224[[#This Row],[Столбец5]]</f>
        <v>49</v>
      </c>
      <c r="G52" s="14">
        <f>Таблица224[[#This Row],[Столбец20]]-Таблица224[[#This Row],[Столбец14]]</f>
        <v>22.899999999999977</v>
      </c>
      <c r="H52" s="14">
        <f>Таблица224[[#This Row],[Столбец5]]/$B$4*100</f>
        <v>0.31991843330383596</v>
      </c>
      <c r="I52" s="14">
        <f>Таблица224[[#This Row],[Столбец14]]/$C$4*100</f>
        <v>0.33129601333518544</v>
      </c>
      <c r="J52" s="14">
        <f>Таблица224[[#This Row],[Столбец20]]/$D$4*100</f>
        <v>0.31851647702665459</v>
      </c>
    </row>
    <row r="53" spans="1:35" ht="22.5" customHeight="1">
      <c r="A53" s="19" t="s">
        <v>31</v>
      </c>
      <c r="B53" s="18">
        <v>1284.7</v>
      </c>
      <c r="C53" s="18">
        <f>1356.6+73.1</f>
        <v>1429.6999999999998</v>
      </c>
      <c r="D53" s="18">
        <f>1446.4+78</f>
        <v>1524.4</v>
      </c>
      <c r="E53" s="18">
        <f>Таблица224[[#This Row],[Столбец20]]/Таблица224[[#This Row],[Столбец14]]*100-100</f>
        <v>6.6237672238931538</v>
      </c>
      <c r="F53" s="18">
        <f>Таблица224[[#This Row],[Столбец14]]-Таблица224[[#This Row],[Столбец5]]</f>
        <v>144.99999999999977</v>
      </c>
      <c r="G53" s="18">
        <f>Таблица224[[#This Row],[Столбец20]]-Таблица224[[#This Row],[Столбец14]]</f>
        <v>94.700000000000273</v>
      </c>
      <c r="H53" s="18">
        <f>Таблица224[[#This Row],[Столбец5]]/$B$4*100</f>
        <v>1.2357162094571197</v>
      </c>
      <c r="I53" s="14">
        <f>Таблица224[[#This Row],[Столбец14]]/$C$4*100</f>
        <v>1.2412314210306985</v>
      </c>
      <c r="J53" s="18">
        <f>Таблица224[[#This Row],[Столбец20]]/$D$4*100</f>
        <v>1.2003622189849996</v>
      </c>
    </row>
    <row r="54" spans="1:35" ht="22.5" customHeight="1">
      <c r="A54" s="21" t="s">
        <v>37</v>
      </c>
      <c r="B54" s="14">
        <f>144.477+252.39</f>
        <v>396.86699999999996</v>
      </c>
      <c r="C54" s="14">
        <v>336.89</v>
      </c>
      <c r="D54" s="14">
        <v>342.8</v>
      </c>
      <c r="E54" s="14">
        <f>Таблица224[[#This Row],[Столбец20]]/Таблица224[[#This Row],[Столбец14]]*100-100</f>
        <v>1.7542818130547033</v>
      </c>
      <c r="F54" s="14">
        <f>Таблица224[[#This Row],[Столбец14]]-Таблица224[[#This Row],[Столбец5]]</f>
        <v>-59.976999999999975</v>
      </c>
      <c r="G54" s="14">
        <f>Таблица224[[#This Row],[Столбец20]]-Таблица224[[#This Row],[Столбец14]]</f>
        <v>5.910000000000025</v>
      </c>
      <c r="H54" s="14">
        <f>Таблица224[[#This Row],[Столбец5]]/$B$4*100</f>
        <v>0.38173502366203682</v>
      </c>
      <c r="I54" s="14">
        <f>Таблица224[[#This Row],[Столбец14]]/$C$4*100</f>
        <v>0.29247985831365464</v>
      </c>
      <c r="J54" s="14">
        <f>Таблица224[[#This Row],[Столбец20]]/$D$4*100</f>
        <v>0.26993188708216859</v>
      </c>
    </row>
    <row r="55" spans="1:35" ht="22.5" customHeight="1">
      <c r="A55" s="21" t="s">
        <v>35</v>
      </c>
      <c r="B55" s="14">
        <v>1048.5</v>
      </c>
      <c r="C55" s="14">
        <v>1360.1</v>
      </c>
      <c r="D55" s="14">
        <v>1766</v>
      </c>
      <c r="E55" s="14">
        <f>Таблица224[[#This Row],[Столбец20]]/Таблица224[[#This Row],[Столбец14]]*100-100</f>
        <v>29.843393868097934</v>
      </c>
      <c r="F55" s="14">
        <f>Таблица224[[#This Row],[Столбец14]]-Таблица224[[#This Row],[Столбец5]]</f>
        <v>311.59999999999991</v>
      </c>
      <c r="G55" s="14">
        <f>Таблица224[[#This Row],[Столбец20]]-Таблица224[[#This Row],[Столбец14]]</f>
        <v>405.90000000000009</v>
      </c>
      <c r="H55" s="14">
        <f>Таблица224[[#This Row],[Столбец5]]/$B$4*100</f>
        <v>1.0085221807548768</v>
      </c>
      <c r="I55" s="14">
        <f>Таблица224[[#This Row],[Столбец14]]/$C$4*100</f>
        <v>1.1808063619947213</v>
      </c>
      <c r="J55" s="14">
        <f>Таблица224[[#This Row],[Столбец20]]/$D$4*100</f>
        <v>1.3906059293672979</v>
      </c>
    </row>
    <row r="56" spans="1:35" ht="22.5" customHeight="1">
      <c r="A56" s="102" t="s">
        <v>41</v>
      </c>
      <c r="B56" s="101">
        <f>SUM(B57,B61,B62)</f>
        <v>2520.0520000000001</v>
      </c>
      <c r="C56" s="101">
        <f>SUM(C57,C61,C62)</f>
        <v>2697.623</v>
      </c>
      <c r="D56" s="101">
        <f>SUM(D57,D61,D62)</f>
        <v>2933.2</v>
      </c>
      <c r="E56" s="101">
        <f>Таблица224[[#This Row],[Столбец20]]/Таблица224[[#This Row],[Столбец14]]*100-100</f>
        <v>8.7327621391128218</v>
      </c>
      <c r="F56" s="101">
        <f>Таблица224[[#This Row],[Столбец14]]-Таблица224[[#This Row],[Столбец5]]</f>
        <v>177.57099999999991</v>
      </c>
      <c r="G56" s="101">
        <f>Таблица224[[#This Row],[Столбец20]]-Таблица224[[#This Row],[Столбец14]]</f>
        <v>235.57699999999977</v>
      </c>
      <c r="H56" s="101">
        <f>Таблица224[[#This Row],[Столбец5]]/$B$4*100</f>
        <v>2.4239659882266942</v>
      </c>
      <c r="I56" s="101">
        <f>Таблица224[[#This Row],[Столбец14]]/$C$4*100</f>
        <v>2.3420119113765803</v>
      </c>
      <c r="J56" s="101">
        <f>Таблица224[[#This Row],[Столбец20]]/$D$4*100</f>
        <v>2.3096972321744951</v>
      </c>
    </row>
    <row r="57" spans="1:35" ht="22.5" customHeight="1">
      <c r="A57" s="21" t="s">
        <v>28</v>
      </c>
      <c r="B57" s="14">
        <f>SUM(B58:B60)</f>
        <v>1838.5</v>
      </c>
      <c r="C57" s="14">
        <f t="shared" ref="C57:D57" si="8">SUM(C58:C60)</f>
        <v>1949.8</v>
      </c>
      <c r="D57" s="14">
        <f t="shared" si="8"/>
        <v>1987.8999999999999</v>
      </c>
      <c r="E57" s="14">
        <f>Таблица224[[#This Row],[Столбец20]]/Таблица224[[#This Row],[Столбец14]]*100-100</f>
        <v>1.9540465688788515</v>
      </c>
      <c r="F57" s="14">
        <f>Таблица224[[#This Row],[Столбец14]]-Таблица224[[#This Row],[Столбец5]]</f>
        <v>111.29999999999995</v>
      </c>
      <c r="G57" s="14">
        <f>Таблица224[[#This Row],[Столбец20]]-Таблица224[[#This Row],[Столбец14]]</f>
        <v>38.099999999999909</v>
      </c>
      <c r="H57" s="14">
        <f>Таблица224[[#This Row],[Столбец5]]/$B$4*100</f>
        <v>1.7684006002077641</v>
      </c>
      <c r="I57" s="14">
        <f>Таблица224[[#This Row],[Столбец14]]/$C$4*100</f>
        <v>1.6927698291429365</v>
      </c>
      <c r="J57" s="14">
        <f>Таблица224[[#This Row],[Столбец20]]/$D$4*100</f>
        <v>1.5653372180007084</v>
      </c>
    </row>
    <row r="58" spans="1:35" ht="22.5" customHeight="1">
      <c r="A58" s="19" t="s">
        <v>29</v>
      </c>
      <c r="B58" s="14">
        <v>1283</v>
      </c>
      <c r="C58" s="14">
        <v>1283</v>
      </c>
      <c r="D58" s="14">
        <v>1283</v>
      </c>
      <c r="E58" s="14">
        <f>Таблица224[[#This Row],[Столбец20]]/Таблица224[[#This Row],[Столбец14]]*100-100</f>
        <v>0</v>
      </c>
      <c r="F58" s="14">
        <f>Таблица224[[#This Row],[Столбец14]]-Таблица224[[#This Row],[Столбец5]]</f>
        <v>0</v>
      </c>
      <c r="G58" s="14">
        <f>Таблица224[[#This Row],[Столбец20]]-Таблица224[[#This Row],[Столбец14]]</f>
        <v>0</v>
      </c>
      <c r="H58" s="14">
        <f>Таблица224[[#This Row],[Столбец5]]/$B$4*100</f>
        <v>1.2340810280481704</v>
      </c>
      <c r="I58" s="14">
        <f>Таблица224[[#This Row],[Столбец14]]/$C$4*100</f>
        <v>1.1138699819419364</v>
      </c>
      <c r="J58" s="14">
        <f>Таблица224[[#This Row],[Столбец20]]/$D$4*100</f>
        <v>1.0102759951179179</v>
      </c>
    </row>
    <row r="59" spans="1:35" ht="22.5" customHeight="1">
      <c r="A59" s="19" t="s">
        <v>30</v>
      </c>
      <c r="B59" s="14">
        <v>44.1</v>
      </c>
      <c r="C59" s="14">
        <v>56.2</v>
      </c>
      <c r="D59" s="14">
        <v>59.6</v>
      </c>
      <c r="E59" s="14">
        <f>Таблица224[[#This Row],[Столбец20]]/Таблица224[[#This Row],[Столбец14]]*100-100</f>
        <v>6.0498220640569258</v>
      </c>
      <c r="F59" s="14">
        <f>Таблица224[[#This Row],[Столбец14]]-Таблица224[[#This Row],[Столбец5]]</f>
        <v>12.100000000000001</v>
      </c>
      <c r="G59" s="14">
        <f>Таблица224[[#This Row],[Столбец20]]-Таблица224[[#This Row],[Столбец14]]</f>
        <v>3.3999999999999986</v>
      </c>
      <c r="H59" s="14">
        <f>Таблица224[[#This Row],[Столбец5]]/$B$4*100</f>
        <v>4.2418529490977651E-2</v>
      </c>
      <c r="I59" s="14">
        <f>Таблица224[[#This Row],[Столбец14]]/$C$4*100</f>
        <v>4.8791498819280459E-2</v>
      </c>
      <c r="J59" s="14">
        <f>Таблица224[[#This Row],[Столбец20]]/$D$4*100</f>
        <v>4.6930981534706095E-2</v>
      </c>
    </row>
    <row r="60" spans="1:35" ht="22.5" customHeight="1">
      <c r="A60" s="19" t="s">
        <v>31</v>
      </c>
      <c r="B60" s="18">
        <f>448.2+63.2</f>
        <v>511.4</v>
      </c>
      <c r="C60" s="18">
        <f>547.3+63.3</f>
        <v>610.59999999999991</v>
      </c>
      <c r="D60" s="18">
        <f>581.8+63.5</f>
        <v>645.29999999999995</v>
      </c>
      <c r="E60" s="18">
        <f>Таблица224[[#This Row],[Столбец20]]/Таблица224[[#This Row],[Столбец14]]*100-100</f>
        <v>5.6829348182116064</v>
      </c>
      <c r="F60" s="18">
        <f>Таблица224[[#This Row],[Столбец14]]-Таблица224[[#This Row],[Столбец5]]</f>
        <v>99.199999999999932</v>
      </c>
      <c r="G60" s="18">
        <f>Таблица224[[#This Row],[Столбец20]]-Таблица224[[#This Row],[Столбец14]]</f>
        <v>34.700000000000045</v>
      </c>
      <c r="H60" s="18">
        <f>Таблица224[[#This Row],[Столбец5]]/$B$4*100</f>
        <v>0.49190104266861601</v>
      </c>
      <c r="I60" s="14">
        <f>Таблица224[[#This Row],[Столбец14]]/$C$4*100</f>
        <v>0.53010834838171961</v>
      </c>
      <c r="J60" s="18">
        <f>Таблица224[[#This Row],[Столбец20]]/$D$4*100</f>
        <v>0.50813024134808449</v>
      </c>
    </row>
    <row r="61" spans="1:35" ht="22.5" customHeight="1">
      <c r="A61" s="21" t="s">
        <v>37</v>
      </c>
      <c r="B61" s="14">
        <f>308.815+83.637</f>
        <v>392.452</v>
      </c>
      <c r="C61" s="14">
        <f>97.248+354.975</f>
        <v>452.22300000000001</v>
      </c>
      <c r="D61" s="14">
        <v>643.29999999999995</v>
      </c>
      <c r="E61" s="14">
        <v>0</v>
      </c>
      <c r="F61" s="14">
        <f>Таблица224[[#This Row],[Столбец14]]-Таблица224[[#This Row],[Столбец5]]</f>
        <v>59.771000000000015</v>
      </c>
      <c r="G61" s="14">
        <f>Таблица224[[#This Row],[Столбец20]]-Таблица224[[#This Row],[Столбец14]]</f>
        <v>191.07699999999994</v>
      </c>
      <c r="H61" s="14">
        <f>Таблица224[[#This Row],[Столбец5]]/$B$4*100</f>
        <v>0.37748836135585395</v>
      </c>
      <c r="I61" s="14">
        <f>Таблица224[[#This Row],[Столбец14]]/$C$4*100</f>
        <v>0.39260921655785525</v>
      </c>
      <c r="J61" s="14">
        <f>Таблица224[[#This Row],[Столбец20]]/$D$4*100</f>
        <v>0.50655537619591318</v>
      </c>
    </row>
    <row r="62" spans="1:35" ht="22.5" customHeight="1">
      <c r="A62" s="21" t="s">
        <v>35</v>
      </c>
      <c r="B62" s="14">
        <v>289.10000000000002</v>
      </c>
      <c r="C62" s="14">
        <v>295.60000000000002</v>
      </c>
      <c r="D62" s="14">
        <v>302</v>
      </c>
      <c r="E62" s="14">
        <f>Таблица224[[#This Row],[Столбец20]]/Таблица224[[#This Row],[Столбец14]]*100-100</f>
        <v>2.1650879566982297</v>
      </c>
      <c r="F62" s="14">
        <f>Таблица224[[#This Row],[Столбец14]]-Таблица224[[#This Row],[Столбец5]]</f>
        <v>6.5</v>
      </c>
      <c r="G62" s="14">
        <f>Таблица224[[#This Row],[Столбец20]]-Таблица224[[#This Row],[Столбец14]]</f>
        <v>6.3999999999999773</v>
      </c>
      <c r="H62" s="14">
        <f>Таблица224[[#This Row],[Столбец5]]/$B$4*100</f>
        <v>0.27807702666307571</v>
      </c>
      <c r="I62" s="14">
        <f>Таблица224[[#This Row],[Столбец14]]/$C$4*100</f>
        <v>0.25663286567578836</v>
      </c>
      <c r="J62" s="14">
        <f>Таблица224[[#This Row],[Столбец20]]/$D$4*100</f>
        <v>0.23780463797787316</v>
      </c>
    </row>
    <row r="63" spans="1:35" ht="22.5" customHeight="1">
      <c r="A63" s="102" t="s">
        <v>42</v>
      </c>
      <c r="B63" s="101">
        <f>SUM(B64,B68,B69)</f>
        <v>4392.3000000000011</v>
      </c>
      <c r="C63" s="101">
        <f>SUM(C64,C68,C69)</f>
        <v>4653.3999999999996</v>
      </c>
      <c r="D63" s="101">
        <f>SUM(D64,D68,D69)</f>
        <v>4710.2000000000007</v>
      </c>
      <c r="E63" s="101">
        <f>Таблица224[[#This Row],[Столбец20]]/Таблица224[[#This Row],[Столбец14]]*100-100</f>
        <v>1.2206128852022289</v>
      </c>
      <c r="F63" s="101">
        <f>Таблица224[[#This Row],[Столбец14]]-Таблица224[[#This Row],[Столбец5]]</f>
        <v>261.09999999999854</v>
      </c>
      <c r="G63" s="101">
        <f>Таблица224[[#This Row],[Столбец20]]-Таблица224[[#This Row],[Столбец14]]</f>
        <v>56.800000000001091</v>
      </c>
      <c r="H63" s="101">
        <f>Таблица224[[#This Row],[Столбец5]]/$B$4*100</f>
        <v>4.2248278250163533</v>
      </c>
      <c r="I63" s="101">
        <f>Таблица224[[#This Row],[Столбец14]]/$C$4*100</f>
        <v>4.0399708292818444</v>
      </c>
      <c r="J63" s="101">
        <f>Таблица224[[#This Row],[Столбец20]]/$D$4*100</f>
        <v>3.7089649198787358</v>
      </c>
    </row>
    <row r="64" spans="1:35" ht="22.5" customHeight="1">
      <c r="A64" s="21" t="s">
        <v>28</v>
      </c>
      <c r="B64" s="14">
        <f t="shared" ref="B64" si="9">B65+B66+B67</f>
        <v>4205.5000000000009</v>
      </c>
      <c r="C64" s="14">
        <f t="shared" ref="C64:D64" si="10">C65+C66+C67</f>
        <v>4456.2</v>
      </c>
      <c r="D64" s="14">
        <f t="shared" si="10"/>
        <v>4503.7000000000007</v>
      </c>
      <c r="E64" s="14">
        <f>Таблица224[[#This Row],[Столбец20]]/Таблица224[[#This Row],[Столбец14]]*100-100</f>
        <v>1.0659306135272431</v>
      </c>
      <c r="F64" s="14">
        <f>Таблица224[[#This Row],[Столбец14]]-Таблица224[[#This Row],[Столбец5]]</f>
        <v>250.69999999999891</v>
      </c>
      <c r="G64" s="14">
        <f>Таблица224[[#This Row],[Столбец20]]-Таблица224[[#This Row],[Столбец14]]</f>
        <v>47.500000000000909</v>
      </c>
      <c r="H64" s="14">
        <f>Таблица224[[#This Row],[Столбец5]]/$B$4*100</f>
        <v>4.0451502443153409</v>
      </c>
      <c r="I64" s="14">
        <f>Таблица224[[#This Row],[Столбец14]]/$C$4*100</f>
        <v>3.8687664953465752</v>
      </c>
      <c r="J64" s="14">
        <f>Таблица224[[#This Row],[Столбец20]]/$D$4*100</f>
        <v>3.5463600929170447</v>
      </c>
    </row>
    <row r="65" spans="1:10" ht="22.5" customHeight="1">
      <c r="A65" s="19" t="s">
        <v>29</v>
      </c>
      <c r="B65" s="14">
        <v>76</v>
      </c>
      <c r="C65" s="14">
        <v>76</v>
      </c>
      <c r="D65" s="14">
        <v>76</v>
      </c>
      <c r="E65" s="14">
        <f>Таблица224[[#This Row],[Столбец20]]/Таблица224[[#This Row],[Столбец14]]*100-100</f>
        <v>0</v>
      </c>
      <c r="F65" s="14">
        <f>Таблица224[[#This Row],[Столбец14]]-Таблица224[[#This Row],[Столбец5]]</f>
        <v>0</v>
      </c>
      <c r="G65" s="14">
        <f>Таблица224[[#This Row],[Столбец20]]-Таблица224[[#This Row],[Столбец14]]</f>
        <v>0</v>
      </c>
      <c r="H65" s="14">
        <f>Таблица224[[#This Row],[Столбец5]]/$B$4*100</f>
        <v>7.3102227694201841E-2</v>
      </c>
      <c r="I65" s="14">
        <f>Таблица224[[#This Row],[Столбец14]]/$C$4*100</f>
        <v>6.5981386303653286E-2</v>
      </c>
      <c r="J65" s="14">
        <f>Таблица224[[#This Row],[Столбец20]]/$D$4*100</f>
        <v>5.9844875782511124E-2</v>
      </c>
    </row>
    <row r="66" spans="1:10" ht="22.5" customHeight="1">
      <c r="A66" s="19" t="s">
        <v>30</v>
      </c>
      <c r="B66" s="14">
        <v>24.1</v>
      </c>
      <c r="C66" s="14">
        <v>18.2</v>
      </c>
      <c r="D66" s="14">
        <v>19.5</v>
      </c>
      <c r="E66" s="14">
        <f>Таблица224[[#This Row],[Столбец20]]/Таблица224[[#This Row],[Столбец14]]*100-100</f>
        <v>7.1428571428571388</v>
      </c>
      <c r="F66" s="14">
        <f>Таблица224[[#This Row],[Столбец14]]-Таблица224[[#This Row],[Столбец5]]</f>
        <v>-5.9000000000000021</v>
      </c>
      <c r="G66" s="14">
        <f>Таблица224[[#This Row],[Столбец20]]-Таблица224[[#This Row],[Столбец14]]</f>
        <v>1.3000000000000007</v>
      </c>
      <c r="H66" s="14">
        <f>Таблица224[[#This Row],[Столбец5]]/$B$4*100</f>
        <v>2.3181101150398214E-2</v>
      </c>
      <c r="I66" s="14">
        <f>Таблица224[[#This Row],[Столбец14]]/$C$4*100</f>
        <v>1.5800805667453812E-2</v>
      </c>
      <c r="J66" s="14">
        <f>Таблица224[[#This Row],[Столбец20]]/$D$4*100</f>
        <v>1.5354935233670618E-2</v>
      </c>
    </row>
    <row r="67" spans="1:10" ht="22.5" customHeight="1">
      <c r="A67" s="19" t="s">
        <v>31</v>
      </c>
      <c r="B67" s="18">
        <f>4099.1+6.3</f>
        <v>4105.4000000000005</v>
      </c>
      <c r="C67" s="18">
        <f>4355.5+6.5</f>
        <v>4362</v>
      </c>
      <c r="D67" s="18">
        <f>4401.6+6.6</f>
        <v>4408.2000000000007</v>
      </c>
      <c r="E67" s="18">
        <f>Таблица224[[#This Row],[Столбец20]]/Таблица224[[#This Row],[Столбец14]]*100-100</f>
        <v>1.0591471801925962</v>
      </c>
      <c r="F67" s="18">
        <f>Таблица224[[#This Row],[Столбец14]]-Таблица224[[#This Row],[Столбец5]]</f>
        <v>256.59999999999945</v>
      </c>
      <c r="G67" s="18">
        <f>Таблица224[[#This Row],[Столбец20]]-Таблица224[[#This Row],[Столбец14]]</f>
        <v>46.200000000000728</v>
      </c>
      <c r="H67" s="18">
        <f>Таблица224[[#This Row],[Столбец5]]/$B$4*100</f>
        <v>3.9488669154707403</v>
      </c>
      <c r="I67" s="14">
        <f>Таблица224[[#This Row],[Столбец14]]/$C$4*100</f>
        <v>3.7869843033754687</v>
      </c>
      <c r="J67" s="18">
        <f>Таблица224[[#This Row],[Столбец20]]/$D$4*100</f>
        <v>3.4711602819008625</v>
      </c>
    </row>
    <row r="68" spans="1:10" ht="22.5" hidden="1" customHeight="1">
      <c r="A68" s="21" t="s">
        <v>37</v>
      </c>
      <c r="B68" s="14"/>
      <c r="C68" s="14"/>
      <c r="D68" s="14"/>
      <c r="E68" s="14">
        <v>0</v>
      </c>
      <c r="F68" s="14">
        <f>Таблица224[[#This Row],[Столбец14]]-Таблица224[[#This Row],[Столбец5]]</f>
        <v>0</v>
      </c>
      <c r="G68" s="14">
        <f>Таблица224[[#This Row],[Столбец20]]-Таблица224[[#This Row],[Столбец14]]</f>
        <v>0</v>
      </c>
      <c r="H68" s="14">
        <f>Таблица224[[#This Row],[Столбец5]]/$B$4*100</f>
        <v>0</v>
      </c>
      <c r="I68" s="14">
        <f>Таблица224[[#This Row],[Столбец14]]/$C$4*100</f>
        <v>0</v>
      </c>
      <c r="J68" s="14">
        <f>Таблица224[[#This Row],[Столбец20]]/$D$4*100</f>
        <v>0</v>
      </c>
    </row>
    <row r="69" spans="1:10" ht="22.5" customHeight="1">
      <c r="A69" s="21" t="s">
        <v>35</v>
      </c>
      <c r="B69" s="14">
        <v>186.8</v>
      </c>
      <c r="C69" s="14">
        <v>197.2</v>
      </c>
      <c r="D69" s="14">
        <v>206.5</v>
      </c>
      <c r="E69" s="14">
        <f>Таблица224[[#This Row],[Столбец20]]/Таблица224[[#This Row],[Столбец14]]*100-100</f>
        <v>4.7160243407708151</v>
      </c>
      <c r="F69" s="14">
        <f>Таблица224[[#This Row],[Столбец14]]-Таблица224[[#This Row],[Столбец5]]</f>
        <v>10.399999999999977</v>
      </c>
      <c r="G69" s="14">
        <f>Таблица224[[#This Row],[Столбец20]]-Таблица224[[#This Row],[Столбец14]]</f>
        <v>9.3000000000000114</v>
      </c>
      <c r="H69" s="14">
        <f>Таблица224[[#This Row],[Столбец5]]/$B$4*100</f>
        <v>0.17967758070101189</v>
      </c>
      <c r="I69" s="14">
        <f>Таблица224[[#This Row],[Столбец14]]/$C$4*100</f>
        <v>0.17120433393526877</v>
      </c>
      <c r="J69" s="14">
        <f>Таблица224[[#This Row],[Столбец20]]/$D$4*100</f>
        <v>0.1626048269616914</v>
      </c>
    </row>
    <row r="70" spans="1:10" ht="22.5" customHeight="1">
      <c r="A70" s="102" t="s">
        <v>43</v>
      </c>
      <c r="B70" s="101">
        <f>SUM(B71,B75,B76)</f>
        <v>1248.4269999999999</v>
      </c>
      <c r="C70" s="101">
        <f>SUM(C71,C75,C76)</f>
        <v>1378.5160000000001</v>
      </c>
      <c r="D70" s="101">
        <f>SUM(D71,D75,D76)</f>
        <v>1473.75</v>
      </c>
      <c r="E70" s="101">
        <f>Таблица224[[#This Row],[Столбец20]]/Таблица224[[#This Row],[Столбец14]]*100-100</f>
        <v>6.9084435726534821</v>
      </c>
      <c r="F70" s="101">
        <f>Таблица224[[#This Row],[Столбец14]]-Таблица224[[#This Row],[Столбец5]]</f>
        <v>130.08900000000017</v>
      </c>
      <c r="G70" s="101">
        <f>Таблица224[[#This Row],[Столбец20]]-Таблица224[[#This Row],[Столбец14]]</f>
        <v>95.233999999999924</v>
      </c>
      <c r="H70" s="101">
        <f>Таблица224[[#This Row],[Столбец5]]/$B$4*100</f>
        <v>1.2008262475472278</v>
      </c>
      <c r="I70" s="101">
        <f>Таблица224[[#This Row],[Столбец14]]/$C$4*100</f>
        <v>1.1967946937074596</v>
      </c>
      <c r="J70" s="101">
        <f>Таблица224[[#This Row],[Столбец20]]/$D$4*100</f>
        <v>1.1604787590062602</v>
      </c>
    </row>
    <row r="71" spans="1:10" ht="22.5" customHeight="1">
      <c r="A71" s="21" t="s">
        <v>28</v>
      </c>
      <c r="B71" s="14">
        <f t="shared" ref="B71" si="11">B72+B73+B74</f>
        <v>913</v>
      </c>
      <c r="C71" s="14">
        <f t="shared" ref="C71:D71" si="12">C72+C73+C74</f>
        <v>969.3</v>
      </c>
      <c r="D71" s="14">
        <f t="shared" si="12"/>
        <v>995.09999999999991</v>
      </c>
      <c r="E71" s="14">
        <f>Таблица224[[#This Row],[Столбец20]]/Таблица224[[#This Row],[Столбец14]]*100-100</f>
        <v>2.6617146394304996</v>
      </c>
      <c r="F71" s="14">
        <f>Таблица224[[#This Row],[Столбец14]]-Таблица224[[#This Row],[Столбец5]]</f>
        <v>56.299999999999955</v>
      </c>
      <c r="G71" s="14">
        <f>Таблица224[[#This Row],[Столбец20]]-Таблица224[[#This Row],[Столбец14]]</f>
        <v>25.799999999999955</v>
      </c>
      <c r="H71" s="14">
        <f>Таблица224[[#This Row],[Столбец5]]/$B$4*100</f>
        <v>0.878188603747451</v>
      </c>
      <c r="I71" s="14">
        <f>Таблица224[[#This Row],[Столбец14]]/$C$4*100</f>
        <v>0.84152312821225173</v>
      </c>
      <c r="J71" s="14">
        <f>Таблица224[[#This Row],[Столбец20]]/$D$4*100</f>
        <v>0.78357415646285278</v>
      </c>
    </row>
    <row r="72" spans="1:10" ht="22.5" customHeight="1">
      <c r="A72" s="19" t="s">
        <v>29</v>
      </c>
      <c r="B72" s="14">
        <v>199.2</v>
      </c>
      <c r="C72" s="14">
        <v>199.2</v>
      </c>
      <c r="D72" s="14">
        <v>199.2</v>
      </c>
      <c r="E72" s="14">
        <f>Таблица224[[#This Row],[Столбец20]]/Таблица224[[#This Row],[Столбец14]]*100-100</f>
        <v>0</v>
      </c>
      <c r="F72" s="14">
        <f>Таблица224[[#This Row],[Столбец14]]-Таблица224[[#This Row],[Столбец5]]</f>
        <v>0</v>
      </c>
      <c r="G72" s="14">
        <f>Таблица224[[#This Row],[Столбец20]]-Таблица224[[#This Row],[Столбец14]]</f>
        <v>0</v>
      </c>
      <c r="H72" s="14">
        <f>Таблица224[[#This Row],[Столбец5]]/$B$4*100</f>
        <v>0.19160478627217112</v>
      </c>
      <c r="I72" s="14">
        <f>Таблица224[[#This Row],[Столбец14]]/$C$4*100</f>
        <v>0.17294068620641753</v>
      </c>
      <c r="J72" s="14">
        <f>Таблица224[[#This Row],[Столбец20]]/$D$4*100</f>
        <v>0.15685656915626597</v>
      </c>
    </row>
    <row r="73" spans="1:10" ht="22.5" customHeight="1">
      <c r="A73" s="19" t="s">
        <v>30</v>
      </c>
      <c r="B73" s="14">
        <v>257.60000000000002</v>
      </c>
      <c r="C73" s="14">
        <v>282.5</v>
      </c>
      <c r="D73" s="14">
        <v>299.39999999999998</v>
      </c>
      <c r="E73" s="14">
        <f>Таблица224[[#This Row],[Столбец20]]/Таблица224[[#This Row],[Столбец14]]*100-100</f>
        <v>5.9823008849557482</v>
      </c>
      <c r="F73" s="14">
        <f>Таблица224[[#This Row],[Столбец14]]-Таблица224[[#This Row],[Столбец5]]</f>
        <v>24.899999999999977</v>
      </c>
      <c r="G73" s="14">
        <f>Таблица224[[#This Row],[Столбец20]]-Таблица224[[#This Row],[Столбец14]]</f>
        <v>16.899999999999977</v>
      </c>
      <c r="H73" s="14">
        <f>Таблица224[[#This Row],[Столбец5]]/$B$4*100</f>
        <v>0.2477780770266631</v>
      </c>
      <c r="I73" s="14">
        <f>Таблица224[[#This Row],[Столбец14]]/$C$4*100</f>
        <v>0.24525975829976385</v>
      </c>
      <c r="J73" s="14">
        <f>Таблица224[[#This Row],[Столбец20]]/$D$4*100</f>
        <v>0.23575731328005037</v>
      </c>
    </row>
    <row r="74" spans="1:10" ht="22.5" customHeight="1">
      <c r="A74" s="19" t="s">
        <v>31</v>
      </c>
      <c r="B74" s="18">
        <f>437.5+18.7</f>
        <v>456.2</v>
      </c>
      <c r="C74" s="18">
        <f>467.7+19.9</f>
        <v>487.59999999999997</v>
      </c>
      <c r="D74" s="18">
        <f>476.6+19.9</f>
        <v>496.5</v>
      </c>
      <c r="E74" s="18">
        <f>Таблица224[[#This Row],[Столбец20]]/Таблица224[[#This Row],[Столбец14]]*100-100</f>
        <v>1.8252666119770424</v>
      </c>
      <c r="F74" s="18">
        <f>Таблица224[[#This Row],[Столбец14]]-Таблица224[[#This Row],[Столбец5]]</f>
        <v>31.399999999999977</v>
      </c>
      <c r="G74" s="18">
        <f>Таблица224[[#This Row],[Столбец20]]-Таблица224[[#This Row],[Столбец14]]</f>
        <v>8.9000000000000341</v>
      </c>
      <c r="H74" s="18">
        <f>Таблица224[[#This Row],[Столбец5]]/$B$4*100</f>
        <v>0.43880574044861687</v>
      </c>
      <c r="I74" s="14">
        <f>Таблица224[[#This Row],[Столбец14]]/$C$4*100</f>
        <v>0.42332268370607024</v>
      </c>
      <c r="J74" s="18">
        <f>Таблица224[[#This Row],[Столбец20]]/$D$4*100</f>
        <v>0.39096027402653644</v>
      </c>
    </row>
    <row r="75" spans="1:10" ht="22.5" customHeight="1">
      <c r="A75" s="21" t="s">
        <v>37</v>
      </c>
      <c r="B75" s="14">
        <f>295.327</f>
        <v>295.327</v>
      </c>
      <c r="C75" s="14">
        <f>368.216</f>
        <v>368.21600000000001</v>
      </c>
      <c r="D75" s="14">
        <v>436.65</v>
      </c>
      <c r="E75" s="14">
        <v>0</v>
      </c>
      <c r="F75" s="14">
        <f>Таблица224[[#This Row],[Столбец14]]-Таблица224[[#This Row],[Столбец5]]</f>
        <v>72.88900000000001</v>
      </c>
      <c r="G75" s="14">
        <f>Таблица224[[#This Row],[Столбец20]]-Таблица224[[#This Row],[Столбец14]]</f>
        <v>68.433999999999969</v>
      </c>
      <c r="H75" s="14">
        <f>Таблица224[[#This Row],[Столбец5]]/$B$4*100</f>
        <v>0.28406659997691508</v>
      </c>
      <c r="I75" s="14">
        <f>Таблица224[[#This Row],[Столбец14]]/$C$4*100</f>
        <v>0.31967634393665789</v>
      </c>
      <c r="J75" s="14">
        <f>Таблица224[[#This Row],[Столбец20]]/$D$4*100</f>
        <v>0.34383243434780897</v>
      </c>
    </row>
    <row r="76" spans="1:10" ht="22.5" customHeight="1">
      <c r="A76" s="21" t="s">
        <v>35</v>
      </c>
      <c r="B76" s="14">
        <v>40.1</v>
      </c>
      <c r="C76" s="14">
        <v>41</v>
      </c>
      <c r="D76" s="14">
        <v>42</v>
      </c>
      <c r="E76" s="14">
        <f>Таблица224[[#This Row],[Столбец20]]/Таблица224[[#This Row],[Столбец14]]*100-100</f>
        <v>2.4390243902439011</v>
      </c>
      <c r="F76" s="14">
        <f>Таблица224[[#This Row],[Столбец14]]-Таблица224[[#This Row],[Столбец5]]</f>
        <v>0.89999999999999858</v>
      </c>
      <c r="G76" s="14">
        <f>Таблица224[[#This Row],[Столбец20]]-Таблица224[[#This Row],[Столбец14]]</f>
        <v>1</v>
      </c>
      <c r="H76" s="14">
        <f>Таблица224[[#This Row],[Столбец5]]/$B$4*100</f>
        <v>3.8571043822861764E-2</v>
      </c>
      <c r="I76" s="14">
        <f>Таблица224[[#This Row],[Столбец14]]/$C$4*100</f>
        <v>3.55952215585498E-2</v>
      </c>
      <c r="J76" s="14">
        <f>Таблица224[[#This Row],[Столбец20]]/$D$4*100</f>
        <v>3.3072168195598252E-2</v>
      </c>
    </row>
    <row r="77" spans="1:10" ht="22.5" customHeight="1">
      <c r="A77" s="102" t="s">
        <v>44</v>
      </c>
      <c r="B77" s="101">
        <f>SUM(B78,B82,B83)</f>
        <v>9837.6449529999991</v>
      </c>
      <c r="C77" s="101">
        <f>SUM(C78,C82,C83)</f>
        <v>11208.609</v>
      </c>
      <c r="D77" s="101">
        <f>SUM(D78,D82,D83)</f>
        <v>11316.608</v>
      </c>
      <c r="E77" s="101">
        <f>Таблица224[[#This Row],[Столбец20]]/Таблица224[[#This Row],[Столбец14]]*100-100</f>
        <v>0.96353615332643017</v>
      </c>
      <c r="F77" s="101">
        <f>Таблица224[[#This Row],[Столбец14]]-Таблица224[[#This Row],[Столбец5]]</f>
        <v>1370.9640470000013</v>
      </c>
      <c r="G77" s="101">
        <f>Таблица224[[#This Row],[Столбец20]]-Таблица224[[#This Row],[Столбец14]]</f>
        <v>107.9989999999998</v>
      </c>
      <c r="H77" s="101">
        <f>Таблица224[[#This Row],[Столбец5]]/$B$4*100</f>
        <v>9.4625494911700194</v>
      </c>
      <c r="I77" s="101">
        <f>Таблица224[[#This Row],[Столбец14]]/$C$4*100</f>
        <v>9.7310468467842757</v>
      </c>
      <c r="J77" s="101">
        <f>Таблица224[[#This Row],[Столбец20]]/$D$4*100</f>
        <v>8.9110657899917314</v>
      </c>
    </row>
    <row r="78" spans="1:10" ht="22.5" customHeight="1">
      <c r="A78" s="21" t="s">
        <v>28</v>
      </c>
      <c r="B78" s="23">
        <f t="shared" ref="B78:B79" si="13">B85+B92+B99+B106+B112+B119</f>
        <v>4368.7818029999999</v>
      </c>
      <c r="C78" s="23">
        <f>C85+C92+C99+C106+C112+C119</f>
        <v>4644.9390000000003</v>
      </c>
      <c r="D78" s="23">
        <f>D85+D92+D99+D106+D112+D119</f>
        <v>4935.1040000000003</v>
      </c>
      <c r="E78" s="14">
        <f>Таблица224[[#This Row],[Столбец20]]/Таблица224[[#This Row],[Столбец14]]*100-100</f>
        <v>6.2469065793974892</v>
      </c>
      <c r="F78" s="14">
        <f>Таблица224[[#This Row],[Столбец14]]-Таблица224[[#This Row],[Столбец5]]</f>
        <v>276.15719700000045</v>
      </c>
      <c r="G78" s="14">
        <f>Таблица224[[#This Row],[Столбец20]]-Таблица224[[#This Row],[Столбец14]]</f>
        <v>290.16499999999996</v>
      </c>
      <c r="H78" s="14">
        <f>Таблица224[[#This Row],[Столбец5]]/$B$4*100</f>
        <v>4.2022063435419952</v>
      </c>
      <c r="I78" s="14">
        <f>Таблица224[[#This Row],[Столбец14]]/$C$4*100</f>
        <v>4.0326251909987505</v>
      </c>
      <c r="J78" s="14">
        <f>Таблица224[[#This Row],[Столбец20]]/$D$4*100</f>
        <v>3.8860616559707082</v>
      </c>
    </row>
    <row r="79" spans="1:10" ht="22.5" customHeight="1">
      <c r="A79" s="19" t="s">
        <v>29</v>
      </c>
      <c r="B79" s="14">
        <f t="shared" si="13"/>
        <v>192.68113500000001</v>
      </c>
      <c r="C79" s="14">
        <f>C86+C93+C100+C107+C113+C120</f>
        <v>197.53</v>
      </c>
      <c r="D79" s="14">
        <f>D86+D93+D100+D107+D113+D120</f>
        <v>197.53</v>
      </c>
      <c r="E79" s="14">
        <f>Таблица224[[#This Row],[Столбец20]]/Таблица224[[#This Row],[Столбец14]]*100-100</f>
        <v>0</v>
      </c>
      <c r="F79" s="14">
        <f>Таблица224[[#This Row],[Столбец14]]-Таблица224[[#This Row],[Столбец5]]</f>
        <v>4.8488649999999893</v>
      </c>
      <c r="G79" s="14">
        <f>Таблица224[[#This Row],[Столбец20]]-Таблица224[[#This Row],[Столбец14]]</f>
        <v>0</v>
      </c>
      <c r="H79" s="14">
        <f>Таблица224[[#This Row],[Столбец5]]/$B$4*100</f>
        <v>0.18533447635720057</v>
      </c>
      <c r="I79" s="14">
        <f>Таблица224[[#This Row],[Столбец14]]/$C$4*100</f>
        <v>0.17149083206000834</v>
      </c>
      <c r="J79" s="14">
        <f>Таблица224[[#This Row],[Столбец20]]/$D$4*100</f>
        <v>0.15554155675420292</v>
      </c>
    </row>
    <row r="80" spans="1:10" ht="22.5" customHeight="1">
      <c r="A80" s="19" t="s">
        <v>30</v>
      </c>
      <c r="B80" s="14">
        <f>B87+B94+B101+B108+B114</f>
        <v>2768</v>
      </c>
      <c r="C80" s="14">
        <f>C87+C94+C101+C108+C114</f>
        <v>2977.5399999999995</v>
      </c>
      <c r="D80" s="14">
        <f>D87+D94+D101+D108+D114</f>
        <v>3156.1480000000001</v>
      </c>
      <c r="E80" s="14">
        <f>Таблица224[[#This Row],[Столбец20]]/Таблица224[[#This Row],[Столбец14]]*100-100</f>
        <v>5.9985088361533627</v>
      </c>
      <c r="F80" s="14">
        <f>Таблица224[[#This Row],[Столбец14]]-Таблица224[[#This Row],[Столбец5]]</f>
        <v>209.53999999999951</v>
      </c>
      <c r="G80" s="14">
        <f>Таблица224[[#This Row],[Столбец20]]-Таблица224[[#This Row],[Столбец14]]</f>
        <v>178.60800000000063</v>
      </c>
      <c r="H80" s="14">
        <f>Таблица224[[#This Row],[Столбец5]]/$B$4*100</f>
        <v>2.6624600823361932</v>
      </c>
      <c r="I80" s="14">
        <f>Таблица224[[#This Row],[Столбец14]]/$C$4*100</f>
        <v>2.5850291707181552</v>
      </c>
      <c r="J80" s="14">
        <f>Таблица224[[#This Row],[Столбец20]]/$D$4*100</f>
        <v>2.4852537501476437</v>
      </c>
    </row>
    <row r="81" spans="1:10" ht="22.5" customHeight="1">
      <c r="A81" s="19" t="s">
        <v>31</v>
      </c>
      <c r="B81" s="24">
        <f>B88+B95+B102+B109+B115+B121</f>
        <v>1408.1006679999998</v>
      </c>
      <c r="C81" s="18">
        <f>C88+C95+C102+C109+C115+C121</f>
        <v>1469.8689999999999</v>
      </c>
      <c r="D81" s="18">
        <f>D88+D95+D102+D109+D115+D121</f>
        <v>1581.4259999999997</v>
      </c>
      <c r="E81" s="18">
        <f>Таблица224[[#This Row],[Столбец20]]/Таблица224[[#This Row],[Столбец14]]*100-100</f>
        <v>7.5895879156577735</v>
      </c>
      <c r="F81" s="14">
        <f>Таблица224[[#This Row],[Столбец14]]-Таблица224[[#This Row],[Столбец5]]</f>
        <v>61.7683320000001</v>
      </c>
      <c r="G81" s="18">
        <f>Таблица224[[#This Row],[Столбец20]]-Таблица224[[#This Row],[Столбец14]]</f>
        <v>111.55699999999979</v>
      </c>
      <c r="H81" s="18">
        <f>Таблица224[[#This Row],[Столбец5]]/$B$4*100</f>
        <v>1.3544117848486013</v>
      </c>
      <c r="I81" s="14">
        <f>Таблица224[[#This Row],[Столбец14]]/$C$4*100</f>
        <v>1.2761051882205861</v>
      </c>
      <c r="J81" s="18">
        <f>Таблица224[[#This Row],[Столбец20]]/$D$4*100</f>
        <v>1.2452663490688607</v>
      </c>
    </row>
    <row r="82" spans="1:10" ht="22.5" customHeight="1">
      <c r="A82" s="21" t="s">
        <v>37</v>
      </c>
      <c r="B82" s="23">
        <f>B89+B96+B103+B116</f>
        <v>5294.2369999999992</v>
      </c>
      <c r="C82" s="14">
        <f>C89+C96+C103+C116</f>
        <v>6419.8559999999998</v>
      </c>
      <c r="D82" s="14">
        <f>D89+D96+D103+D116</f>
        <v>6229.9</v>
      </c>
      <c r="E82" s="14">
        <f>Таблица224[[#This Row],[Столбец20]]/Таблица224[[#This Row],[Столбец14]]*100-100</f>
        <v>-2.9588825668363938</v>
      </c>
      <c r="F82" s="14">
        <f>Таблица224[[#This Row],[Столбец14]]-Таблица224[[#This Row],[Столбец5]]</f>
        <v>1125.6190000000006</v>
      </c>
      <c r="G82" s="14">
        <f>Таблица224[[#This Row],[Столбец20]]-Таблица224[[#This Row],[Столбец14]]</f>
        <v>-189.95600000000013</v>
      </c>
      <c r="H82" s="14">
        <f>Таблица224[[#This Row],[Столбец5]]/$B$4*100</f>
        <v>5.0923752452772106</v>
      </c>
      <c r="I82" s="14">
        <f>Таблица224[[#This Row],[Столбец14]]/$C$4*100</f>
        <v>5.5735657730240309</v>
      </c>
      <c r="J82" s="14">
        <f>Таблица224[[#This Row],[Столбец20]]/$D$4*100</f>
        <v>4.905626205756132</v>
      </c>
    </row>
    <row r="83" spans="1:10" ht="22.5" customHeight="1">
      <c r="A83" s="21" t="s">
        <v>35</v>
      </c>
      <c r="B83" s="14">
        <f>B90+B97+B104+B110+B117+B122</f>
        <v>174.62615000000002</v>
      </c>
      <c r="C83" s="14">
        <f>SUM(C90,C97,C104,C110,C117,C122)</f>
        <v>143.81399999999999</v>
      </c>
      <c r="D83" s="14">
        <f>SUM(D90,D97,D104,D110,D117,D122)</f>
        <v>151.60400000000001</v>
      </c>
      <c r="E83" s="14">
        <f>Таблица224[[#This Row],[Столбец20]]/Таблица224[[#This Row],[Столбец14]]*100-100</f>
        <v>5.4167188173613283</v>
      </c>
      <c r="F83" s="14">
        <f>Таблица224[[#This Row],[Столбец14]]-Таблица224[[#This Row],[Столбец5]]</f>
        <v>-30.812150000000031</v>
      </c>
      <c r="G83" s="14">
        <f>Таблица224[[#This Row],[Столбец20]]-Таблица224[[#This Row],[Столбец14]]</f>
        <v>7.7900000000000205</v>
      </c>
      <c r="H83" s="14">
        <f>Таблица224[[#This Row],[Столбец5]]/$B$4*100</f>
        <v>0.16796790235081377</v>
      </c>
      <c r="I83" s="14">
        <f>Таблица224[[#This Row],[Столбец14]]/$C$4*100</f>
        <v>0.12485588276149465</v>
      </c>
      <c r="J83" s="14">
        <f>Таблица224[[#This Row],[Столбец20]]/$D$4*100</f>
        <v>0.11937792826489232</v>
      </c>
    </row>
    <row r="84" spans="1:10" ht="37.5">
      <c r="A84" s="102" t="s">
        <v>45</v>
      </c>
      <c r="B84" s="101">
        <f>SUM(B85,B89,B90)</f>
        <v>1433.3340000000001</v>
      </c>
      <c r="C84" s="101">
        <f>SUM(C85,C89,C90)</f>
        <v>1482.5599999999997</v>
      </c>
      <c r="D84" s="101">
        <f>SUM(D85,D89,D90)</f>
        <v>1763.96</v>
      </c>
      <c r="E84" s="101">
        <f>Таблица224[[#This Row],[Столбец20]]/Таблица224[[#This Row],[Столбец14]]*100-100</f>
        <v>18.98068206345782</v>
      </c>
      <c r="F84" s="101">
        <f>Таблица224[[#This Row],[Столбец14]]-Таблица224[[#This Row],[Столбец5]]</f>
        <v>49.225999999999658</v>
      </c>
      <c r="G84" s="101">
        <f>Таблица224[[#This Row],[Столбец20]]-Таблица224[[#This Row],[Столбец14]]</f>
        <v>281.40000000000032</v>
      </c>
      <c r="H84" s="101">
        <f>Таблица224[[#This Row],[Столбец5]]/$B$4*100</f>
        <v>1.3786830056558039</v>
      </c>
      <c r="I84" s="101">
        <f>Таблица224[[#This Row],[Столбец14]]/$C$4*100</f>
        <v>1.2871232115571605</v>
      </c>
      <c r="J84" s="101">
        <f>Таблица224[[#This Row],[Столбец20]]/$D$4*100</f>
        <v>1.3889995669120832</v>
      </c>
    </row>
    <row r="85" spans="1:10" ht="22.5" customHeight="1">
      <c r="A85" s="21" t="s">
        <v>28</v>
      </c>
      <c r="B85" s="14">
        <f t="shared" ref="B85" si="14">B86+B87+B88</f>
        <v>791.49700000000007</v>
      </c>
      <c r="C85" s="14">
        <f t="shared" ref="C85:D85" si="15">C86+C87+C88</f>
        <v>880.89999999999986</v>
      </c>
      <c r="D85" s="14">
        <f t="shared" si="15"/>
        <v>939.3</v>
      </c>
      <c r="E85" s="14">
        <f>Таблица224[[#This Row],[Столбец20]]/Таблица224[[#This Row],[Столбец14]]*100-100</f>
        <v>6.6295833806334628</v>
      </c>
      <c r="F85" s="14">
        <f>Таблица224[[#This Row],[Столбец14]]-Таблица224[[#This Row],[Столбец5]]</f>
        <v>89.402999999999793</v>
      </c>
      <c r="G85" s="14">
        <f>Таблица224[[#This Row],[Столбец20]]-Таблица224[[#This Row],[Столбец14]]</f>
        <v>58.400000000000091</v>
      </c>
      <c r="H85" s="14">
        <f>Таблица224[[#This Row],[Столбец5]]/$B$4*100</f>
        <v>0.76131834096417994</v>
      </c>
      <c r="I85" s="14">
        <f>Таблица224[[#This Row],[Столбец14]]/$C$4*100</f>
        <v>0.76477635782747588</v>
      </c>
      <c r="J85" s="14">
        <f>Таблица224[[#This Row],[Столбец20]]/$D$4*100</f>
        <v>0.73963541871727223</v>
      </c>
    </row>
    <row r="86" spans="1:10" ht="22.5" customHeight="1">
      <c r="A86" s="19" t="s">
        <v>29</v>
      </c>
      <c r="B86" s="14">
        <v>30.414000000000001</v>
      </c>
      <c r="C86" s="14">
        <v>30.6</v>
      </c>
      <c r="D86" s="14">
        <v>30.6</v>
      </c>
      <c r="E86" s="14">
        <f>Таблица224[[#This Row],[Столбец20]]/Таблица224[[#This Row],[Столбец14]]*100-100</f>
        <v>0</v>
      </c>
      <c r="F86" s="14">
        <f>Таблица224[[#This Row],[Столбец14]]-Таблица224[[#This Row],[Столбец5]]</f>
        <v>0.18599999999999994</v>
      </c>
      <c r="G86" s="14">
        <f>Таблица224[[#This Row],[Столбец20]]-Таблица224[[#This Row],[Столбец14]]</f>
        <v>0</v>
      </c>
      <c r="H86" s="14">
        <f>Таблица224[[#This Row],[Столбец5]]/$B$4*100</f>
        <v>2.9254357277519141E-2</v>
      </c>
      <c r="I86" s="14">
        <f>Таблица224[[#This Row],[Столбец14]]/$C$4*100</f>
        <v>2.6566189748576191E-2</v>
      </c>
      <c r="J86" s="14">
        <f>Таблица224[[#This Row],[Столбец20]]/$D$4*100</f>
        <v>2.4095436828221586E-2</v>
      </c>
    </row>
    <row r="87" spans="1:10" s="16" customFormat="1" ht="22.5" customHeight="1">
      <c r="A87" s="19" t="s">
        <v>30</v>
      </c>
      <c r="B87" s="14">
        <v>146.1</v>
      </c>
      <c r="C87" s="14">
        <v>161.1</v>
      </c>
      <c r="D87" s="14">
        <v>170.8</v>
      </c>
      <c r="E87" s="14">
        <f>Таблица224[[#This Row],[Столбец20]]/Таблица224[[#This Row],[Столбец14]]*100-100</f>
        <v>6.0211049037864939</v>
      </c>
      <c r="F87" s="25">
        <f>Таблица224[[#This Row],[Столбец14]]-Таблица224[[#This Row],[Столбец5]]</f>
        <v>15</v>
      </c>
      <c r="G87" s="25">
        <f>Таблица224[[#This Row],[Столбец20]]-Таблица224[[#This Row],[Столбец14]]</f>
        <v>9.7000000000000171</v>
      </c>
      <c r="H87" s="25">
        <f>Таблица224[[#This Row],[Столбец5]]/$B$4*100</f>
        <v>0.14052941402793276</v>
      </c>
      <c r="I87" s="14">
        <f>Таблица224[[#This Row],[Столбец14]]/$C$4*100</f>
        <v>0.13986317544103347</v>
      </c>
      <c r="J87" s="14">
        <f>Таблица224[[#This Row],[Столбец20]]/$D$4*100</f>
        <v>0.1344934839954329</v>
      </c>
    </row>
    <row r="88" spans="1:10" ht="22.5" customHeight="1">
      <c r="A88" s="19" t="s">
        <v>31</v>
      </c>
      <c r="B88" s="18">
        <f>614.297+0.686</f>
        <v>614.98300000000006</v>
      </c>
      <c r="C88" s="18">
        <f>688.4+0.8</f>
        <v>689.19999999999993</v>
      </c>
      <c r="D88" s="18">
        <f>737.1+0.8</f>
        <v>737.9</v>
      </c>
      <c r="E88" s="18">
        <f>Таблица224[[#This Row],[Столбец20]]/Таблица224[[#This Row],[Столбец14]]*100-100</f>
        <v>7.0661636680209057</v>
      </c>
      <c r="F88" s="18">
        <f>Таблица224[[#This Row],[Столбец14]]-Таблица224[[#This Row],[Столбец5]]</f>
        <v>74.216999999999871</v>
      </c>
      <c r="G88" s="18">
        <f>Таблица224[[#This Row],[Столбец20]]-Таблица224[[#This Row],[Столбец14]]</f>
        <v>48.700000000000045</v>
      </c>
      <c r="H88" s="18">
        <f>Таблица224[[#This Row],[Столбец5]]/$B$4*100</f>
        <v>0.59153456965872808</v>
      </c>
      <c r="I88" s="14">
        <f>Таблица224[[#This Row],[Столбец14]]/$C$4*100</f>
        <v>0.59834699263786628</v>
      </c>
      <c r="J88" s="18">
        <f>Таблица224[[#This Row],[Столбец20]]/$D$4*100</f>
        <v>0.58104649789361784</v>
      </c>
    </row>
    <row r="89" spans="1:10" ht="22.5" customHeight="1">
      <c r="A89" s="21" t="s">
        <v>37</v>
      </c>
      <c r="B89" s="14">
        <f>475.36+93.121</f>
        <v>568.48099999999999</v>
      </c>
      <c r="C89" s="14">
        <v>555.36</v>
      </c>
      <c r="D89" s="14">
        <v>775.76</v>
      </c>
      <c r="E89" s="14">
        <f>Таблица224[[#This Row],[Столбец20]]/Таблица224[[#This Row],[Столбец14]]*100-100</f>
        <v>39.685969461250352</v>
      </c>
      <c r="F89" s="14">
        <f>Таблица224[[#This Row],[Столбец14]]-Таблица224[[#This Row],[Столбец5]]</f>
        <v>-13.120999999999981</v>
      </c>
      <c r="G89" s="14">
        <f>Таблица224[[#This Row],[Столбец20]]-Таблица224[[#This Row],[Столбец14]]</f>
        <v>220.39999999999998</v>
      </c>
      <c r="H89" s="14">
        <f>Таблица224[[#This Row],[Столбец5]]/$B$4*100</f>
        <v>0.54680562502404684</v>
      </c>
      <c r="I89" s="14">
        <f>Таблица224[[#This Row],[Столбец14]]/$C$4*100</f>
        <v>0.48215029865259063</v>
      </c>
      <c r="J89" s="14">
        <f>Таблица224[[#This Row],[Столбец20]]/$D$4*100</f>
        <v>0.61085869522422143</v>
      </c>
    </row>
    <row r="90" spans="1:10" ht="22.5" customHeight="1">
      <c r="A90" s="21" t="s">
        <v>35</v>
      </c>
      <c r="B90" s="14">
        <v>73.355999999999995</v>
      </c>
      <c r="C90" s="14">
        <v>46.3</v>
      </c>
      <c r="D90" s="14">
        <v>48.9</v>
      </c>
      <c r="E90" s="14">
        <f>Таблица224[[#This Row],[Столбец20]]/Таблица224[[#This Row],[Столбец14]]*100-100</f>
        <v>5.6155507559395375</v>
      </c>
      <c r="F90" s="14">
        <f>Таблица224[[#This Row],[Столбец14]]-Таблица224[[#This Row],[Столбец5]]</f>
        <v>-27.055999999999997</v>
      </c>
      <c r="G90" s="14">
        <f>Таблица224[[#This Row],[Столбец20]]-Таблица224[[#This Row],[Столбец14]]</f>
        <v>2.6000000000000014</v>
      </c>
      <c r="H90" s="14">
        <f>Таблица224[[#This Row],[Столбец5]]/$B$4*100</f>
        <v>7.0559039667577234E-2</v>
      </c>
      <c r="I90" s="14">
        <f>Таблица224[[#This Row],[Столбец14]]/$C$4*100</f>
        <v>4.0196555077094034E-2</v>
      </c>
      <c r="J90" s="14">
        <f>Таблица224[[#This Row],[Столбец20]]/$D$4*100</f>
        <v>3.8505452970589389E-2</v>
      </c>
    </row>
    <row r="91" spans="1:10" ht="22.5" customHeight="1">
      <c r="A91" s="102" t="s">
        <v>46</v>
      </c>
      <c r="B91" s="101">
        <f>SUM(B92,B96,B97)</f>
        <v>4533.6326680000002</v>
      </c>
      <c r="C91" s="101">
        <f>SUM(C92,C96,C97)</f>
        <v>6250.5460000000003</v>
      </c>
      <c r="D91" s="101">
        <f>SUM(D92,D96,D97)</f>
        <v>3653.9000000000005</v>
      </c>
      <c r="E91" s="101">
        <f>Таблица224[[#This Row],[Столбец20]]/Таблица224[[#This Row],[Столбец14]]*100-100</f>
        <v>-41.542706829131404</v>
      </c>
      <c r="F91" s="101">
        <f>Таблица224[[#This Row],[Столбец14]]-Таблица224[[#This Row],[Столбец5]]</f>
        <v>1716.9133320000001</v>
      </c>
      <c r="G91" s="101">
        <f>Таблица224[[#This Row],[Столбец20]]-Таблица224[[#This Row],[Столбец14]]</f>
        <v>-2596.6459999999997</v>
      </c>
      <c r="H91" s="101">
        <f>Таблица224[[#This Row],[Столбец5]]/$B$4*100</f>
        <v>4.3607716786579971</v>
      </c>
      <c r="I91" s="101">
        <f>Таблица224[[#This Row],[Столбец14]]/$C$4*100</f>
        <v>5.4265748715099322</v>
      </c>
      <c r="J91" s="101">
        <f>Таблица224[[#This Row],[Столбец20]]/$D$4*100</f>
        <v>2.87719988975944</v>
      </c>
    </row>
    <row r="92" spans="1:10" ht="22.5" customHeight="1">
      <c r="A92" s="21" t="s">
        <v>28</v>
      </c>
      <c r="B92" s="14">
        <f t="shared" ref="B92" si="16">B93+B94+B95</f>
        <v>2194.341668</v>
      </c>
      <c r="C92" s="14">
        <f t="shared" ref="C92:D92" si="17">C93+C94+C95</f>
        <v>2343.3000000000002</v>
      </c>
      <c r="D92" s="14">
        <f t="shared" si="17"/>
        <v>2482.5000000000005</v>
      </c>
      <c r="E92" s="14">
        <f>Таблица224[[#This Row],[Столбец20]]/Таблица224[[#This Row],[Столбец14]]*100-100</f>
        <v>5.9403405453847284</v>
      </c>
      <c r="F92" s="14">
        <f>Таблица224[[#This Row],[Столбец14]]-Таблица224[[#This Row],[Столбец5]]</f>
        <v>148.95833200000015</v>
      </c>
      <c r="G92" s="14">
        <f>Таблица224[[#This Row],[Столбец20]]-Таблица224[[#This Row],[Столбец14]]</f>
        <v>139.20000000000027</v>
      </c>
      <c r="H92" s="14">
        <f>Таблица224[[#This Row],[Столбец5]]/$B$4*100</f>
        <v>2.1106745296448772</v>
      </c>
      <c r="I92" s="14">
        <f>Таблица224[[#This Row],[Столбец14]]/$C$4*100</f>
        <v>2.0343971384914572</v>
      </c>
      <c r="J92" s="14">
        <f>Таблица224[[#This Row],[Столбец20]]/$D$4*100</f>
        <v>1.9548013701326825</v>
      </c>
    </row>
    <row r="93" spans="1:10" ht="22.5" customHeight="1">
      <c r="A93" s="19" t="s">
        <v>29</v>
      </c>
      <c r="B93" s="14">
        <v>11.4</v>
      </c>
      <c r="C93" s="14">
        <v>5.8</v>
      </c>
      <c r="D93" s="14">
        <v>5.8</v>
      </c>
      <c r="E93" s="14">
        <f>Таблица224[[#This Row],[Столбец20]]/Таблица224[[#This Row],[Столбец14]]*100-100</f>
        <v>0</v>
      </c>
      <c r="F93" s="14">
        <f>Таблица224[[#This Row],[Столбец14]]-Таблица224[[#This Row],[Столбец5]]</f>
        <v>-5.6000000000000005</v>
      </c>
      <c r="G93" s="14">
        <f>Таблица224[[#This Row],[Столбец20]]-Таблица224[[#This Row],[Столбец14]]</f>
        <v>0</v>
      </c>
      <c r="H93" s="14">
        <f>Таблица224[[#This Row],[Столбец5]]/$B$4*100</f>
        <v>1.0965334154130275E-2</v>
      </c>
      <c r="I93" s="14">
        <f>Таблица224[[#This Row],[Столбец14]]/$C$4*100</f>
        <v>5.0354215863314348E-3</v>
      </c>
      <c r="J93" s="14">
        <f>Таблица224[[#This Row],[Столбец20]]/$D$4*100</f>
        <v>4.5671089412969018E-3</v>
      </c>
    </row>
    <row r="94" spans="1:10" ht="22.5" customHeight="1">
      <c r="A94" s="19" t="s">
        <v>30</v>
      </c>
      <c r="B94" s="14">
        <v>2177.9</v>
      </c>
      <c r="C94" s="14">
        <v>2332</v>
      </c>
      <c r="D94" s="14">
        <v>2471.9</v>
      </c>
      <c r="E94" s="14">
        <f>Таблица224[[#This Row],[Столбец20]]/Таблица224[[#This Row],[Столбец14]]*100-100</f>
        <v>5.9991423670668951</v>
      </c>
      <c r="F94" s="14">
        <f>Таблица224[[#This Row],[Столбец14]]-Таблица224[[#This Row],[Столбец5]]</f>
        <v>154.09999999999991</v>
      </c>
      <c r="G94" s="14">
        <f>Таблица224[[#This Row],[Столбец20]]-Таблица224[[#This Row],[Столбец14]]</f>
        <v>139.90000000000009</v>
      </c>
      <c r="H94" s="14">
        <f>Таблица224[[#This Row],[Столбец5]]/$B$4*100</f>
        <v>2.0948597591473974</v>
      </c>
      <c r="I94" s="14">
        <f>Таблица224[[#This Row],[Столбец14]]/$C$4*100</f>
        <v>2.0245867481594666</v>
      </c>
      <c r="J94" s="14">
        <f>Таблица224[[#This Row],[Столбец20]]/$D$4*100</f>
        <v>1.9464545848261743</v>
      </c>
    </row>
    <row r="95" spans="1:10" ht="22.5" customHeight="1">
      <c r="A95" s="19" t="s">
        <v>31</v>
      </c>
      <c r="B95" s="18">
        <f>4.9+0.141668</f>
        <v>5.0416680000000005</v>
      </c>
      <c r="C95" s="18">
        <f>4.3+1.2</f>
        <v>5.5</v>
      </c>
      <c r="D95" s="18">
        <f>4.6+0.2</f>
        <v>4.8</v>
      </c>
      <c r="E95" s="18">
        <f>Таблица224[[#This Row],[Столбец20]]/Таблица224[[#This Row],[Столбец14]]*100-100</f>
        <v>-12.727272727272734</v>
      </c>
      <c r="F95" s="18">
        <f>Таблица224[[#This Row],[Столбец14]]-Таблица224[[#This Row],[Столбец5]]</f>
        <v>0.45833199999999952</v>
      </c>
      <c r="G95" s="18">
        <f>Таблица224[[#This Row],[Столбец20]]-Таблица224[[#This Row],[Столбец14]]</f>
        <v>-0.70000000000000018</v>
      </c>
      <c r="H95" s="18">
        <f>Таблица224[[#This Row],[Столбец5]]/$B$4*100</f>
        <v>4.8494363433496217E-3</v>
      </c>
      <c r="I95" s="14">
        <f>Таблица224[[#This Row],[Столбец14]]/$C$4*100</f>
        <v>4.7749687456591187E-3</v>
      </c>
      <c r="J95" s="18">
        <f>Таблица224[[#This Row],[Столбец20]]/$D$4*100</f>
        <v>3.7796763652112285E-3</v>
      </c>
    </row>
    <row r="96" spans="1:10" ht="22.5" customHeight="1">
      <c r="A96" s="21" t="s">
        <v>37</v>
      </c>
      <c r="B96" s="14">
        <f>1044.588+1289.541</f>
        <v>2334.1289999999999</v>
      </c>
      <c r="C96" s="14">
        <f>1631.669+2275.577</f>
        <v>3907.2460000000001</v>
      </c>
      <c r="D96" s="14">
        <v>1171.4000000000001</v>
      </c>
      <c r="E96" s="14">
        <f>Таблица224[[#This Row],[Столбец20]]/Таблица224[[#This Row],[Столбец14]]*100-100</f>
        <v>-70.019804230396545</v>
      </c>
      <c r="F96" s="14">
        <f>Таблица224[[#This Row],[Столбец14]]-Таблица224[[#This Row],[Столбец5]]</f>
        <v>1573.1170000000002</v>
      </c>
      <c r="G96" s="14">
        <f>Таблица224[[#This Row],[Столбец20]]-Таблица224[[#This Row],[Столбец14]]</f>
        <v>-2735.846</v>
      </c>
      <c r="H96" s="14">
        <f>Таблица224[[#This Row],[Столбец5]]/$B$4*100</f>
        <v>2.2451319687584164</v>
      </c>
      <c r="I96" s="14">
        <f>Таблица224[[#This Row],[Столбец14]]/$C$4*100</f>
        <v>3.3921777330184746</v>
      </c>
      <c r="J96" s="14">
        <f>Таблица224[[#This Row],[Столбец20]]/$D$4*100</f>
        <v>0.92239851962675701</v>
      </c>
    </row>
    <row r="97" spans="1:10" ht="22.5" hidden="1" customHeight="1">
      <c r="A97" s="21" t="s">
        <v>35</v>
      </c>
      <c r="B97" s="14">
        <v>5.1619999999999999</v>
      </c>
      <c r="C97" s="14"/>
      <c r="D97" s="14"/>
      <c r="E97" s="14" t="e">
        <f>Таблица224[[#This Row],[Столбец20]]/Таблица224[[#This Row],[Столбец14]]*100-100</f>
        <v>#DIV/0!</v>
      </c>
      <c r="F97" s="14">
        <f>Таблица224[[#This Row],[Столбец14]]-Таблица224[[#This Row],[Столбец5]]</f>
        <v>-5.1619999999999999</v>
      </c>
      <c r="G97" s="14">
        <f>Таблица224[[#This Row],[Столбец20]]-Таблица224[[#This Row],[Столбец14]]</f>
        <v>0</v>
      </c>
      <c r="H97" s="14">
        <f>Таблица224[[#This Row],[Столбец5]]/$B$4*100</f>
        <v>4.9651802547035512E-3</v>
      </c>
      <c r="I97" s="14">
        <f>Таблица224[[#This Row],[Столбец14]]/$C$4*100</f>
        <v>0</v>
      </c>
      <c r="J97" s="14">
        <f>Таблица224[[#This Row],[Столбец20]]/$D$4*100</f>
        <v>0</v>
      </c>
    </row>
    <row r="98" spans="1:10" ht="22.5" customHeight="1">
      <c r="A98" s="102" t="s">
        <v>47</v>
      </c>
      <c r="B98" s="101">
        <f>SUM(B99,B103,B104)</f>
        <v>1034.19</v>
      </c>
      <c r="C98" s="101">
        <f>C99+C104+C103</f>
        <v>821.10900000000004</v>
      </c>
      <c r="D98" s="101">
        <f>D99+D104+D103</f>
        <v>1408.4499999999998</v>
      </c>
      <c r="E98" s="101">
        <f>Таблица224[[#This Row],[Столбец20]]/Таблица224[[#This Row],[Столбец14]]*100-100</f>
        <v>71.53021097077243</v>
      </c>
      <c r="F98" s="101">
        <f>Таблица224[[#This Row],[Столбец14]]-Таблица224[[#This Row],[Столбец5]]</f>
        <v>-213.08100000000002</v>
      </c>
      <c r="G98" s="101">
        <f>Таблица224[[#This Row],[Столбец20]]-Таблица224[[#This Row],[Столбец14]]</f>
        <v>587.34099999999978</v>
      </c>
      <c r="H98" s="101">
        <f>Таблица224[[#This Row],[Столбец5]]/$B$4*100</f>
        <v>0.99475780077719222</v>
      </c>
      <c r="I98" s="101">
        <f>Таблица224[[#This Row],[Столбец14]]/$C$4*100</f>
        <v>0.71286723850534806</v>
      </c>
      <c r="J98" s="101">
        <f>Таблица224[[#This Row],[Столбец20]]/$D$4*100</f>
        <v>1.1090594117878656</v>
      </c>
    </row>
    <row r="99" spans="1:10" ht="22.5" customHeight="1">
      <c r="A99" s="21" t="s">
        <v>28</v>
      </c>
      <c r="B99" s="14">
        <f t="shared" ref="B99" si="18">B100+B101+B102</f>
        <v>260.60000000000002</v>
      </c>
      <c r="C99" s="14">
        <f t="shared" ref="C99:D99" si="19">C100+C101+C102</f>
        <v>280.05799999999999</v>
      </c>
      <c r="D99" s="14">
        <f t="shared" si="19"/>
        <v>296.72299999999996</v>
      </c>
      <c r="E99" s="14">
        <f>Таблица224[[#This Row],[Столбец20]]/Таблица224[[#This Row],[Столбец14]]*100-100</f>
        <v>5.9505530997150373</v>
      </c>
      <c r="F99" s="14">
        <f>Таблица224[[#This Row],[Столбец14]]-Таблица224[[#This Row],[Столбец5]]</f>
        <v>19.45799999999997</v>
      </c>
      <c r="G99" s="14">
        <f>Таблица224[[#This Row],[Столбец20]]-Таблица224[[#This Row],[Столбец14]]</f>
        <v>16.664999999999964</v>
      </c>
      <c r="H99" s="14">
        <f>Таблица224[[#This Row],[Столбец5]]/$B$4*100</f>
        <v>0.25066369127775001</v>
      </c>
      <c r="I99" s="14">
        <f>Таблица224[[#This Row],[Столбец14]]/$C$4*100</f>
        <v>0.24313967217669119</v>
      </c>
      <c r="J99" s="14">
        <f>Таблица224[[#This Row],[Столбец20]]/$D$4*100</f>
        <v>0.23364935627386901</v>
      </c>
    </row>
    <row r="100" spans="1:10" ht="22.5" customHeight="1">
      <c r="A100" s="19" t="s">
        <v>29</v>
      </c>
      <c r="B100" s="14">
        <v>70.8</v>
      </c>
      <c r="C100" s="14">
        <v>70.83</v>
      </c>
      <c r="D100" s="14">
        <v>70.83</v>
      </c>
      <c r="E100" s="14">
        <f>Таблица224[[#This Row],[Столбец20]]/Таблица224[[#This Row],[Столбец14]]*100-100</f>
        <v>0</v>
      </c>
      <c r="F100" s="14">
        <f>Таблица224[[#This Row],[Столбец14]]-Таблица224[[#This Row],[Столбец5]]</f>
        <v>3.0000000000001137E-2</v>
      </c>
      <c r="G100" s="14">
        <f>Таблица224[[#This Row],[Столбец20]]-Таблица224[[#This Row],[Столбец14]]</f>
        <v>0</v>
      </c>
      <c r="H100" s="14">
        <f>Таблица224[[#This Row],[Столбец5]]/$B$4*100</f>
        <v>6.8100496325651183E-2</v>
      </c>
      <c r="I100" s="14">
        <f>Таблица224[[#This Row],[Столбец14]]/$C$4*100</f>
        <v>6.1492915682733712E-2</v>
      </c>
      <c r="J100" s="14">
        <f>Таблица224[[#This Row],[Столбец20]]/$D$4*100</f>
        <v>5.5773849364148198E-2</v>
      </c>
    </row>
    <row r="101" spans="1:10" ht="22.5" customHeight="1">
      <c r="A101" s="19" t="s">
        <v>30</v>
      </c>
      <c r="B101" s="14">
        <v>19.899999999999999</v>
      </c>
      <c r="C101" s="14">
        <v>20.14</v>
      </c>
      <c r="D101" s="14">
        <v>21.347999999999999</v>
      </c>
      <c r="E101" s="14">
        <f>Таблица224[[#This Row],[Столбец20]]/Таблица224[[#This Row],[Столбец14]]*100-100</f>
        <v>5.9980139026812225</v>
      </c>
      <c r="F101" s="14">
        <f>Таблица224[[#This Row],[Столбец14]]-Таблица224[[#This Row],[Столбец5]]</f>
        <v>0.24000000000000199</v>
      </c>
      <c r="G101" s="14">
        <f>Таблица224[[#This Row],[Столбец20]]-Таблица224[[#This Row],[Столбец14]]</f>
        <v>1.2079999999999984</v>
      </c>
      <c r="H101" s="14">
        <f>Таблица224[[#This Row],[Столбец5]]/$B$4*100</f>
        <v>1.9141241198876533E-2</v>
      </c>
      <c r="I101" s="14">
        <f>Таблица224[[#This Row],[Столбец14]]/$C$4*100</f>
        <v>1.7485067370468121E-2</v>
      </c>
      <c r="J101" s="14">
        <f>Таблица224[[#This Row],[Столбец20]]/$D$4*100</f>
        <v>1.681011063427694E-2</v>
      </c>
    </row>
    <row r="102" spans="1:10" ht="22.5" customHeight="1">
      <c r="A102" s="19" t="s">
        <v>31</v>
      </c>
      <c r="B102" s="18">
        <v>169.9</v>
      </c>
      <c r="C102" s="18">
        <v>189.08799999999999</v>
      </c>
      <c r="D102" s="18">
        <v>204.54499999999999</v>
      </c>
      <c r="E102" s="18">
        <f>Таблица224[[#This Row],[Столбец20]]/Таблица224[[#This Row],[Столбец14]]*100-100</f>
        <v>8.1745007615501777</v>
      </c>
      <c r="F102" s="18">
        <f>Таблица224[[#This Row],[Столбец14]]-Таблица224[[#This Row],[Столбец5]]</f>
        <v>19.187999999999988</v>
      </c>
      <c r="G102" s="18">
        <f>Таблица224[[#This Row],[Столбец20]]-Таблица224[[#This Row],[Столбец14]]</f>
        <v>15.456999999999994</v>
      </c>
      <c r="H102" s="18">
        <f>Таблица224[[#This Row],[Столбец5]]/$B$4*100</f>
        <v>0.16342195375322227</v>
      </c>
      <c r="I102" s="14">
        <f>Таблица224[[#This Row],[Столбец14]]/$C$4*100</f>
        <v>0.16416168912348936</v>
      </c>
      <c r="J102" s="18">
        <f>Таблица224[[#This Row],[Столбец20]]/$D$4*100</f>
        <v>0.16106539627544389</v>
      </c>
    </row>
    <row r="103" spans="1:10" ht="22.5" customHeight="1">
      <c r="A103" s="21" t="s">
        <v>37</v>
      </c>
      <c r="B103" s="14">
        <f>232.91+512.236</f>
        <v>745.14599999999996</v>
      </c>
      <c r="C103" s="14">
        <f>209.226+304.927</f>
        <v>514.15300000000002</v>
      </c>
      <c r="D103" s="14">
        <v>1082.04</v>
      </c>
      <c r="E103" s="14">
        <f>Таблица224[[#This Row],[Столбец20]]/Таблица224[[#This Row],[Столбец14]]*100-100</f>
        <v>110.45097470986263</v>
      </c>
      <c r="F103" s="14">
        <f>Таблица224[[#This Row],[Столбец14]]-Таблица224[[#This Row],[Столбец5]]</f>
        <v>-230.99299999999994</v>
      </c>
      <c r="G103" s="14">
        <f>Таблица224[[#This Row],[Столбец20]]-Таблица224[[#This Row],[Столбец14]]</f>
        <v>567.88699999999994</v>
      </c>
      <c r="H103" s="14">
        <f>Таблица224[[#This Row],[Столбец5]]/$B$4*100</f>
        <v>0.71673463891347</v>
      </c>
      <c r="I103" s="14">
        <f>Таблица224[[#This Row],[Столбец14]]/$C$4*100</f>
        <v>0.44637536463397698</v>
      </c>
      <c r="J103" s="14">
        <f>Таблица224[[#This Row],[Столбец20]]/$D$4*100</f>
        <v>0.85203354462774128</v>
      </c>
    </row>
    <row r="104" spans="1:10" ht="22.5" customHeight="1">
      <c r="A104" s="21" t="s">
        <v>35</v>
      </c>
      <c r="B104" s="14">
        <v>28.443999999999999</v>
      </c>
      <c r="C104" s="14">
        <v>26.898</v>
      </c>
      <c r="D104" s="14">
        <v>29.687000000000001</v>
      </c>
      <c r="E104" s="14">
        <f>Таблица224[[#This Row],[Столбец20]]/Таблица224[[#This Row],[Столбец14]]*100-100</f>
        <v>10.368800654323749</v>
      </c>
      <c r="F104" s="14">
        <f>Таблица224[[#This Row],[Столбец14]]-Таблица224[[#This Row],[Столбец5]]</f>
        <v>-1.5459999999999994</v>
      </c>
      <c r="G104" s="14">
        <f>Таблица224[[#This Row],[Столбец20]]-Таблица224[[#This Row],[Столбец14]]</f>
        <v>2.7890000000000015</v>
      </c>
      <c r="H104" s="14">
        <f>Таблица224[[#This Row],[Столбец5]]/$B$4*100</f>
        <v>2.7359470585972066E-2</v>
      </c>
      <c r="I104" s="14">
        <f>Таблица224[[#This Row],[Столбец14]]/$C$4*100</f>
        <v>2.3352201694679817E-2</v>
      </c>
      <c r="J104" s="14">
        <f>Таблица224[[#This Row],[Столбец20]]/$D$4*100</f>
        <v>2.3376510886255367E-2</v>
      </c>
    </row>
    <row r="105" spans="1:10" ht="22.5" customHeight="1">
      <c r="A105" s="102" t="s">
        <v>48</v>
      </c>
      <c r="B105" s="104">
        <f>SUM(B106,B110)</f>
        <v>212.65600000000001</v>
      </c>
      <c r="C105" s="104">
        <f>SUM(C106+C110)</f>
        <v>241.20000000000002</v>
      </c>
      <c r="D105" s="104">
        <f>SUM(D106+D110)</f>
        <v>254.6</v>
      </c>
      <c r="E105" s="101">
        <f>Таблица224[[#This Row],[Столбец20]]/Таблица224[[#This Row],[Столбец14]]*100-100</f>
        <v>5.5555555555555429</v>
      </c>
      <c r="F105" s="101">
        <f>Таблица224[[#This Row],[Столбец14]]-Таблица224[[#This Row],[Столбец5]]</f>
        <v>28.544000000000011</v>
      </c>
      <c r="G105" s="101">
        <f>Таблица224[[#This Row],[Столбец20]]-Таблица224[[#This Row],[Столбец14]]</f>
        <v>13.399999999999977</v>
      </c>
      <c r="H105" s="101">
        <f>Таблица224[[#This Row],[Столбец5]]/$B$4*100</f>
        <v>0.20454772805971297</v>
      </c>
      <c r="I105" s="101">
        <f>Таблица224[[#This Row],[Столбец14]]/$C$4*100</f>
        <v>0.20940408390054174</v>
      </c>
      <c r="J105" s="101">
        <f>Таблица224[[#This Row],[Столбец20]]/$D$4*100</f>
        <v>0.20048033387141226</v>
      </c>
    </row>
    <row r="106" spans="1:10" ht="22.5" customHeight="1">
      <c r="A106" s="21" t="s">
        <v>28</v>
      </c>
      <c r="B106" s="14">
        <f>B107+B108+B109</f>
        <v>209.65600000000001</v>
      </c>
      <c r="C106" s="14">
        <f t="shared" ref="C106:D106" si="20">C107+C108+C109</f>
        <v>238.10000000000002</v>
      </c>
      <c r="D106" s="14">
        <f t="shared" si="20"/>
        <v>251.4</v>
      </c>
      <c r="E106" s="14">
        <f>Таблица224[[#This Row],[Столбец20]]/Таблица224[[#This Row],[Столбец14]]*100-100</f>
        <v>5.5858882822343361</v>
      </c>
      <c r="F106" s="14">
        <f>Таблица224[[#This Row],[Столбец14]]-Таблица224[[#This Row],[Столбец5]]</f>
        <v>28.444000000000017</v>
      </c>
      <c r="G106" s="14">
        <f>Таблица224[[#This Row],[Столбец20]]-Таблица224[[#This Row],[Столбец14]]</f>
        <v>13.299999999999983</v>
      </c>
      <c r="H106" s="14">
        <f>Таблица224[[#This Row],[Столбец5]]/$B$4*100</f>
        <v>0.20166211380862609</v>
      </c>
      <c r="I106" s="14">
        <f>Таблица224[[#This Row],[Столбец14]]/$C$4*100</f>
        <v>0.20671273788026118</v>
      </c>
      <c r="J106" s="14">
        <f>Таблица224[[#This Row],[Столбец20]]/$D$4*100</f>
        <v>0.1979605496279381</v>
      </c>
    </row>
    <row r="107" spans="1:10" ht="22.5" customHeight="1">
      <c r="A107" s="19" t="s">
        <v>29</v>
      </c>
      <c r="B107" s="14">
        <v>30.78</v>
      </c>
      <c r="C107" s="14">
        <v>36.9</v>
      </c>
      <c r="D107" s="14">
        <v>36.9</v>
      </c>
      <c r="E107" s="14">
        <f>Таблица224[[#This Row],[Столбец20]]/Таблица224[[#This Row],[Столбец14]]*100-100</f>
        <v>0</v>
      </c>
      <c r="F107" s="14">
        <f>Таблица224[[#This Row],[Столбец14]]-Таблица224[[#This Row],[Столбец5]]</f>
        <v>6.1199999999999974</v>
      </c>
      <c r="G107" s="14">
        <f>Таблица224[[#This Row],[Столбец20]]-Таблица224[[#This Row],[Столбец14]]</f>
        <v>0</v>
      </c>
      <c r="H107" s="14">
        <f>Таблица224[[#This Row],[Столбец5]]/$B$4*100</f>
        <v>2.960640221615175E-2</v>
      </c>
      <c r="I107" s="14">
        <f>Таблица224[[#This Row],[Столбец14]]/$C$4*100</f>
        <v>3.2035699402694816E-2</v>
      </c>
      <c r="J107" s="14">
        <f>Таблица224[[#This Row],[Столбец20]]/$D$4*100</f>
        <v>2.905626205756132E-2</v>
      </c>
    </row>
    <row r="108" spans="1:10" ht="22.5" customHeight="1">
      <c r="A108" s="19" t="s">
        <v>30</v>
      </c>
      <c r="B108" s="14">
        <v>81.599999999999994</v>
      </c>
      <c r="C108" s="14">
        <v>80.599999999999994</v>
      </c>
      <c r="D108" s="14">
        <v>85.4</v>
      </c>
      <c r="E108" s="14">
        <f>Таблица224[[#This Row],[Столбец20]]/Таблица224[[#This Row],[Столбец14]]*100-100</f>
        <v>5.9553349875930621</v>
      </c>
      <c r="F108" s="14">
        <f>Таблица224[[#This Row],[Столбец14]]-Таблица224[[#This Row],[Столбец5]]</f>
        <v>-1</v>
      </c>
      <c r="G108" s="14">
        <f>Таблица224[[#This Row],[Столбец20]]-Таблица224[[#This Row],[Столбец14]]</f>
        <v>4.8000000000000114</v>
      </c>
      <c r="H108" s="14">
        <f>Таблица224[[#This Row],[Столбец5]]/$B$4*100</f>
        <v>7.8488707629564072E-2</v>
      </c>
      <c r="I108" s="14">
        <f>Таблица224[[#This Row],[Столбец14]]/$C$4*100</f>
        <v>6.9974996527295455E-2</v>
      </c>
      <c r="J108" s="14">
        <f>Таблица224[[#This Row],[Столбец20]]/$D$4*100</f>
        <v>6.724674199771645E-2</v>
      </c>
    </row>
    <row r="109" spans="1:10" ht="22.5" customHeight="1">
      <c r="A109" s="19" t="s">
        <v>31</v>
      </c>
      <c r="B109" s="18">
        <f>93.542+3.734</f>
        <v>97.275999999999996</v>
      </c>
      <c r="C109" s="18">
        <f>116.4+4.2</f>
        <v>120.60000000000001</v>
      </c>
      <c r="D109" s="18">
        <f>124.6+4.5</f>
        <v>129.1</v>
      </c>
      <c r="E109" s="18">
        <f>Таблица224[[#This Row],[Столбец20]]/Таблица224[[#This Row],[Столбец14]]*100-100</f>
        <v>7.0480928689883768</v>
      </c>
      <c r="F109" s="18">
        <f>Таблица224[[#This Row],[Столбец14]]-Таблица224[[#This Row],[Столбец5]]</f>
        <v>23.324000000000012</v>
      </c>
      <c r="G109" s="18">
        <f>Таблица224[[#This Row],[Столбец20]]-Таблица224[[#This Row],[Столбец14]]</f>
        <v>8.4999999999999858</v>
      </c>
      <c r="H109" s="18">
        <f>Таблица224[[#This Row],[Столбец5]]/$B$4*100</f>
        <v>9.3567003962910233E-2</v>
      </c>
      <c r="I109" s="14">
        <f>Таблица224[[#This Row],[Столбец14]]/$C$4*100</f>
        <v>0.10470204195027087</v>
      </c>
      <c r="J109" s="18">
        <f>Таблица224[[#This Row],[Столбец20]]/$D$4*100</f>
        <v>0.10165754557266034</v>
      </c>
    </row>
    <row r="110" spans="1:10" ht="22.5" customHeight="1">
      <c r="A110" s="21" t="s">
        <v>35</v>
      </c>
      <c r="B110" s="14">
        <v>3</v>
      </c>
      <c r="C110" s="14">
        <v>3.1</v>
      </c>
      <c r="D110" s="14">
        <v>3.2</v>
      </c>
      <c r="E110" s="14">
        <f>Таблица224[[#This Row],[Столбец20]]/Таблица224[[#This Row],[Столбец14]]*100-100</f>
        <v>3.2258064516128968</v>
      </c>
      <c r="F110" s="14">
        <f>Таблица224[[#This Row],[Столбец14]]-Таблица224[[#This Row],[Столбец5]]</f>
        <v>0.10000000000000009</v>
      </c>
      <c r="G110" s="14">
        <f>Таблица224[[#This Row],[Столбец20]]-Таблица224[[#This Row],[Столбец14]]</f>
        <v>0.10000000000000009</v>
      </c>
      <c r="H110" s="14">
        <f>Таблица224[[#This Row],[Столбец5]]/$B$4*100</f>
        <v>2.8856142510869146E-3</v>
      </c>
      <c r="I110" s="14">
        <f>Таблица224[[#This Row],[Столбец14]]/$C$4*100</f>
        <v>2.6913460202805943E-3</v>
      </c>
      <c r="J110" s="14">
        <f>Таблица224[[#This Row],[Столбец20]]/$D$4*100</f>
        <v>2.5197842434741525E-3</v>
      </c>
    </row>
    <row r="111" spans="1:10" ht="22.5" customHeight="1">
      <c r="A111" s="102" t="s">
        <v>49</v>
      </c>
      <c r="B111" s="101">
        <f>SUM(B112,B116,B117)</f>
        <v>2530.462</v>
      </c>
      <c r="C111" s="101">
        <f>SUM(C112,C116,C117)</f>
        <v>2353.797</v>
      </c>
      <c r="D111" s="101">
        <f>SUM(D112,D116,D117)</f>
        <v>4173.1000000000004</v>
      </c>
      <c r="E111" s="101">
        <f>Таблица224[[#This Row],[Столбец20]]/Таблица224[[#This Row],[Столбец14]]*100-100</f>
        <v>77.292264371141641</v>
      </c>
      <c r="F111" s="101">
        <f>Таблица224[[#This Row],[Столбец14]]-Таблица224[[#This Row],[Столбец5]]</f>
        <v>-176.66499999999996</v>
      </c>
      <c r="G111" s="101">
        <f>Таблица224[[#This Row],[Столбец20]]-Таблица224[[#This Row],[Столбец14]]</f>
        <v>1819.3030000000003</v>
      </c>
      <c r="H111" s="101">
        <f>Таблица224[[#This Row],[Столбец5]]/$B$4*100</f>
        <v>2.4339790696779655</v>
      </c>
      <c r="I111" s="101">
        <f>Таблица224[[#This Row],[Столбец14]]/$C$4*100</f>
        <v>2.0435103833865815</v>
      </c>
      <c r="J111" s="101">
        <f>Таблица224[[#This Row],[Столбец20]]/$D$4*100</f>
        <v>3.2860348832631212</v>
      </c>
    </row>
    <row r="112" spans="1:10" ht="22.5" customHeight="1">
      <c r="A112" s="21" t="s">
        <v>28</v>
      </c>
      <c r="B112" s="14">
        <f t="shared" ref="B112" si="21">B113+B114+B115</f>
        <v>823.1</v>
      </c>
      <c r="C112" s="14">
        <f t="shared" ref="C112:D112" si="22">C113+C114+C115</f>
        <v>847.2</v>
      </c>
      <c r="D112" s="14">
        <f t="shared" si="22"/>
        <v>906.8</v>
      </c>
      <c r="E112" s="14">
        <f>Таблица224[[#This Row],[Столбец20]]/Таблица224[[#This Row],[Столбец14]]*100-100</f>
        <v>7.0349386213408849</v>
      </c>
      <c r="F112" s="14">
        <f>Таблица224[[#This Row],[Столбец14]]-Таблица224[[#This Row],[Столбец5]]</f>
        <v>24.100000000000023</v>
      </c>
      <c r="G112" s="14">
        <f>Таблица224[[#This Row],[Столбец20]]-Таблица224[[#This Row],[Столбец14]]</f>
        <v>59.599999999999909</v>
      </c>
      <c r="H112" s="14">
        <f>Таблица224[[#This Row],[Столбец5]]/$B$4*100</f>
        <v>0.79171636335654649</v>
      </c>
      <c r="I112" s="14">
        <f>Таблица224[[#This Row],[Столбец14]]/$C$4*100</f>
        <v>0.73551882205861929</v>
      </c>
      <c r="J112" s="14">
        <f>Таблица224[[#This Row],[Столбец20]]/$D$4*100</f>
        <v>0.71404385999448794</v>
      </c>
    </row>
    <row r="113" spans="1:10" ht="22.5" customHeight="1">
      <c r="A113" s="19" t="s">
        <v>29</v>
      </c>
      <c r="B113" s="14">
        <v>37.799999999999997</v>
      </c>
      <c r="C113" s="14">
        <v>37.5</v>
      </c>
      <c r="D113" s="14">
        <v>37.5</v>
      </c>
      <c r="E113" s="14">
        <f>Таблица224[[#This Row],[Столбец20]]/Таблица224[[#This Row],[Столбец14]]*100-100</f>
        <v>0</v>
      </c>
      <c r="F113" s="14">
        <f>Таблица224[[#This Row],[Столбец14]]-Таблица224[[#This Row],[Столбец5]]</f>
        <v>-0.29999999999999716</v>
      </c>
      <c r="G113" s="14">
        <f>Таблица224[[#This Row],[Столбец20]]-Таблица224[[#This Row],[Столбец14]]</f>
        <v>0</v>
      </c>
      <c r="H113" s="14">
        <f>Таблица224[[#This Row],[Столбец5]]/$B$4*100</f>
        <v>3.6358739563695119E-2</v>
      </c>
      <c r="I113" s="14">
        <f>Таблица224[[#This Row],[Столбец14]]/$C$4*100</f>
        <v>3.2556605084039451E-2</v>
      </c>
      <c r="J113" s="14">
        <f>Таблица224[[#This Row],[Столбец20]]/$D$4*100</f>
        <v>2.9528721603212724E-2</v>
      </c>
    </row>
    <row r="114" spans="1:10" ht="22.5" customHeight="1">
      <c r="A114" s="19" t="s">
        <v>30</v>
      </c>
      <c r="B114" s="14">
        <v>342.5</v>
      </c>
      <c r="C114" s="14">
        <v>383.7</v>
      </c>
      <c r="D114" s="14">
        <v>406.7</v>
      </c>
      <c r="E114" s="14">
        <f>Таблица224[[#This Row],[Столбец20]]/Таблица224[[#This Row],[Столбец14]]*100-100</f>
        <v>5.9942663539223275</v>
      </c>
      <c r="F114" s="14">
        <f>Таблица224[[#This Row],[Столбец14]]-Таблица224[[#This Row],[Столбец5]]</f>
        <v>41.199999999999989</v>
      </c>
      <c r="G114" s="14">
        <f>Таблица224[[#This Row],[Столбец20]]-Таблица224[[#This Row],[Столбец14]]</f>
        <v>23</v>
      </c>
      <c r="H114" s="14">
        <f>Таблица224[[#This Row],[Столбец5]]/$B$4*100</f>
        <v>0.32944096033242276</v>
      </c>
      <c r="I114" s="14">
        <f>Таблица224[[#This Row],[Столбец14]]/$C$4*100</f>
        <v>0.33311918321989165</v>
      </c>
      <c r="J114" s="14">
        <f>Таблица224[[#This Row],[Столбец20]]/$D$4*100</f>
        <v>0.32024882869404303</v>
      </c>
    </row>
    <row r="115" spans="1:10" ht="22.5" customHeight="1">
      <c r="A115" s="19" t="s">
        <v>31</v>
      </c>
      <c r="B115" s="18">
        <f>440+2.8</f>
        <v>442.8</v>
      </c>
      <c r="C115" s="18">
        <f>423.4+2.6</f>
        <v>426</v>
      </c>
      <c r="D115" s="18">
        <f>460+2.6</f>
        <v>462.6</v>
      </c>
      <c r="E115" s="18">
        <f>Таблица224[[#This Row],[Столбец20]]/Таблица224[[#This Row],[Столбец14]]*100-100</f>
        <v>8.5915492957746551</v>
      </c>
      <c r="F115" s="18">
        <f>Таблица224[[#This Row],[Столбец14]]-Таблица224[[#This Row],[Столбец5]]</f>
        <v>-16.800000000000011</v>
      </c>
      <c r="G115" s="18">
        <f>Таблица224[[#This Row],[Столбец20]]-Таблица224[[#This Row],[Столбец14]]</f>
        <v>36.600000000000023</v>
      </c>
      <c r="H115" s="18">
        <f>Таблица224[[#This Row],[Столбец5]]/$B$4*100</f>
        <v>0.42591666346042856</v>
      </c>
      <c r="I115" s="14">
        <f>Таблица224[[#This Row],[Столбец14]]/$C$4*100</f>
        <v>0.36984303375468813</v>
      </c>
      <c r="J115" s="18">
        <f>Таблица224[[#This Row],[Столбец20]]/$D$4*100</f>
        <v>0.36426630969723223</v>
      </c>
    </row>
    <row r="116" spans="1:10" ht="22.5" customHeight="1">
      <c r="A116" s="21" t="s">
        <v>37</v>
      </c>
      <c r="B116" s="14">
        <f>769.731+876.75</f>
        <v>1646.481</v>
      </c>
      <c r="C116" s="14">
        <f>923.491+519.606</f>
        <v>1443.097</v>
      </c>
      <c r="D116" s="14">
        <v>3200.7</v>
      </c>
      <c r="E116" s="14">
        <f>Таблица224[[#This Row],[Столбец20]]/Таблица224[[#This Row],[Столбец14]]*100-100</f>
        <v>121.79382259127416</v>
      </c>
      <c r="F116" s="14">
        <f>Таблица224[[#This Row],[Столбец14]]-Таблица224[[#This Row],[Столбец5]]</f>
        <v>-203.38400000000001</v>
      </c>
      <c r="G116" s="14">
        <f>Таблица224[[#This Row],[Столбец20]]-Таблица224[[#This Row],[Столбец14]]</f>
        <v>1757.6029999999998</v>
      </c>
      <c r="H116" s="14">
        <f>Таблица224[[#This Row],[Столбец5]]/$B$4*100</f>
        <v>1.5837030125812783</v>
      </c>
      <c r="I116" s="14">
        <f>Таблица224[[#This Row],[Столбец14]]/$C$4*100</f>
        <v>1.2528623767189888</v>
      </c>
      <c r="J116" s="14">
        <f>Таблица224[[#This Row],[Столбец20]]/$D$4*100</f>
        <v>2.5203354462774121</v>
      </c>
    </row>
    <row r="117" spans="1:10" ht="22.5" customHeight="1">
      <c r="A117" s="21" t="s">
        <v>35</v>
      </c>
      <c r="B117" s="14">
        <v>60.881</v>
      </c>
      <c r="C117" s="14">
        <v>63.5</v>
      </c>
      <c r="D117" s="14">
        <v>65.599999999999994</v>
      </c>
      <c r="E117" s="14">
        <f>Таблица224[[#This Row],[Столбец20]]/Таблица224[[#This Row],[Столбец14]]*100-100</f>
        <v>3.3070866141732296</v>
      </c>
      <c r="F117" s="14">
        <f>Таблица224[[#This Row],[Столбец14]]-Таблица224[[#This Row],[Столбец5]]</f>
        <v>2.6189999999999998</v>
      </c>
      <c r="G117" s="14">
        <f>Таблица224[[#This Row],[Столбец20]]-Таблица224[[#This Row],[Столбец14]]</f>
        <v>2.0999999999999943</v>
      </c>
      <c r="H117" s="14">
        <f>Таблица224[[#This Row],[Столбец5]]/$B$4*100</f>
        <v>5.855969374014082E-2</v>
      </c>
      <c r="I117" s="14">
        <f>Таблица224[[#This Row],[Столбец14]]/$C$4*100</f>
        <v>5.5129184608973474E-2</v>
      </c>
      <c r="J117" s="14">
        <f>Таблица224[[#This Row],[Столбец20]]/$D$4*100</f>
        <v>5.1655576991220122E-2</v>
      </c>
    </row>
    <row r="118" spans="1:10" ht="37.5">
      <c r="A118" s="102" t="s">
        <v>50</v>
      </c>
      <c r="B118" s="104">
        <f>SUM(B119,B122)</f>
        <v>93.37028500000001</v>
      </c>
      <c r="C118" s="101">
        <f>SUM(C119,C122)</f>
        <v>59.396999999999998</v>
      </c>
      <c r="D118" s="101">
        <f>SUM(D119,D122)</f>
        <v>62.597999999999999</v>
      </c>
      <c r="E118" s="101">
        <f>Таблица224[[#This Row],[Столбец20]]/Таблица224[[#This Row],[Столбец14]]*100-100</f>
        <v>5.3891610687408615</v>
      </c>
      <c r="F118" s="101">
        <f>Таблица224[[#This Row],[Столбец14]]-Таблица224[[#This Row],[Столбец5]]</f>
        <v>-33.973285000000011</v>
      </c>
      <c r="G118" s="101">
        <f>Таблица224[[#This Row],[Столбец20]]-Таблица224[[#This Row],[Столбец14]]</f>
        <v>3.2010000000000005</v>
      </c>
      <c r="H118" s="101">
        <f>Таблица224[[#This Row],[Столбец5]]/$B$4*100</f>
        <v>8.9810208341348938E-2</v>
      </c>
      <c r="I118" s="101">
        <f>Таблица224[[#This Row],[Столбец14]]/$C$4*100</f>
        <v>5.1567057924711772E-2</v>
      </c>
      <c r="J118" s="101">
        <f>Таблица224[[#This Row],[Столбец20]]/$D$4*100</f>
        <v>4.9291704397810943E-2</v>
      </c>
    </row>
    <row r="119" spans="1:10" ht="22.5" customHeight="1">
      <c r="A119" s="21" t="s">
        <v>28</v>
      </c>
      <c r="B119" s="23">
        <f t="shared" ref="B119" si="23">B120+B121</f>
        <v>89.587135000000004</v>
      </c>
      <c r="C119" s="14">
        <f t="shared" ref="C119:I119" si="24">C120+C121</f>
        <v>55.381</v>
      </c>
      <c r="D119" s="14">
        <f t="shared" si="24"/>
        <v>58.381</v>
      </c>
      <c r="E119" s="14">
        <f>Таблица224[[#This Row],[Столбец20]]/Таблица224[[#This Row],[Столбец14]]*100-100</f>
        <v>5.4170202777125809</v>
      </c>
      <c r="F119" s="14">
        <f>Таблица224[[#This Row],[Столбец14]]-Таблица224[[#This Row],[Столбец5]]</f>
        <v>-34.206135000000003</v>
      </c>
      <c r="G119" s="14">
        <f>Таблица224[[#This Row],[Столбец20]]-Таблица224[[#This Row],[Столбец14]]</f>
        <v>3</v>
      </c>
      <c r="H119" s="23">
        <f t="shared" si="24"/>
        <v>8.6171304490015782E-2</v>
      </c>
      <c r="I119" s="23">
        <f t="shared" si="24"/>
        <v>4.808046256424503E-2</v>
      </c>
      <c r="J119" s="14">
        <f>Таблица224[[#This Row],[Столбец20]]/$D$4*100</f>
        <v>4.5971101224457654E-2</v>
      </c>
    </row>
    <row r="120" spans="1:10" ht="22.5" customHeight="1">
      <c r="A120" s="19" t="s">
        <v>29</v>
      </c>
      <c r="B120" s="14">
        <v>11.487135</v>
      </c>
      <c r="C120" s="14">
        <v>15.9</v>
      </c>
      <c r="D120" s="14">
        <v>15.9</v>
      </c>
      <c r="E120" s="14">
        <f>Таблица224[[#This Row],[Столбец20]]/Таблица224[[#This Row],[Столбец14]]*100-100</f>
        <v>0</v>
      </c>
      <c r="F120" s="14">
        <f>Таблица224[[#This Row],[Столбец14]]-Таблица224[[#This Row],[Столбец5]]</f>
        <v>4.412865</v>
      </c>
      <c r="G120" s="14">
        <f>Таблица224[[#This Row],[Столбец20]]-Таблица224[[#This Row],[Столбец14]]</f>
        <v>0</v>
      </c>
      <c r="H120" s="14">
        <f>Таблица224[[#This Row],[Столбец5]]/$B$4*100</f>
        <v>1.1049146820053096E-2</v>
      </c>
      <c r="I120" s="14">
        <f>Таблица224[[#This Row],[Столбец14]]/$C$4*100</f>
        <v>1.3804000555632726E-2</v>
      </c>
      <c r="J120" s="14">
        <f>Таблица224[[#This Row],[Столбец20]]/$D$4*100</f>
        <v>1.2520177959762197E-2</v>
      </c>
    </row>
    <row r="121" spans="1:10" ht="22.5" customHeight="1">
      <c r="A121" s="19" t="s">
        <v>31</v>
      </c>
      <c r="B121" s="18">
        <f>68.4+9.7</f>
        <v>78.100000000000009</v>
      </c>
      <c r="C121" s="18">
        <v>39.481000000000002</v>
      </c>
      <c r="D121" s="18">
        <v>42.481000000000002</v>
      </c>
      <c r="E121" s="18">
        <v>0</v>
      </c>
      <c r="F121" s="18">
        <f>Таблица224[[#This Row],[Столбец14]]-Таблица224[[#This Row],[Столбец5]]</f>
        <v>-38.619000000000007</v>
      </c>
      <c r="G121" s="18">
        <f>Таблица224[[#This Row],[Столбец20]]-Таблица224[[#This Row],[Столбец14]]</f>
        <v>3</v>
      </c>
      <c r="H121" s="18">
        <f>Таблица224[[#This Row],[Столбец5]]/$B$4*100</f>
        <v>7.5122157669962691E-2</v>
      </c>
      <c r="I121" s="14">
        <f>Таблица224[[#This Row],[Столбец14]]/$C$4*100</f>
        <v>3.4276462008612306E-2</v>
      </c>
      <c r="J121" s="18">
        <f>Таблица224[[#This Row],[Столбец20]]/$D$4*100</f>
        <v>3.345092326469546E-2</v>
      </c>
    </row>
    <row r="122" spans="1:10" ht="22.5" customHeight="1">
      <c r="A122" s="21" t="s">
        <v>35</v>
      </c>
      <c r="B122" s="14">
        <v>3.78315</v>
      </c>
      <c r="C122" s="14">
        <v>4.016</v>
      </c>
      <c r="D122" s="14">
        <v>4.2169999999999996</v>
      </c>
      <c r="E122" s="14">
        <f>Таблица224[[#This Row],[Столбец20]]/Таблица224[[#This Row],[Столбец14]]*100-100</f>
        <v>5.0049800796812605</v>
      </c>
      <c r="F122" s="14">
        <f>Таблица224[[#This Row],[Столбец14]]-Таблица224[[#This Row],[Столбец5]]</f>
        <v>0.23285</v>
      </c>
      <c r="G122" s="14">
        <f>Таблица224[[#This Row],[Столбец20]]-Таблица224[[#This Row],[Столбец14]]</f>
        <v>0.20099999999999962</v>
      </c>
      <c r="H122" s="14">
        <f>Таблица224[[#This Row],[Столбец5]]/$B$4*100</f>
        <v>3.6389038513331535E-3</v>
      </c>
      <c r="I122" s="14">
        <f>Таблица224[[#This Row],[Столбец14]]/$C$4*100</f>
        <v>3.4865953604667314E-3</v>
      </c>
      <c r="J122" s="14">
        <f>Таблица224[[#This Row],[Столбец20]]/$D$4*100</f>
        <v>3.3206031733532815E-3</v>
      </c>
    </row>
    <row r="123" spans="1:10" ht="22.5" customHeight="1">
      <c r="A123" s="102" t="s">
        <v>88</v>
      </c>
      <c r="B123" s="105">
        <f>SUM(B124)</f>
        <v>4144.6000000000004</v>
      </c>
      <c r="C123" s="101">
        <f>SUM(C124,)</f>
        <v>3449.6</v>
      </c>
      <c r="D123" s="101">
        <f>SUM(D124,)</f>
        <v>4437.3</v>
      </c>
      <c r="E123" s="101">
        <f>Таблица224[[#This Row],[Столбец20]]/Таблица224[[#This Row],[Столбец14]]*100-100</f>
        <v>28.632305194805184</v>
      </c>
      <c r="F123" s="101">
        <f>Таблица224[[#This Row],[Столбец14]]-Таблица224[[#This Row],[Столбец5]]</f>
        <v>-695.00000000000045</v>
      </c>
      <c r="G123" s="101">
        <f>Таблица224[[#This Row],[Столбец20]]-Таблица224[[#This Row],[Столбец14]]</f>
        <v>987.70000000000027</v>
      </c>
      <c r="H123" s="101">
        <f>Таблица224[[#This Row],[Столбец5]]/$B$4*100</f>
        <v>3.9865722750182764</v>
      </c>
      <c r="I123" s="101">
        <f>Таблица224[[#This Row],[Столбец14]]/$C$4*100</f>
        <v>2.9948603972773995</v>
      </c>
      <c r="J123" s="101">
        <f>Таблица224[[#This Row],[Столбец20]]/$D$4*100</f>
        <v>3.4940745698649556</v>
      </c>
    </row>
    <row r="124" spans="1:10" ht="22.5" customHeight="1">
      <c r="A124" s="21" t="s">
        <v>28</v>
      </c>
      <c r="B124" s="26">
        <v>4144.6000000000004</v>
      </c>
      <c r="C124" s="14">
        <f>3429.6+20</f>
        <v>3449.6</v>
      </c>
      <c r="D124" s="14">
        <f>4375.3+62</f>
        <v>4437.3</v>
      </c>
      <c r="E124" s="14">
        <f>Таблица224[[#This Row],[Столбец20]]/Таблица224[[#This Row],[Столбец14]]*100-100</f>
        <v>28.632305194805184</v>
      </c>
      <c r="F124" s="14">
        <f>Таблица224[[#This Row],[Столбец14]]-Таблица224[[#This Row],[Столбец5]]</f>
        <v>-695.00000000000045</v>
      </c>
      <c r="G124" s="14">
        <f>Таблица224[[#This Row],[Столбец20]]-Таблица224[[#This Row],[Столбец14]]</f>
        <v>987.70000000000027</v>
      </c>
      <c r="H124" s="14">
        <f>Таблица224[[#This Row],[Столбец5]]/$B$4*100</f>
        <v>3.9865722750182764</v>
      </c>
      <c r="I124" s="14">
        <f>Таблица224[[#This Row],[Столбец14]]/$C$4*100</f>
        <v>2.9948603972773995</v>
      </c>
      <c r="J124" s="14">
        <f>Таблица224[[#This Row],[Столбец20]]/$D$4*100</f>
        <v>3.4940745698649556</v>
      </c>
    </row>
    <row r="125" spans="1:10" ht="22.5" customHeight="1">
      <c r="A125" s="17" t="s">
        <v>89</v>
      </c>
      <c r="B125" s="26">
        <f>400+100</f>
        <v>500</v>
      </c>
      <c r="C125" s="14">
        <v>5</v>
      </c>
      <c r="D125" s="14">
        <v>5</v>
      </c>
      <c r="E125" s="14">
        <f>Таблица224[[#This Row],[Столбец20]]/Таблица224[[#This Row],[Столбец14]]*100-100</f>
        <v>0</v>
      </c>
      <c r="F125" s="14">
        <f>Таблица224[[#This Row],[Столбец14]]-Таблица224[[#This Row],[Столбец5]]</f>
        <v>-495</v>
      </c>
      <c r="G125" s="14">
        <f>Таблица224[[#This Row],[Столбец20]]-Таблица224[[#This Row],[Столбец14]]</f>
        <v>0</v>
      </c>
      <c r="H125" s="14">
        <f>Таблица224[[#This Row],[Столбец5]]/$B$4*100</f>
        <v>0.48093570851448575</v>
      </c>
      <c r="I125" s="14">
        <f>Таблица224[[#This Row],[Столбец14]]/$C$4*100</f>
        <v>4.3408806778719262E-3</v>
      </c>
      <c r="J125" s="14">
        <f>Таблица224[[#This Row],[Столбец20]]/$D$4*100</f>
        <v>3.9371628804283632E-3</v>
      </c>
    </row>
    <row r="126" spans="1:10" ht="22.5" customHeight="1">
      <c r="A126" s="27" t="s">
        <v>53</v>
      </c>
      <c r="B126" s="28">
        <f>1086.958+200</f>
        <v>1286.9580000000001</v>
      </c>
      <c r="C126" s="18">
        <f>1210.1+200</f>
        <v>1410.1</v>
      </c>
      <c r="D126" s="18">
        <f>1465+200</f>
        <v>1665</v>
      </c>
      <c r="E126" s="18">
        <f>Таблица224[[#This Row],[Столбец20]]/Таблица224[[#This Row],[Столбец14]]*100-100</f>
        <v>18.076732146656283</v>
      </c>
      <c r="F126" s="18">
        <f>Таблица224[[#This Row],[Столбец14]]-Таблица224[[#This Row],[Столбец5]]</f>
        <v>123.14199999999983</v>
      </c>
      <c r="G126" s="18">
        <f>Таблица224[[#This Row],[Столбец20]]-Таблица224[[#This Row],[Столбец14]]</f>
        <v>254.90000000000009</v>
      </c>
      <c r="H126" s="18">
        <f>Таблица224[[#This Row],[Столбец5]]/$B$4*100</f>
        <v>1.2378881151167713</v>
      </c>
      <c r="I126" s="14">
        <f>Таблица224[[#This Row],[Столбец14]]/$C$4*100</f>
        <v>1.2242151687734408</v>
      </c>
      <c r="J126" s="18">
        <f>Таблица224[[#This Row],[Столбец20]]/$D$4*100</f>
        <v>1.311075239182645</v>
      </c>
    </row>
    <row r="127" spans="1:10" ht="22.5" customHeight="1">
      <c r="A127" s="27" t="s">
        <v>54</v>
      </c>
      <c r="B127" s="30">
        <v>168</v>
      </c>
      <c r="C127" s="29">
        <v>106</v>
      </c>
      <c r="D127" s="29">
        <v>106</v>
      </c>
      <c r="E127" s="29">
        <f>Таблица224[[#This Row],[Столбец20]]/Таблица224[[#This Row],[Столбец14]]*100-100</f>
        <v>0</v>
      </c>
      <c r="F127" s="29">
        <f>Таблица224[[#This Row],[Столбец14]]-Таблица224[[#This Row],[Столбец5]]</f>
        <v>-62</v>
      </c>
      <c r="G127" s="29">
        <f>Таблица224[[#This Row],[Столбец20]]-Таблица224[[#This Row],[Столбец14]]</f>
        <v>0</v>
      </c>
      <c r="H127" s="29">
        <f>Таблица224[[#This Row],[Столбец5]]/$B$4*100</f>
        <v>0.16159439806086723</v>
      </c>
      <c r="I127" s="14">
        <f>Таблица224[[#This Row],[Столбец14]]/$C$4*100</f>
        <v>9.2026670370884842E-2</v>
      </c>
      <c r="J127" s="29">
        <f>Таблица224[[#This Row],[Столбец20]]/$D$4*100</f>
        <v>8.346785306508131E-2</v>
      </c>
    </row>
    <row r="128" spans="1:10" ht="22.5" customHeight="1">
      <c r="A128" s="27" t="s">
        <v>55</v>
      </c>
      <c r="B128" s="30">
        <f t="shared" ref="B128" si="25">B129+B130</f>
        <v>1169.761</v>
      </c>
      <c r="C128" s="29">
        <f>SUM(C129:C130)</f>
        <v>1227.74</v>
      </c>
      <c r="D128" s="29">
        <f>SUM(D129:D130)</f>
        <v>1279.9199999999998</v>
      </c>
      <c r="E128" s="29">
        <f>Таблица224[[#This Row],[Столбец20]]/Таблица224[[#This Row],[Столбец14]]*100-100</f>
        <v>4.2500855229934587</v>
      </c>
      <c r="F128" s="29">
        <f>Таблица224[[#This Row],[Столбец14]]-Таблица224[[#This Row],[Столбец5]]</f>
        <v>57.979000000000042</v>
      </c>
      <c r="G128" s="29">
        <f>Таблица224[[#This Row],[Столбец20]]-Таблица224[[#This Row],[Столбец14]]</f>
        <v>52.179999999999836</v>
      </c>
      <c r="H128" s="29">
        <f>Таблица224[[#This Row],[Столбец5]]/$B$4*100</f>
        <v>1.1251596706552267</v>
      </c>
      <c r="I128" s="14">
        <f>Таблица224[[#This Row],[Столбец14]]/$C$4*100</f>
        <v>1.065894568690096</v>
      </c>
      <c r="J128" s="29">
        <f>Таблица224[[#This Row],[Столбец20]]/$D$4*100</f>
        <v>1.0078507027835741</v>
      </c>
    </row>
    <row r="129" spans="1:10" ht="22.5" customHeight="1">
      <c r="A129" s="27" t="s">
        <v>56</v>
      </c>
      <c r="B129" s="26">
        <v>109.8</v>
      </c>
      <c r="C129" s="14">
        <v>99.94</v>
      </c>
      <c r="D129" s="14">
        <v>94.82</v>
      </c>
      <c r="E129" s="14">
        <f>Таблица224[[#This Row],[Столбец20]]/Таблица224[[#This Row],[Столбец14]]*100-100</f>
        <v>-5.1230738443065889</v>
      </c>
      <c r="F129" s="29">
        <f>Таблица224[[#This Row],[Столбец14]]-Таблица224[[#This Row],[Столбец5]]</f>
        <v>-9.86</v>
      </c>
      <c r="G129" s="29">
        <f>Таблица224[[#This Row],[Столбец20]]-Таблица224[[#This Row],[Столбец14]]</f>
        <v>-5.1200000000000045</v>
      </c>
      <c r="H129" s="29">
        <f>Таблица224[[#This Row],[Столбец5]]/$B$4*100</f>
        <v>0.10561348158978107</v>
      </c>
      <c r="I129" s="14">
        <f>Таблица224[[#This Row],[Столбец14]]/$C$4*100</f>
        <v>8.6765522989304067E-2</v>
      </c>
      <c r="J129" s="14">
        <f>Таблица224[[#This Row],[Столбец20]]/$D$4*100</f>
        <v>7.4664356864443476E-2</v>
      </c>
    </row>
    <row r="130" spans="1:10" ht="22.5" customHeight="1">
      <c r="A130" s="27" t="s">
        <v>57</v>
      </c>
      <c r="B130" s="30">
        <v>1059.961</v>
      </c>
      <c r="C130" s="29">
        <v>1127.8</v>
      </c>
      <c r="D130" s="29">
        <v>1185.0999999999999</v>
      </c>
      <c r="E130" s="14">
        <f>Таблица224[[#This Row],[Столбец20]]/Таблица224[[#This Row],[Столбец14]]*100-100</f>
        <v>5.0806880652597926</v>
      </c>
      <c r="F130" s="29">
        <f>Таблица224[[#This Row],[Столбец14]]-Таблица224[[#This Row],[Столбец5]]</f>
        <v>67.838999999999942</v>
      </c>
      <c r="G130" s="29">
        <f>Таблица224[[#This Row],[Столбец20]]-Таблица224[[#This Row],[Столбец14]]</f>
        <v>57.299999999999955</v>
      </c>
      <c r="H130" s="29">
        <f>Таблица224[[#This Row],[Столбец5]]/$B$4*100</f>
        <v>1.0195461890654458</v>
      </c>
      <c r="I130" s="14">
        <f>Таблица224[[#This Row],[Столбец14]]/$C$4*100</f>
        <v>0.97912904570079173</v>
      </c>
      <c r="J130" s="29">
        <f>Таблица224[[#This Row],[Столбец20]]/$D$4*100</f>
        <v>0.93318634591913052</v>
      </c>
    </row>
    <row r="131" spans="1:10" ht="22.5" customHeight="1">
      <c r="A131" s="106" t="s">
        <v>90</v>
      </c>
      <c r="B131" s="107">
        <f>B10-B19</f>
        <v>-1457.1109529999994</v>
      </c>
      <c r="C131" s="107">
        <f>C10-C19</f>
        <v>-576.85299999999552</v>
      </c>
      <c r="D131" s="107">
        <f>D10-D19</f>
        <v>-639.40800000001036</v>
      </c>
      <c r="E131" s="107">
        <f>Таблица224[[#This Row],[Столбец20]]/Таблица224[[#This Row],[Столбец14]]*100-100</f>
        <v>10.844183873537162</v>
      </c>
      <c r="F131" s="107">
        <f>Таблица224[[#This Row],[Столбец14]]-Таблица224[[#This Row],[Столбец5]]</f>
        <v>880.25795300000391</v>
      </c>
      <c r="G131" s="107">
        <f>Таблица224[[#This Row],[Столбец20]]-Таблица224[[#This Row],[Столбец14]]</f>
        <v>-62.555000000014843</v>
      </c>
      <c r="H131" s="107">
        <f>Таблица224[[#This Row],[Столбец5]]/$B$4*100</f>
        <v>-1.4015533771305446</v>
      </c>
      <c r="I131" s="107">
        <f>Таблица224[[#This Row],[Столбец14]]/$C$4*100</f>
        <v>-0.50081000833448697</v>
      </c>
      <c r="J131" s="107">
        <f>Таблица224[[#This Row],[Столбец20]]/$D$4*100</f>
        <v>-0.50349068860979596</v>
      </c>
    </row>
    <row r="134" spans="1:10">
      <c r="C134" s="69"/>
      <c r="D134" s="69"/>
      <c r="E134" s="31"/>
      <c r="F134" s="34"/>
      <c r="G134" s="31"/>
      <c r="H134" s="31"/>
      <c r="I134" s="31"/>
      <c r="J134" s="31"/>
    </row>
    <row r="135" spans="1:10">
      <c r="C135" s="70"/>
      <c r="D135" s="70"/>
    </row>
  </sheetData>
  <mergeCells count="2">
    <mergeCell ref="A1:J1"/>
    <mergeCell ref="I2:J2"/>
  </mergeCells>
  <pageMargins left="0.48" right="0.27559055118110237" top="0.39370078740157483" bottom="0.55118110236220474" header="0.74803149606299213" footer="0.31496062992125984"/>
  <pageSetup paperSize="9" scale="85" orientation="landscape" r:id="rId1"/>
  <colBreaks count="1" manualBreakCount="1">
    <brk id="10" max="1048575" man="1"/>
  </colBreak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53"/>
  <sheetViews>
    <sheetView showGridLines="0" topLeftCell="A3" zoomScaleNormal="100" zoomScaleSheetLayoutView="70" workbookViewId="0">
      <pane xSplit="1" ySplit="3" topLeftCell="B9" activePane="bottomRight" state="frozen"/>
      <selection pane="bottomRight" activeCell="E44" sqref="E44"/>
      <selection pane="bottomLeft" activeCell="D14" sqref="D14"/>
      <selection pane="topRight" activeCell="D14" sqref="D14"/>
    </sheetView>
  </sheetViews>
  <sheetFormatPr defaultColWidth="9.140625" defaultRowHeight="18"/>
  <cols>
    <col min="1" max="1" width="62" style="2" customWidth="1"/>
    <col min="2" max="2" width="15.42578125" style="9" customWidth="1"/>
    <col min="3" max="3" width="14.140625" style="2" customWidth="1"/>
    <col min="4" max="4" width="16.5703125" style="2" bestFit="1" customWidth="1"/>
    <col min="5" max="5" width="11.85546875" style="7" customWidth="1"/>
    <col min="6" max="6" width="14" style="2" customWidth="1"/>
    <col min="7" max="7" width="16.85546875" style="2" customWidth="1"/>
    <col min="8" max="8" width="17.28515625" style="2" customWidth="1"/>
    <col min="9" max="16384" width="9.140625" style="2"/>
  </cols>
  <sheetData>
    <row r="1" spans="1:10" ht="42.75" hidden="1" customHeight="1">
      <c r="F1" s="151"/>
      <c r="G1" s="151"/>
    </row>
    <row r="2" spans="1:10" ht="15.6" hidden="1" customHeight="1">
      <c r="F2" s="8"/>
      <c r="G2" s="8"/>
    </row>
    <row r="3" spans="1:10" ht="44.25" customHeight="1">
      <c r="A3" s="152" t="s">
        <v>0</v>
      </c>
      <c r="B3" s="152"/>
      <c r="C3" s="152"/>
      <c r="D3" s="152"/>
      <c r="E3" s="152"/>
      <c r="F3" s="152"/>
      <c r="G3" s="152"/>
      <c r="H3" s="152"/>
    </row>
    <row r="4" spans="1:10" s="1" customFormat="1" ht="29.45" customHeight="1">
      <c r="A4" s="63"/>
      <c r="B4" s="63"/>
      <c r="C4" s="63"/>
      <c r="D4" s="63"/>
      <c r="E4" s="78"/>
      <c r="F4" s="78"/>
      <c r="G4" s="79"/>
      <c r="H4" s="71" t="s">
        <v>1</v>
      </c>
      <c r="I4" s="157"/>
      <c r="J4" s="157"/>
    </row>
    <row r="5" spans="1:10" ht="87" customHeight="1">
      <c r="A5" s="112" t="s">
        <v>2</v>
      </c>
      <c r="B5" s="113" t="s">
        <v>3</v>
      </c>
      <c r="C5" s="113" t="s">
        <v>4</v>
      </c>
      <c r="D5" s="113" t="s">
        <v>5</v>
      </c>
      <c r="E5" s="113" t="s">
        <v>6</v>
      </c>
      <c r="F5" s="113" t="s">
        <v>7</v>
      </c>
      <c r="G5" s="113" t="s">
        <v>8</v>
      </c>
      <c r="H5" s="114" t="s">
        <v>9</v>
      </c>
      <c r="I5" s="157"/>
      <c r="J5" s="157"/>
    </row>
    <row r="6" spans="1:10" s="3" customFormat="1" ht="32.25" customHeight="1">
      <c r="A6" s="115" t="s">
        <v>10</v>
      </c>
      <c r="B6" s="116">
        <v>92640.5</v>
      </c>
      <c r="C6" s="116">
        <v>103964</v>
      </c>
      <c r="D6" s="116">
        <v>103984</v>
      </c>
      <c r="E6" s="116" t="s">
        <v>11</v>
      </c>
      <c r="F6" s="116" t="s">
        <v>11</v>
      </c>
      <c r="G6" s="117" t="s">
        <v>11</v>
      </c>
      <c r="H6" s="118" t="s">
        <v>11</v>
      </c>
      <c r="I6" s="158"/>
      <c r="J6" s="158"/>
    </row>
    <row r="7" spans="1:10" s="4" customFormat="1" ht="21">
      <c r="A7" s="72" t="s">
        <v>12</v>
      </c>
      <c r="B7" s="73">
        <v>6.0214696895134949</v>
      </c>
      <c r="C7" s="73">
        <f>C6/B6*100-100</f>
        <v>12.22305579093377</v>
      </c>
      <c r="D7" s="73">
        <v>11.2321284967158</v>
      </c>
      <c r="E7" s="74" t="s">
        <v>11</v>
      </c>
      <c r="F7" s="74" t="s">
        <v>11</v>
      </c>
      <c r="G7" s="74" t="s">
        <v>11</v>
      </c>
      <c r="H7" s="75" t="s">
        <v>11</v>
      </c>
      <c r="I7" s="159"/>
      <c r="J7" s="159"/>
    </row>
    <row r="8" spans="1:10" s="4" customFormat="1" ht="21">
      <c r="A8" s="72" t="s">
        <v>13</v>
      </c>
      <c r="B8" s="74">
        <v>7.6</v>
      </c>
      <c r="C8" s="74">
        <v>7.9</v>
      </c>
      <c r="D8" s="74">
        <v>7.9</v>
      </c>
      <c r="E8" s="74" t="s">
        <v>11</v>
      </c>
      <c r="F8" s="74" t="s">
        <v>11</v>
      </c>
      <c r="G8" s="74" t="s">
        <v>11</v>
      </c>
      <c r="H8" s="75" t="s">
        <v>11</v>
      </c>
      <c r="I8" s="159"/>
      <c r="J8" s="159"/>
    </row>
    <row r="9" spans="1:10" s="5" customFormat="1" ht="21">
      <c r="A9" s="72" t="s">
        <v>14</v>
      </c>
      <c r="B9" s="74">
        <v>6.9</v>
      </c>
      <c r="C9" s="73">
        <v>7</v>
      </c>
      <c r="D9" s="73">
        <v>7</v>
      </c>
      <c r="E9" s="74" t="s">
        <v>11</v>
      </c>
      <c r="F9" s="74" t="s">
        <v>11</v>
      </c>
      <c r="G9" s="74" t="s">
        <v>11</v>
      </c>
      <c r="H9" s="75" t="s">
        <v>11</v>
      </c>
      <c r="I9" s="159"/>
      <c r="J9" s="159"/>
    </row>
    <row r="10" spans="1:10" s="5" customFormat="1" ht="21">
      <c r="A10" s="72" t="s">
        <v>15</v>
      </c>
      <c r="B10" s="74">
        <v>3.1</v>
      </c>
      <c r="C10" s="74">
        <v>3.4</v>
      </c>
      <c r="D10" s="74">
        <v>3.4</v>
      </c>
      <c r="E10" s="74" t="s">
        <v>11</v>
      </c>
      <c r="F10" s="74" t="s">
        <v>11</v>
      </c>
      <c r="G10" s="74" t="s">
        <v>11</v>
      </c>
      <c r="H10" s="75" t="s">
        <v>11</v>
      </c>
      <c r="I10" s="159"/>
      <c r="J10" s="159"/>
    </row>
    <row r="11" spans="1:10" s="4" customFormat="1" ht="42">
      <c r="A11" s="72" t="s">
        <v>16</v>
      </c>
      <c r="B11" s="76">
        <v>11</v>
      </c>
      <c r="C11" s="76">
        <v>13.3</v>
      </c>
      <c r="D11" s="76">
        <v>13.3</v>
      </c>
      <c r="E11" s="76" t="s">
        <v>11</v>
      </c>
      <c r="F11" s="76" t="s">
        <v>11</v>
      </c>
      <c r="G11" s="76" t="s">
        <v>11</v>
      </c>
      <c r="H11" s="77" t="s">
        <v>11</v>
      </c>
      <c r="I11" s="159"/>
      <c r="J11" s="159"/>
    </row>
    <row r="12" spans="1:10" s="4" customFormat="1" ht="30" customHeight="1">
      <c r="A12" s="80" t="s">
        <v>17</v>
      </c>
      <c r="B12" s="81">
        <f>B16+B20+B23</f>
        <v>27645.795103</v>
      </c>
      <c r="C12" s="81">
        <f>C16+C20+C23</f>
        <v>30257.818150000003</v>
      </c>
      <c r="D12" s="81">
        <f>D16+D20+D23</f>
        <v>31301.529149999998</v>
      </c>
      <c r="E12" s="81">
        <f>D12-B12</f>
        <v>3655.7340469999981</v>
      </c>
      <c r="F12" s="81">
        <f>Таблица224627910121314572[[#This Row],[Столбец8]]/Таблица224627910121314572[[#This Row],[Столбец4]]*100-100</f>
        <v>13.223472261802655</v>
      </c>
      <c r="G12" s="81">
        <f>B12/$B$6*100</f>
        <v>29.842018450893509</v>
      </c>
      <c r="H12" s="82">
        <f t="shared" ref="H12:H75" si="0">D12/$D$6*100</f>
        <v>30.102255298892132</v>
      </c>
      <c r="I12" s="159"/>
      <c r="J12" s="159"/>
    </row>
    <row r="13" spans="1:10" s="4" customFormat="1" ht="28.5" customHeight="1">
      <c r="A13" s="80" t="s">
        <v>18</v>
      </c>
      <c r="B13" s="83">
        <f>B14+B15</f>
        <v>20200</v>
      </c>
      <c r="C13" s="83">
        <f t="shared" ref="C13" si="1">C14+C15</f>
        <v>21227.1</v>
      </c>
      <c r="D13" s="83">
        <f>D14+D15</f>
        <v>21927.1</v>
      </c>
      <c r="E13" s="83">
        <f t="shared" ref="E13:E76" si="2">D13-B13</f>
        <v>1727.0999999999985</v>
      </c>
      <c r="F13" s="83">
        <f>Таблица224627910121314572[[#This Row],[Столбец8]]/Таблица224627910121314572[[#This Row],[Столбец4]]*100-100</f>
        <v>8.5499999999999972</v>
      </c>
      <c r="G13" s="83">
        <f>Таблица224627910121314572[[#This Row],[Столбец4]]/$B$6*100</f>
        <v>21.804718238783252</v>
      </c>
      <c r="H13" s="84">
        <f t="shared" si="0"/>
        <v>21.086994152946605</v>
      </c>
      <c r="I13" s="159"/>
      <c r="J13" s="159"/>
    </row>
    <row r="14" spans="1:10" s="4" customFormat="1" ht="21">
      <c r="A14" s="85" t="s">
        <v>19</v>
      </c>
      <c r="B14" s="86">
        <f>B17</f>
        <v>18802.035</v>
      </c>
      <c r="C14" s="86">
        <f>19429+362.1</f>
        <v>19791.099999999999</v>
      </c>
      <c r="D14" s="86">
        <f>19429+352.1+700</f>
        <v>20481.099999999999</v>
      </c>
      <c r="E14" s="86">
        <f t="shared" si="2"/>
        <v>1679.0649999999987</v>
      </c>
      <c r="F14" s="86">
        <f>Таблица224627910121314572[[#This Row],[Столбец8]]/Таблица224627910121314572[[#This Row],[Столбец4]]*100-100</f>
        <v>8.9302301585971975</v>
      </c>
      <c r="G14" s="86">
        <f>Таблица224627910121314572[[#This Row],[Столбец4]]/$B$6*100</f>
        <v>20.295696806472328</v>
      </c>
      <c r="H14" s="87">
        <f t="shared" si="0"/>
        <v>19.696395599322972</v>
      </c>
      <c r="I14" s="159"/>
      <c r="J14" s="159"/>
    </row>
    <row r="15" spans="1:10" s="4" customFormat="1" ht="21">
      <c r="A15" s="85" t="s">
        <v>20</v>
      </c>
      <c r="B15" s="86">
        <f>B18</f>
        <v>1397.9649999999999</v>
      </c>
      <c r="C15" s="86">
        <v>1436</v>
      </c>
      <c r="D15" s="86">
        <v>1446</v>
      </c>
      <c r="E15" s="86">
        <f t="shared" si="2"/>
        <v>48.035000000000082</v>
      </c>
      <c r="F15" s="86">
        <f>Таблица224627910121314572[[#This Row],[Столбец8]]/Таблица224627910121314572[[#This Row],[Столбец4]]*100-100</f>
        <v>3.436065995929809</v>
      </c>
      <c r="G15" s="86">
        <f>Таблица224627910121314572[[#This Row],[Столбец4]]/$B$6*100</f>
        <v>1.5090214323109223</v>
      </c>
      <c r="H15" s="87">
        <f t="shared" si="0"/>
        <v>1.3905985536236345</v>
      </c>
      <c r="I15" s="159"/>
      <c r="J15" s="159"/>
    </row>
    <row r="16" spans="1:10" s="4" customFormat="1" ht="42">
      <c r="A16" s="80" t="s">
        <v>21</v>
      </c>
      <c r="B16" s="83">
        <f>B17+B18+B19</f>
        <v>20500</v>
      </c>
      <c r="C16" s="83">
        <f>C17+C18+C19</f>
        <v>21759.1</v>
      </c>
      <c r="D16" s="83">
        <f>D17+D18+D19</f>
        <v>22459.1</v>
      </c>
      <c r="E16" s="83">
        <f t="shared" si="2"/>
        <v>1959.0999999999985</v>
      </c>
      <c r="F16" s="83">
        <f>Таблица224627910121314572[[#This Row],[Столбец8]]/Таблица224627910121314572[[#This Row],[Столбец4]]*100-100</f>
        <v>9.5565853658536355</v>
      </c>
      <c r="G16" s="83">
        <f>Таблица224627910121314572[[#This Row],[Столбец4]]/$B$6*100</f>
        <v>22.128550687874093</v>
      </c>
      <c r="H16" s="84">
        <f t="shared" si="0"/>
        <v>21.598611324819199</v>
      </c>
      <c r="I16" s="159"/>
      <c r="J16" s="159"/>
    </row>
    <row r="17" spans="1:16" s="4" customFormat="1" ht="21">
      <c r="A17" s="85" t="s">
        <v>19</v>
      </c>
      <c r="B17" s="86">
        <v>18802.035</v>
      </c>
      <c r="C17" s="86">
        <f>19429+362.1</f>
        <v>19791.099999999999</v>
      </c>
      <c r="D17" s="86">
        <f>19429+352.1+700</f>
        <v>20481.099999999999</v>
      </c>
      <c r="E17" s="86">
        <f t="shared" si="2"/>
        <v>1679.0649999999987</v>
      </c>
      <c r="F17" s="86">
        <f>Таблица224627910121314572[[#This Row],[Столбец8]]/Таблица224627910121314572[[#This Row],[Столбец4]]*100-100</f>
        <v>8.9302301585971975</v>
      </c>
      <c r="G17" s="86">
        <f>Таблица224627910121314572[[#This Row],[Столбец4]]/$B$6*100</f>
        <v>20.295696806472328</v>
      </c>
      <c r="H17" s="87">
        <f t="shared" si="0"/>
        <v>19.696395599322972</v>
      </c>
      <c r="I17" s="159"/>
      <c r="J17" s="159"/>
    </row>
    <row r="18" spans="1:16" s="4" customFormat="1" ht="21">
      <c r="A18" s="85" t="s">
        <v>20</v>
      </c>
      <c r="B18" s="86">
        <v>1397.9649999999999</v>
      </c>
      <c r="C18" s="86">
        <v>1436</v>
      </c>
      <c r="D18" s="86">
        <v>1446</v>
      </c>
      <c r="E18" s="86">
        <f t="shared" si="2"/>
        <v>48.035000000000082</v>
      </c>
      <c r="F18" s="86">
        <f>Таблица224627910121314572[[#This Row],[Столбец8]]/Таблица224627910121314572[[#This Row],[Столбец4]]*100-100</f>
        <v>3.436065995929809</v>
      </c>
      <c r="G18" s="86">
        <f>Таблица224627910121314572[[#This Row],[Столбец4]]/$B$6*100</f>
        <v>1.5090214323109223</v>
      </c>
      <c r="H18" s="87">
        <f t="shared" si="0"/>
        <v>1.3905985536236345</v>
      </c>
      <c r="I18" s="159"/>
      <c r="J18" s="159"/>
    </row>
    <row r="19" spans="1:16" s="4" customFormat="1" ht="21">
      <c r="A19" s="85" t="s">
        <v>22</v>
      </c>
      <c r="B19" s="88">
        <v>300</v>
      </c>
      <c r="C19" s="86">
        <f>40*C11</f>
        <v>532</v>
      </c>
      <c r="D19" s="86">
        <f>40*D11</f>
        <v>532</v>
      </c>
      <c r="E19" s="86">
        <f t="shared" si="2"/>
        <v>232</v>
      </c>
      <c r="F19" s="86">
        <f>Таблица224627910121314572[[#This Row],[Столбец8]]/Таблица224627910121314572[[#This Row],[Столбец4]]*100-100</f>
        <v>77.333333333333343</v>
      </c>
      <c r="G19" s="86">
        <f>Таблица224627910121314572[[#This Row],[Столбец4]]/$B$6*100</f>
        <v>0.32383244909084041</v>
      </c>
      <c r="H19" s="87">
        <f t="shared" si="0"/>
        <v>0.51161717187259581</v>
      </c>
      <c r="I19" s="159"/>
      <c r="J19" s="159"/>
    </row>
    <row r="20" spans="1:16" s="4" customFormat="1" ht="42">
      <c r="A20" s="80" t="s">
        <v>23</v>
      </c>
      <c r="B20" s="83">
        <f t="shared" ref="B20:D22" si="3">B29</f>
        <v>4877.6051029999999</v>
      </c>
      <c r="C20" s="83">
        <f>C21+C22</f>
        <v>6190.389000000001</v>
      </c>
      <c r="D20" s="83">
        <f>D21+D22</f>
        <v>6463.9030000000002</v>
      </c>
      <c r="E20" s="83">
        <f t="shared" si="2"/>
        <v>1586.2978970000004</v>
      </c>
      <c r="F20" s="83">
        <f>Таблица224627910121314572[[#This Row],[Столбец8]]/Таблица224627910121314572[[#This Row],[Столбец4]]*100-100</f>
        <v>32.522064896650562</v>
      </c>
      <c r="G20" s="83">
        <f>Таблица224627910121314572[[#This Row],[Столбец4]]/$B$6*100</f>
        <v>5.2650893540082357</v>
      </c>
      <c r="H20" s="84">
        <f t="shared" si="0"/>
        <v>6.2162476919526082</v>
      </c>
      <c r="I20" s="159"/>
      <c r="J20" s="159"/>
    </row>
    <row r="21" spans="1:16" s="5" customFormat="1" ht="21">
      <c r="A21" s="85" t="s">
        <v>24</v>
      </c>
      <c r="B21" s="86">
        <f t="shared" si="3"/>
        <v>2537.4143199999999</v>
      </c>
      <c r="C21" s="86">
        <f t="shared" si="3"/>
        <v>3189.7330000000006</v>
      </c>
      <c r="D21" s="86">
        <f t="shared" si="3"/>
        <v>3463.2469999999998</v>
      </c>
      <c r="E21" s="86">
        <f t="shared" si="2"/>
        <v>925.83267999999998</v>
      </c>
      <c r="F21" s="86">
        <f>Таблица224627910121314572[[#This Row],[Столбец8]]/Таблица224627910121314572[[#This Row],[Столбец4]]*100-100</f>
        <v>36.487248956646539</v>
      </c>
      <c r="G21" s="86">
        <f>Таблица224627910121314572[[#This Row],[Столбец4]]/$B$6*100</f>
        <v>2.7389903120125645</v>
      </c>
      <c r="H21" s="87">
        <f t="shared" si="0"/>
        <v>3.3305575857824281</v>
      </c>
      <c r="I21" s="159"/>
      <c r="J21" s="159"/>
    </row>
    <row r="22" spans="1:16" s="4" customFormat="1" ht="21">
      <c r="A22" s="85" t="s">
        <v>25</v>
      </c>
      <c r="B22" s="86">
        <f t="shared" si="3"/>
        <v>2340.190783</v>
      </c>
      <c r="C22" s="86">
        <f t="shared" si="3"/>
        <v>3000.6559999999999</v>
      </c>
      <c r="D22" s="86">
        <f t="shared" si="3"/>
        <v>3000.6559999999999</v>
      </c>
      <c r="E22" s="86">
        <f t="shared" si="2"/>
        <v>660.46521699999994</v>
      </c>
      <c r="F22" s="86">
        <f>Таблица224627910121314572[[#This Row],[Столбец8]]/Таблица224627910121314572[[#This Row],[Столбец4]]*100-100</f>
        <v>28.222708242330498</v>
      </c>
      <c r="G22" s="86">
        <f>Таблица224627910121314572[[#This Row],[Столбец4]]/$B$6*100</f>
        <v>2.5260990419956717</v>
      </c>
      <c r="H22" s="87">
        <f t="shared" si="0"/>
        <v>2.8856901061701801</v>
      </c>
      <c r="I22" s="159"/>
      <c r="J22" s="159"/>
    </row>
    <row r="23" spans="1:16" s="4" customFormat="1" ht="21">
      <c r="A23" s="80" t="s">
        <v>26</v>
      </c>
      <c r="B23" s="81">
        <v>2268.19</v>
      </c>
      <c r="C23" s="81">
        <f>C32+129</f>
        <v>2308.32915</v>
      </c>
      <c r="D23" s="81">
        <f>D32+134.4</f>
        <v>2378.5261500000001</v>
      </c>
      <c r="E23" s="81">
        <f t="shared" si="2"/>
        <v>110.33615000000009</v>
      </c>
      <c r="F23" s="81">
        <f>Таблица224627910121314572[[#This Row],[Столбец8]]/Таблица224627910121314572[[#This Row],[Столбец4]]*100-100</f>
        <v>4.8645020919764193</v>
      </c>
      <c r="G23" s="81">
        <f>Таблица224627910121314572[[#This Row],[Столбец4]]/$B$6*100</f>
        <v>2.4483784090111778</v>
      </c>
      <c r="H23" s="82">
        <f t="shared" si="0"/>
        <v>2.2873962821203264</v>
      </c>
      <c r="I23" s="159"/>
      <c r="J23" s="159"/>
    </row>
    <row r="24" spans="1:16" s="5" customFormat="1" ht="48.75" customHeight="1">
      <c r="A24" s="80" t="s">
        <v>27</v>
      </c>
      <c r="B24" s="81">
        <f>B25+B29+B32</f>
        <v>28108.956545999998</v>
      </c>
      <c r="C24" s="81">
        <f>C25+C29+C32</f>
        <v>30505.325819000005</v>
      </c>
      <c r="D24" s="81">
        <f>D25+D29+D32</f>
        <v>31854.356080999998</v>
      </c>
      <c r="E24" s="81">
        <f t="shared" si="2"/>
        <v>3745.3995350000005</v>
      </c>
      <c r="F24" s="81">
        <f>Таблица224627910121314572[[#This Row],[Столбец8]]/Таблица224627910121314572[[#This Row],[Столбец4]]*100-100</f>
        <v>13.324576915086467</v>
      </c>
      <c r="G24" s="81">
        <f>Таблица224627910121314572[[#This Row],[Столбец4]]/$B$6*100</f>
        <v>30.341974132263967</v>
      </c>
      <c r="H24" s="82">
        <f t="shared" si="0"/>
        <v>30.633901447338051</v>
      </c>
      <c r="I24" s="159"/>
      <c r="J24" s="159"/>
    </row>
    <row r="25" spans="1:16" s="4" customFormat="1" ht="21">
      <c r="A25" s="89" t="s">
        <v>28</v>
      </c>
      <c r="B25" s="81">
        <f>B34+B41+B48+B83+B129+0.1</f>
        <v>21097.152990999999</v>
      </c>
      <c r="C25" s="81">
        <f>C34+C41+C48+C83+C129+0.1</f>
        <v>22095.901669000003</v>
      </c>
      <c r="D25" s="81">
        <f>D34+D41+D48+D83+D129</f>
        <v>23146.326931</v>
      </c>
      <c r="E25" s="81">
        <f t="shared" si="2"/>
        <v>2049.1739400000006</v>
      </c>
      <c r="F25" s="81">
        <f>Таблица224627910121314572[[#This Row],[Столбец8]]/Таблица224627910121314572[[#This Row],[Столбец4]]*100-100</f>
        <v>9.7130354075460872</v>
      </c>
      <c r="G25" s="81">
        <f>Таблица224627910121314572[[#This Row],[Столбец4]]/$B$6*100</f>
        <v>22.773142406398929</v>
      </c>
      <c r="H25" s="82">
        <f t="shared" si="0"/>
        <v>22.259508127211877</v>
      </c>
      <c r="I25" s="159"/>
      <c r="J25" s="159"/>
    </row>
    <row r="26" spans="1:16" s="4" customFormat="1" ht="21">
      <c r="A26" s="90" t="s">
        <v>29</v>
      </c>
      <c r="B26" s="86">
        <f>B35+B42+B49+B84+B130</f>
        <v>6034.3300409999993</v>
      </c>
      <c r="C26" s="86">
        <f>C35+C42+C49+C84+C130</f>
        <v>6096.1455850000002</v>
      </c>
      <c r="D26" s="86">
        <f>D35+D42+D49+D84+D130</f>
        <v>6591.5811349999985</v>
      </c>
      <c r="E26" s="86">
        <f t="shared" si="2"/>
        <v>557.25109399999928</v>
      </c>
      <c r="F26" s="86">
        <f>Таблица224627910121314572[[#This Row],[Столбец8]]/Таблица224627910121314572[[#This Row],[Столбец4]]*100-100</f>
        <v>9.2346804071666639</v>
      </c>
      <c r="G26" s="86">
        <f>Таблица224627910121314572[[#This Row],[Столбец4]]/$B$6*100</f>
        <v>6.5137062526648704</v>
      </c>
      <c r="H26" s="87">
        <f t="shared" si="0"/>
        <v>6.3390340196568697</v>
      </c>
      <c r="I26" s="159"/>
      <c r="J26" s="159"/>
    </row>
    <row r="27" spans="1:16" s="4" customFormat="1" ht="21">
      <c r="A27" s="90" t="s">
        <v>30</v>
      </c>
      <c r="B27" s="86">
        <f>B36+B43+B50+B85-0.2</f>
        <v>3642.3970000000004</v>
      </c>
      <c r="C27" s="86">
        <f>C36+C43+C50+C85</f>
        <v>3596.0770000000002</v>
      </c>
      <c r="D27" s="86">
        <f>D36+D43+D50+D85-0.2</f>
        <v>4142.3969999999999</v>
      </c>
      <c r="E27" s="86">
        <f t="shared" si="2"/>
        <v>499.99999999999955</v>
      </c>
      <c r="F27" s="86">
        <f>Таблица224627910121314572[[#This Row],[Столбец8]]/Таблица224627910121314572[[#This Row],[Столбец4]]*100-100</f>
        <v>13.727224132899281</v>
      </c>
      <c r="G27" s="86">
        <f>Таблица224627910121314572[[#This Row],[Столбец4]]/$B$6*100</f>
        <v>3.9317544702370997</v>
      </c>
      <c r="H27" s="87">
        <f t="shared" si="0"/>
        <v>3.983686913371288</v>
      </c>
      <c r="I27" s="159"/>
      <c r="J27" s="159"/>
    </row>
    <row r="28" spans="1:16" s="4" customFormat="1" ht="21">
      <c r="A28" s="90" t="s">
        <v>31</v>
      </c>
      <c r="B28" s="91">
        <f>B37+B44+B51+B86+B129-B130</f>
        <v>11420.22595</v>
      </c>
      <c r="C28" s="91">
        <f>C37+C44+C51+C86+C129-C130</f>
        <v>12403.579084000001</v>
      </c>
      <c r="D28" s="91">
        <f>D37+D44+D51+D86+D129-D130</f>
        <v>12412.148796000001</v>
      </c>
      <c r="E28" s="91">
        <f>D28-B28</f>
        <v>991.9228460000013</v>
      </c>
      <c r="F28" s="91">
        <f>Таблица224627910121314572[[#This Row],[Столбец8]]/Таблица224627910121314572[[#This Row],[Столбец4]]*100-100</f>
        <v>8.6856674320003435</v>
      </c>
      <c r="G28" s="91">
        <f>Таблица224627910121314572[[#This Row],[Столбец4]]/$B$6*100</f>
        <v>12.327465795197565</v>
      </c>
      <c r="H28" s="92">
        <f t="shared" si="0"/>
        <v>11.936594856901063</v>
      </c>
      <c r="M28" s="160">
        <f>B37+B44+B58+B65+B72+B79+B93+B100+B107+B114+B120+B126+B129-B130</f>
        <v>11420.12595</v>
      </c>
      <c r="N28" s="160">
        <f>C37+C44+C58+C65+C72+C79+C93+C100+C107+C114+C120+C126+C129-C130</f>
        <v>12403.579084000001</v>
      </c>
      <c r="O28" s="119">
        <f>D37+D44+D58+D65+D72+D79+D93+D100+D107+D114+D120+D126+D129-D130</f>
        <v>12412.148795999998</v>
      </c>
      <c r="P28" s="119">
        <f>E37+E44+E58+E65+E72+E79+E93+E100+E107+E114+E120+E126+E129-E130</f>
        <v>992.02284599999984</v>
      </c>
    </row>
    <row r="29" spans="1:16" s="4" customFormat="1" ht="21">
      <c r="A29" s="93" t="s">
        <v>32</v>
      </c>
      <c r="B29" s="81">
        <f>B38+B45+B52+B87</f>
        <v>4877.6051029999999</v>
      </c>
      <c r="C29" s="81">
        <f>C38+C45+C52+C87</f>
        <v>6230.0950000000003</v>
      </c>
      <c r="D29" s="81">
        <f>D38+D45+D52+D87</f>
        <v>6463.9029999999993</v>
      </c>
      <c r="E29" s="81">
        <f t="shared" si="2"/>
        <v>1586.2978969999995</v>
      </c>
      <c r="F29" s="81">
        <f>Таблица224627910121314572[[#This Row],[Столбец8]]/Таблица224627910121314572[[#This Row],[Столбец4]]*100-100</f>
        <v>32.522064896650562</v>
      </c>
      <c r="G29" s="81">
        <f>Таблица224627910121314572[[#This Row],[Столбец4]]/$B$6*100</f>
        <v>5.2650893540082357</v>
      </c>
      <c r="H29" s="82">
        <f t="shared" si="0"/>
        <v>6.2162476919526073</v>
      </c>
      <c r="I29" s="159"/>
      <c r="J29" s="159"/>
    </row>
    <row r="30" spans="1:16" s="4" customFormat="1" ht="21">
      <c r="A30" s="90" t="s">
        <v>33</v>
      </c>
      <c r="B30" s="94">
        <v>2537.4143199999999</v>
      </c>
      <c r="C30" s="86">
        <f>28.495+131.177+295.515+449.425+265.402+1041.064+212.96+765.695</f>
        <v>3189.7330000000006</v>
      </c>
      <c r="D30" s="86">
        <f>39.9+45.12+144.477+308.815+475.36+295.327+1044.588+232.91+876.75</f>
        <v>3463.2469999999998</v>
      </c>
      <c r="E30" s="86">
        <f t="shared" si="2"/>
        <v>925.83267999999998</v>
      </c>
      <c r="F30" s="86">
        <f>Таблица224627910121314572[[#This Row],[Столбец8]]/Таблица224627910121314572[[#This Row],[Столбец4]]*100-100</f>
        <v>36.487248956646539</v>
      </c>
      <c r="G30" s="86">
        <f>Таблица224627910121314572[[#This Row],[Столбец4]]/$B$6*100</f>
        <v>2.7389903120125645</v>
      </c>
      <c r="H30" s="87">
        <f t="shared" si="0"/>
        <v>3.3305575857824281</v>
      </c>
      <c r="I30" s="159"/>
      <c r="J30" s="159"/>
    </row>
    <row r="31" spans="1:16" s="4" customFormat="1" ht="21">
      <c r="A31" s="90" t="s">
        <v>34</v>
      </c>
      <c r="B31" s="94">
        <v>2340.190783</v>
      </c>
      <c r="C31" s="86">
        <f>252.39+83.637+93.121+1289.541+512.236+769.731</f>
        <v>3000.6559999999999</v>
      </c>
      <c r="D31" s="86">
        <f>252.39+83.637+93.121+1289.541+512.236+769.731</f>
        <v>3000.6559999999999</v>
      </c>
      <c r="E31" s="86">
        <f t="shared" si="2"/>
        <v>660.46521699999994</v>
      </c>
      <c r="F31" s="86">
        <f>Таблица224627910121314572[[#This Row],[Столбец8]]/Таблица224627910121314572[[#This Row],[Столбец4]]*100-100</f>
        <v>28.222708242330498</v>
      </c>
      <c r="G31" s="86">
        <f>Таблица224627910121314572[[#This Row],[Столбец4]]/$B$6*100</f>
        <v>2.5260990419956717</v>
      </c>
      <c r="H31" s="87">
        <f t="shared" si="0"/>
        <v>2.8856901061701801</v>
      </c>
      <c r="I31" s="159"/>
      <c r="J31" s="159"/>
    </row>
    <row r="32" spans="1:16" s="4" customFormat="1" ht="21">
      <c r="A32" s="89" t="s">
        <v>35</v>
      </c>
      <c r="B32" s="81">
        <f>B39+B46+B53+B88</f>
        <v>2134.1984519999996</v>
      </c>
      <c r="C32" s="81">
        <f>C39+C46+C53+C88</f>
        <v>2179.32915</v>
      </c>
      <c r="D32" s="81">
        <f>D39+D46+D53+D88</f>
        <v>2244.1261500000001</v>
      </c>
      <c r="E32" s="81">
        <f t="shared" si="2"/>
        <v>109.92769800000042</v>
      </c>
      <c r="F32" s="81">
        <f>Таблица224627910121314572[[#This Row],[Столбец8]]/Таблица224627910121314572[[#This Row],[Столбец4]]*100-100</f>
        <v>5.1507720801214703</v>
      </c>
      <c r="G32" s="81">
        <f>Таблица224627910121314572[[#This Row],[Столбец4]]/$B$6*100</f>
        <v>2.3037423718568006</v>
      </c>
      <c r="H32" s="82">
        <f t="shared" si="0"/>
        <v>2.1581456281735649</v>
      </c>
      <c r="I32" s="159"/>
      <c r="J32" s="159"/>
    </row>
    <row r="33" spans="1:10" s="4" customFormat="1" ht="21">
      <c r="A33" s="93" t="s">
        <v>36</v>
      </c>
      <c r="B33" s="81">
        <f>B34+B38+B39</f>
        <v>1430.1991439999999</v>
      </c>
      <c r="C33" s="81">
        <f>C34+C38+C39</f>
        <v>1466.8000000000002</v>
      </c>
      <c r="D33" s="81">
        <f>D34+D38+D39</f>
        <v>1475.8000000000002</v>
      </c>
      <c r="E33" s="81">
        <f t="shared" si="2"/>
        <v>45.600856000000249</v>
      </c>
      <c r="F33" s="81">
        <f>Таблица224627910121314572[[#This Row],[Столбец8]]/Таблица224627910121314572[[#This Row],[Столбец4]]*100-100</f>
        <v>3.1884270236984804</v>
      </c>
      <c r="G33" s="81">
        <f>Таблица224627910121314572[[#This Row],[Столбец4]]/$B$6*100</f>
        <v>1.5438163049638116</v>
      </c>
      <c r="H33" s="82">
        <f t="shared" si="0"/>
        <v>1.4192568087398063</v>
      </c>
      <c r="I33" s="159"/>
      <c r="J33" s="159"/>
    </row>
    <row r="34" spans="1:10" s="4" customFormat="1" ht="21">
      <c r="A34" s="95" t="s">
        <v>28</v>
      </c>
      <c r="B34" s="81">
        <f>B35+B36+B37</f>
        <v>1091.4255439999999</v>
      </c>
      <c r="C34" s="81">
        <f t="shared" ref="C34:D34" si="4">C35+C36+C37</f>
        <v>1165.2</v>
      </c>
      <c r="D34" s="81">
        <f t="shared" si="4"/>
        <v>1173.2</v>
      </c>
      <c r="E34" s="81">
        <f t="shared" si="2"/>
        <v>81.7744560000001</v>
      </c>
      <c r="F34" s="81">
        <f>Таблица224627910121314572[[#This Row],[Столбец8]]/Таблица224627910121314572[[#This Row],[Столбец4]]*100-100</f>
        <v>7.4924447617656256</v>
      </c>
      <c r="G34" s="81">
        <f>Таблица224627910121314572[[#This Row],[Столбец4]]/$B$6*100</f>
        <v>1.1781300230460761</v>
      </c>
      <c r="H34" s="82">
        <f t="shared" si="0"/>
        <v>1.1282505000769349</v>
      </c>
      <c r="I34" s="159"/>
      <c r="J34" s="159"/>
    </row>
    <row r="35" spans="1:10" s="4" customFormat="1" ht="21">
      <c r="A35" s="90" t="s">
        <v>29</v>
      </c>
      <c r="B35" s="88">
        <v>468.52569799999998</v>
      </c>
      <c r="C35" s="91">
        <v>491.2</v>
      </c>
      <c r="D35" s="91">
        <v>491.2</v>
      </c>
      <c r="E35" s="91">
        <f t="shared" si="2"/>
        <v>22.674302000000012</v>
      </c>
      <c r="F35" s="91">
        <f>Таблица224627910121314572[[#This Row],[Столбец8]]/Таблица224627910121314572[[#This Row],[Столбец4]]*100-100</f>
        <v>4.8395001804148592</v>
      </c>
      <c r="G35" s="91">
        <f>Таблица224627910121314572[[#This Row],[Столбец4]]/$B$6*100</f>
        <v>0.50574608081778483</v>
      </c>
      <c r="H35" s="92">
        <f t="shared" si="0"/>
        <v>0.47238036621018614</v>
      </c>
      <c r="I35" s="159"/>
      <c r="J35" s="159"/>
    </row>
    <row r="36" spans="1:10" s="4" customFormat="1" ht="21">
      <c r="A36" s="90" t="s">
        <v>30</v>
      </c>
      <c r="B36" s="88">
        <v>146</v>
      </c>
      <c r="C36" s="91">
        <v>137.6</v>
      </c>
      <c r="D36" s="91">
        <v>146</v>
      </c>
      <c r="E36" s="91">
        <f t="shared" si="2"/>
        <v>0</v>
      </c>
      <c r="F36" s="91">
        <f>Таблица224627910121314572[[#This Row],[Столбец8]]/Таблица224627910121314572[[#This Row],[Столбец4]]*100-100</f>
        <v>0</v>
      </c>
      <c r="G36" s="91">
        <f>Таблица224627910121314572[[#This Row],[Столбец4]]/$B$6*100</f>
        <v>0.15759845855754234</v>
      </c>
      <c r="H36" s="92">
        <f t="shared" si="0"/>
        <v>0.14040621634097553</v>
      </c>
      <c r="I36" s="159"/>
      <c r="J36" s="159"/>
    </row>
    <row r="37" spans="1:10" s="4" customFormat="1" ht="21">
      <c r="A37" s="90" t="s">
        <v>31</v>
      </c>
      <c r="B37" s="88">
        <f>474.899846+1.9+0.1</f>
        <v>476.89984600000003</v>
      </c>
      <c r="C37" s="91">
        <f>515+23.2-1.8</f>
        <v>536.40000000000009</v>
      </c>
      <c r="D37" s="91">
        <f>515.4+22.4-1.8</f>
        <v>536</v>
      </c>
      <c r="E37" s="91">
        <f t="shared" si="2"/>
        <v>59.100153999999975</v>
      </c>
      <c r="F37" s="91">
        <f>Таблица224627910121314572[[#This Row],[Столбец8]]/Таблица224627910121314572[[#This Row],[Столбец4]]*100-100</f>
        <v>12.392571416347238</v>
      </c>
      <c r="G37" s="91">
        <f>Таблица224627910121314572[[#This Row],[Столбец4]]/$B$6*100</f>
        <v>0.51478548367074872</v>
      </c>
      <c r="H37" s="92">
        <f t="shared" si="0"/>
        <v>0.51546391752577314</v>
      </c>
      <c r="I37" s="159"/>
      <c r="J37" s="159"/>
    </row>
    <row r="38" spans="1:10" s="4" customFormat="1" ht="21">
      <c r="A38" s="95" t="s">
        <v>37</v>
      </c>
      <c r="B38" s="94">
        <f>55.33198+44.93049</f>
        <v>100.26247000000001</v>
      </c>
      <c r="C38" s="86">
        <v>39.9</v>
      </c>
      <c r="D38" s="86">
        <v>39.9</v>
      </c>
      <c r="E38" s="86">
        <f t="shared" si="2"/>
        <v>-60.362470000000009</v>
      </c>
      <c r="F38" s="86">
        <f>Таблица224627910121314572[[#This Row],[Столбец8]]/Таблица224627910121314572[[#This Row],[Столбец4]]*100-100</f>
        <v>-60.204451376472178</v>
      </c>
      <c r="G38" s="86">
        <f>Таблица224627910121314572[[#This Row],[Столбец4]]/$B$6*100</f>
        <v>0.10822747070665638</v>
      </c>
      <c r="H38" s="87">
        <f t="shared" si="0"/>
        <v>3.837128789044468E-2</v>
      </c>
      <c r="I38" s="159"/>
      <c r="J38" s="159"/>
    </row>
    <row r="39" spans="1:10" s="4" customFormat="1" ht="21">
      <c r="A39" s="95" t="s">
        <v>35</v>
      </c>
      <c r="B39" s="94">
        <v>238.51113000000001</v>
      </c>
      <c r="C39" s="86">
        <v>261.7</v>
      </c>
      <c r="D39" s="86">
        <v>262.7</v>
      </c>
      <c r="E39" s="86">
        <f t="shared" si="2"/>
        <v>24.18886999999998</v>
      </c>
      <c r="F39" s="86">
        <f>Таблица224627910121314572[[#This Row],[Столбец8]]/Таблица224627910121314572[[#This Row],[Столбец4]]*100-100</f>
        <v>10.141610582281828</v>
      </c>
      <c r="G39" s="86">
        <f>Таблица224627910121314572[[#This Row],[Столбец4]]/$B$6*100</f>
        <v>0.25745881121107939</v>
      </c>
      <c r="H39" s="87">
        <f t="shared" si="0"/>
        <v>0.2526350207724265</v>
      </c>
      <c r="I39" s="159"/>
      <c r="J39" s="159"/>
    </row>
    <row r="40" spans="1:10" s="4" customFormat="1" ht="42">
      <c r="A40" s="93" t="s">
        <v>38</v>
      </c>
      <c r="B40" s="81">
        <f>SUM(B41,B45,B46)</f>
        <v>2044.8452320000001</v>
      </c>
      <c r="C40" s="81">
        <f>SUM(C41,C45,C46)</f>
        <v>2180.3130000000001</v>
      </c>
      <c r="D40" s="81">
        <f>SUM(D41,D45,D46)</f>
        <v>2251.2599999999998</v>
      </c>
      <c r="E40" s="81">
        <f t="shared" si="2"/>
        <v>206.41476799999964</v>
      </c>
      <c r="F40" s="81">
        <f>Таблица224627910121314572[[#This Row],[Столбец8]]/Таблица224627910121314572[[#This Row],[Столбец4]]*100-100</f>
        <v>10.094395642750527</v>
      </c>
      <c r="G40" s="81">
        <f>Таблица224627910121314572[[#This Row],[Столбец4]]/$B$6*100</f>
        <v>2.2072907983009591</v>
      </c>
      <c r="H40" s="82">
        <f t="shared" si="0"/>
        <v>2.165006154793045</v>
      </c>
      <c r="I40" s="159"/>
      <c r="J40" s="159"/>
    </row>
    <row r="41" spans="1:10" s="4" customFormat="1" ht="21">
      <c r="A41" s="95" t="s">
        <v>28</v>
      </c>
      <c r="B41" s="86">
        <f>B42+B43+B44</f>
        <v>1792.7095610000001</v>
      </c>
      <c r="C41" s="86">
        <f t="shared" ref="C41:D41" si="5">C42+C43+C44</f>
        <v>1922.2510000000002</v>
      </c>
      <c r="D41" s="86">
        <f t="shared" si="5"/>
        <v>1963.84</v>
      </c>
      <c r="E41" s="86">
        <f t="shared" si="2"/>
        <v>171.1304389999998</v>
      </c>
      <c r="F41" s="86">
        <f>Таблица224627910121314572[[#This Row],[Столбец8]]/Таблица224627910121314572[[#This Row],[Столбец4]]*100-100</f>
        <v>9.5459098742431365</v>
      </c>
      <c r="G41" s="86">
        <f>Таблица224627910121314572[[#This Row],[Столбец4]]/$B$6*100</f>
        <v>1.935125092157318</v>
      </c>
      <c r="H41" s="87">
        <f t="shared" si="0"/>
        <v>1.8885982458839818</v>
      </c>
      <c r="I41" s="159"/>
      <c r="J41" s="159"/>
    </row>
    <row r="42" spans="1:10" s="4" customFormat="1" ht="21">
      <c r="A42" s="90" t="s">
        <v>29</v>
      </c>
      <c r="B42" s="94">
        <v>888.03150300000004</v>
      </c>
      <c r="C42" s="86">
        <v>905.7</v>
      </c>
      <c r="D42" s="86">
        <v>906.4</v>
      </c>
      <c r="E42" s="86">
        <f t="shared" si="2"/>
        <v>18.368496999999934</v>
      </c>
      <c r="F42" s="86">
        <f>Таблица224627910121314572[[#This Row],[Столбец8]]/Таблица224627910121314572[[#This Row],[Столбец4]]*100-100</f>
        <v>2.0684510558405265</v>
      </c>
      <c r="G42" s="86">
        <f>Таблица224627910121314572[[#This Row],[Столбец4]]/$B$6*100</f>
        <v>0.95857805495436665</v>
      </c>
      <c r="H42" s="87">
        <f t="shared" si="0"/>
        <v>0.87167256501000157</v>
      </c>
      <c r="I42" s="159"/>
      <c r="J42" s="159"/>
    </row>
    <row r="43" spans="1:10" s="5" customFormat="1" ht="21">
      <c r="A43" s="90" t="s">
        <v>30</v>
      </c>
      <c r="B43" s="94">
        <v>94.44</v>
      </c>
      <c r="C43" s="86">
        <v>86.9</v>
      </c>
      <c r="D43" s="94">
        <v>94.44</v>
      </c>
      <c r="E43" s="86">
        <f t="shared" si="2"/>
        <v>0</v>
      </c>
      <c r="F43" s="86">
        <f>Таблица224627910121314572[[#This Row],[Столбец8]]/Таблица224627910121314572[[#This Row],[Столбец4]]*100-100</f>
        <v>0</v>
      </c>
      <c r="G43" s="86">
        <f>Таблица224627910121314572[[#This Row],[Столбец4]]/$B$6*100</f>
        <v>0.10194245497379656</v>
      </c>
      <c r="H43" s="87">
        <f t="shared" si="0"/>
        <v>9.0821664871518687E-2</v>
      </c>
      <c r="I43" s="159"/>
      <c r="J43" s="159"/>
    </row>
    <row r="44" spans="1:10" s="4" customFormat="1" ht="21">
      <c r="A44" s="90" t="s">
        <v>31</v>
      </c>
      <c r="B44" s="94">
        <f>558.174988+252.08307-0.02</f>
        <v>810.23805800000002</v>
      </c>
      <c r="C44" s="86">
        <f>783.692+95.959+50</f>
        <v>929.65100000000007</v>
      </c>
      <c r="D44" s="86">
        <f>137.1+785.9+40</f>
        <v>963</v>
      </c>
      <c r="E44" s="86">
        <f t="shared" si="2"/>
        <v>152.76194199999998</v>
      </c>
      <c r="F44" s="86">
        <f>Таблица224627910121314572[[#This Row],[Столбец8]]/Таблица224627910121314572[[#This Row],[Столбец4]]*100-100</f>
        <v>18.853957857407863</v>
      </c>
      <c r="G44" s="86">
        <f>Таблица224627910121314572[[#This Row],[Столбец4]]/$B$6*100</f>
        <v>0.8746045822291546</v>
      </c>
      <c r="H44" s="87">
        <f t="shared" si="0"/>
        <v>0.92610401600246184</v>
      </c>
      <c r="I44" s="159"/>
      <c r="J44" s="159"/>
    </row>
    <row r="45" spans="1:10" s="4" customFormat="1" ht="21">
      <c r="A45" s="95" t="s">
        <v>37</v>
      </c>
      <c r="B45" s="94">
        <f>22.77+9.68726</f>
        <v>32.457259999999998</v>
      </c>
      <c r="C45" s="86">
        <v>28.495000000000001</v>
      </c>
      <c r="D45" s="86">
        <v>45.12</v>
      </c>
      <c r="E45" s="86">
        <f t="shared" si="2"/>
        <v>12.662739999999999</v>
      </c>
      <c r="F45" s="86">
        <f>Таблица224627910121314572[[#This Row],[Столбец8]]/Таблица224627910121314572[[#This Row],[Столбец4]]*100-100</f>
        <v>39.013582785484658</v>
      </c>
      <c r="G45" s="86">
        <f>Таблица224627910121314572[[#This Row],[Столбец4]]/$B$6*100</f>
        <v>3.5035713321927231E-2</v>
      </c>
      <c r="H45" s="87">
        <f t="shared" si="0"/>
        <v>4.3391290967841202E-2</v>
      </c>
      <c r="I45" s="159"/>
      <c r="J45" s="159"/>
    </row>
    <row r="46" spans="1:10" s="4" customFormat="1" ht="21">
      <c r="A46" s="95" t="s">
        <v>35</v>
      </c>
      <c r="B46" s="94">
        <f>0.685501+218.99291</f>
        <v>219.67841099999998</v>
      </c>
      <c r="C46" s="86">
        <v>229.56700000000001</v>
      </c>
      <c r="D46" s="86">
        <v>242.3</v>
      </c>
      <c r="E46" s="86">
        <f t="shared" si="2"/>
        <v>22.621589000000029</v>
      </c>
      <c r="F46" s="86">
        <f>Таблица224627910121314572[[#This Row],[Столбец8]]/Таблица224627910121314572[[#This Row],[Столбец4]]*100-100</f>
        <v>10.297593148559343</v>
      </c>
      <c r="G46" s="86">
        <f>Таблица224627910121314572[[#This Row],[Столбец4]]/$B$6*100</f>
        <v>0.23712999282171401</v>
      </c>
      <c r="H46" s="87">
        <f t="shared" si="0"/>
        <v>0.23301661794122175</v>
      </c>
      <c r="I46" s="159"/>
      <c r="J46" s="159"/>
    </row>
    <row r="47" spans="1:10" s="4" customFormat="1" ht="21">
      <c r="A47" s="80" t="s">
        <v>39</v>
      </c>
      <c r="B47" s="81">
        <f>SUM(B54,B61,B68,B75)</f>
        <v>13164.208933999998</v>
      </c>
      <c r="C47" s="81">
        <f>SUM(C54,C61,C68,C75)</f>
        <v>13524.071250000001</v>
      </c>
      <c r="D47" s="81">
        <f>SUM(D54,D61,D68,D75)</f>
        <v>13653.348249999999</v>
      </c>
      <c r="E47" s="81">
        <f t="shared" si="2"/>
        <v>489.13931600000069</v>
      </c>
      <c r="F47" s="81">
        <f>Таблица224627910121314572[[#This Row],[Столбец8]]/Таблица224627910121314572[[#This Row],[Столбец4]]*100-100</f>
        <v>3.7156757269072926</v>
      </c>
      <c r="G47" s="81">
        <f>Таблица224627910121314572[[#This Row],[Столбец4]]/$B$6*100</f>
        <v>14.209993398135804</v>
      </c>
      <c r="H47" s="82">
        <f t="shared" si="0"/>
        <v>13.130239508001228</v>
      </c>
      <c r="I47" s="159"/>
      <c r="J47" s="159"/>
    </row>
    <row r="48" spans="1:10" s="4" customFormat="1" ht="21">
      <c r="A48" s="95" t="s">
        <v>28</v>
      </c>
      <c r="B48" s="86">
        <f t="shared" ref="B48:D53" si="6">B55+B62+B69+B76</f>
        <v>10901.553900999999</v>
      </c>
      <c r="C48" s="86">
        <f t="shared" si="6"/>
        <v>10971.87125</v>
      </c>
      <c r="D48" s="86">
        <f t="shared" si="6"/>
        <v>11004.202249999998</v>
      </c>
      <c r="E48" s="86">
        <f t="shared" si="2"/>
        <v>102.64834899999914</v>
      </c>
      <c r="F48" s="86">
        <f>Таблица224627910121314572[[#This Row],[Столбец8]]/Таблица224627910121314572[[#This Row],[Столбец4]]*100-100</f>
        <v>0.94159373913275601</v>
      </c>
      <c r="G48" s="86">
        <f>Таблица224627910121314572[[#This Row],[Столбец4]]/$B$6*100</f>
        <v>11.767589662188783</v>
      </c>
      <c r="H48" s="87">
        <f t="shared" si="0"/>
        <v>10.582591792968147</v>
      </c>
      <c r="I48" s="159"/>
      <c r="J48" s="159"/>
    </row>
    <row r="49" spans="1:10" s="4" customFormat="1" ht="21">
      <c r="A49" s="90" t="s">
        <v>29</v>
      </c>
      <c r="B49" s="91">
        <f t="shared" si="6"/>
        <v>4483.6791969999995</v>
      </c>
      <c r="C49" s="91">
        <f t="shared" si="6"/>
        <v>4498.5999999999995</v>
      </c>
      <c r="D49" s="91">
        <f t="shared" si="6"/>
        <v>4500.5999999999995</v>
      </c>
      <c r="E49" s="91">
        <f t="shared" si="2"/>
        <v>16.920802999999978</v>
      </c>
      <c r="F49" s="91">
        <f>Таблица224627910121314572[[#This Row],[Столбец8]]/Таблица224627910121314572[[#This Row],[Столбец4]]*100-100</f>
        <v>0.3773865670702321</v>
      </c>
      <c r="G49" s="91">
        <f>Таблица224627910121314572[[#This Row],[Столбец4]]/$B$6*100</f>
        <v>4.8398693843405418</v>
      </c>
      <c r="H49" s="92">
        <f t="shared" si="0"/>
        <v>4.3281658716725646</v>
      </c>
      <c r="I49" s="159"/>
      <c r="J49" s="159"/>
    </row>
    <row r="50" spans="1:10" s="4" customFormat="1" ht="21">
      <c r="A50" s="90" t="s">
        <v>30</v>
      </c>
      <c r="B50" s="91">
        <f t="shared" si="6"/>
        <v>647.90800000000002</v>
      </c>
      <c r="C50" s="91">
        <f t="shared" si="6"/>
        <v>637.67700000000002</v>
      </c>
      <c r="D50" s="91">
        <f t="shared" si="6"/>
        <v>647.90800000000002</v>
      </c>
      <c r="E50" s="91">
        <f t="shared" si="2"/>
        <v>0</v>
      </c>
      <c r="F50" s="91">
        <f>Таблица224627910121314572[[#This Row],[Столбец8]]/Таблица224627910121314572[[#This Row],[Столбец4]]*100-100</f>
        <v>0</v>
      </c>
      <c r="G50" s="91">
        <f>Таблица224627910121314572[[#This Row],[Столбец4]]/$B$6*100</f>
        <v>0.69937878141849408</v>
      </c>
      <c r="H50" s="92">
        <f t="shared" si="0"/>
        <v>0.62308432066471764</v>
      </c>
      <c r="I50" s="159"/>
      <c r="J50" s="159"/>
    </row>
    <row r="51" spans="1:10" s="4" customFormat="1" ht="21">
      <c r="A51" s="90" t="s">
        <v>31</v>
      </c>
      <c r="B51" s="91">
        <f t="shared" si="6"/>
        <v>5769.9667040000004</v>
      </c>
      <c r="C51" s="91">
        <f t="shared" si="6"/>
        <v>5835.5942500000001</v>
      </c>
      <c r="D51" s="91">
        <f t="shared" si="6"/>
        <v>5855.6942499999996</v>
      </c>
      <c r="E51" s="91">
        <f t="shared" si="2"/>
        <v>85.727545999999165</v>
      </c>
      <c r="F51" s="91">
        <f>Таблица224627910121314572[[#This Row],[Столбец8]]/Таблица224627910121314572[[#This Row],[Столбец4]]*100-100</f>
        <v>1.4857546047981458</v>
      </c>
      <c r="G51" s="91">
        <f>Таблица224627910121314572[[#This Row],[Столбец4]]/$B$6*100</f>
        <v>6.2283414964297474</v>
      </c>
      <c r="H51" s="92">
        <f t="shared" si="0"/>
        <v>5.6313416006308659</v>
      </c>
      <c r="I51" s="159"/>
      <c r="J51" s="159"/>
    </row>
    <row r="52" spans="1:10" s="4" customFormat="1" ht="21">
      <c r="A52" s="95" t="s">
        <v>37</v>
      </c>
      <c r="B52" s="86">
        <f t="shared" si="6"/>
        <v>749.15507700000001</v>
      </c>
      <c r="C52" s="86">
        <f t="shared" si="6"/>
        <v>1028.0999999999999</v>
      </c>
      <c r="D52" s="86">
        <f t="shared" si="6"/>
        <v>1084.646</v>
      </c>
      <c r="E52" s="86">
        <f t="shared" si="2"/>
        <v>335.49092299999995</v>
      </c>
      <c r="F52" s="86">
        <f>Таблица224627910121314572[[#This Row],[Столбец8]]/Таблица224627910121314572[[#This Row],[Столбец4]]*100-100</f>
        <v>44.782573501801153</v>
      </c>
      <c r="G52" s="86">
        <f>Таблица224627910121314572[[#This Row],[Столбец4]]/$B$6*100</f>
        <v>0.80866907777915709</v>
      </c>
      <c r="H52" s="87">
        <f t="shared" si="0"/>
        <v>1.0430893214340666</v>
      </c>
      <c r="I52" s="159"/>
      <c r="J52" s="159"/>
    </row>
    <row r="53" spans="1:10" s="4" customFormat="1" ht="21">
      <c r="A53" s="95" t="s">
        <v>35</v>
      </c>
      <c r="B53" s="86">
        <f t="shared" si="6"/>
        <v>1513.4999559999999</v>
      </c>
      <c r="C53" s="86">
        <f t="shared" si="6"/>
        <v>1524.1</v>
      </c>
      <c r="D53" s="86">
        <f t="shared" si="6"/>
        <v>1564.4999999999998</v>
      </c>
      <c r="E53" s="86">
        <f t="shared" si="2"/>
        <v>51.000043999999889</v>
      </c>
      <c r="F53" s="86">
        <f>Таблица224627910121314572[[#This Row],[Столбец8]]/Таблица224627910121314572[[#This Row],[Столбец4]]*100-100</f>
        <v>3.3696759486393972</v>
      </c>
      <c r="G53" s="86">
        <f>Таблица224627910121314572[[#This Row],[Столбец4]]/$B$6*100</f>
        <v>1.6337346581678638</v>
      </c>
      <c r="H53" s="87">
        <f t="shared" si="0"/>
        <v>1.504558393599015</v>
      </c>
      <c r="I53" s="159"/>
      <c r="J53" s="159"/>
    </row>
    <row r="54" spans="1:10" s="4" customFormat="1" ht="39.75" customHeight="1">
      <c r="A54" s="93" t="s">
        <v>40</v>
      </c>
      <c r="B54" s="81">
        <f>SUM(B55,B59,B60)</f>
        <v>5597.0678219999991</v>
      </c>
      <c r="C54" s="81">
        <f>SUM(C55,C59,C60)</f>
        <v>5688.9000000000005</v>
      </c>
      <c r="D54" s="81">
        <f>SUM(D55,D59,D60)</f>
        <v>5741.2</v>
      </c>
      <c r="E54" s="81">
        <f t="shared" si="2"/>
        <v>144.13217800000075</v>
      </c>
      <c r="F54" s="81">
        <f>Таблица224627910121314572[[#This Row],[Столбец8]]/Таблица224627910121314572[[#This Row],[Столбец4]]*100-100</f>
        <v>2.5751372429948134</v>
      </c>
      <c r="G54" s="81">
        <f>Таблица224627910121314572[[#This Row],[Столбец4]]/$B$6*100</f>
        <v>6.0417072684193194</v>
      </c>
      <c r="H54" s="82">
        <f t="shared" si="0"/>
        <v>5.5212340360055396</v>
      </c>
      <c r="I54" s="159"/>
      <c r="J54" s="159"/>
    </row>
    <row r="55" spans="1:10" s="4" customFormat="1" ht="21">
      <c r="A55" s="95" t="s">
        <v>28</v>
      </c>
      <c r="B55" s="94">
        <f>B56+B57+B58</f>
        <v>4260.8466479999997</v>
      </c>
      <c r="C55" s="94">
        <f t="shared" ref="C55:D55" si="7">C56+C57+C58</f>
        <v>4287.3</v>
      </c>
      <c r="D55" s="94">
        <f t="shared" si="7"/>
        <v>4295.8329999999996</v>
      </c>
      <c r="E55" s="86">
        <f t="shared" si="2"/>
        <v>34.986351999999897</v>
      </c>
      <c r="F55" s="86">
        <f>Таблица224627910121314572[[#This Row],[Столбец8]]/Таблица224627910121314572[[#This Row],[Столбец4]]*100-100</f>
        <v>0.8211126776041624</v>
      </c>
      <c r="G55" s="86">
        <f>Таблица224627910121314572[[#This Row],[Столбец4]]/$B$6*100</f>
        <v>4.59933468407446</v>
      </c>
      <c r="H55" s="87">
        <f t="shared" si="0"/>
        <v>4.1312442298815197</v>
      </c>
      <c r="I55" s="159"/>
      <c r="J55" s="159"/>
    </row>
    <row r="56" spans="1:10" s="4" customFormat="1" ht="21">
      <c r="A56" s="90" t="s">
        <v>29</v>
      </c>
      <c r="B56" s="94">
        <v>2927.4285989999998</v>
      </c>
      <c r="C56" s="91">
        <v>2942.4</v>
      </c>
      <c r="D56" s="91">
        <v>2942.4</v>
      </c>
      <c r="E56" s="91">
        <f t="shared" si="2"/>
        <v>14.971401000000242</v>
      </c>
      <c r="F56" s="91">
        <f>Таблица224627910121314572[[#This Row],[Столбец8]]/Таблица224627910121314572[[#This Row],[Столбец4]]*100-100</f>
        <v>0.51141814372908811</v>
      </c>
      <c r="G56" s="91">
        <f>Таблица224627910121314572[[#This Row],[Столбец4]]/$B$6*100</f>
        <v>3.1599879091757925</v>
      </c>
      <c r="H56" s="92">
        <f t="shared" si="0"/>
        <v>2.829666102477304</v>
      </c>
      <c r="I56" s="159"/>
      <c r="J56" s="159"/>
    </row>
    <row r="57" spans="1:10" s="4" customFormat="1" ht="21">
      <c r="A57" s="90" t="s">
        <v>30</v>
      </c>
      <c r="B57" s="94">
        <v>325.63299999999998</v>
      </c>
      <c r="C57" s="91">
        <f>317.1</f>
        <v>317.10000000000002</v>
      </c>
      <c r="D57" s="94">
        <v>325.63299999999998</v>
      </c>
      <c r="E57" s="91">
        <f t="shared" si="2"/>
        <v>0</v>
      </c>
      <c r="F57" s="91">
        <f>Таблица224627910121314572[[#This Row],[Столбец8]]/Таблица224627910121314572[[#This Row],[Столбец4]]*100-100</f>
        <v>0</v>
      </c>
      <c r="G57" s="91">
        <f>Таблица224627910121314572[[#This Row],[Столбец4]]/$B$6*100</f>
        <v>0.35150177298265878</v>
      </c>
      <c r="H57" s="92">
        <f t="shared" si="0"/>
        <v>0.31315683182028003</v>
      </c>
      <c r="I57" s="159"/>
      <c r="J57" s="159"/>
    </row>
    <row r="58" spans="1:10" s="4" customFormat="1" ht="21">
      <c r="A58" s="90" t="s">
        <v>31</v>
      </c>
      <c r="B58" s="88">
        <f>1006.885049+0.9</f>
        <v>1007.785049</v>
      </c>
      <c r="C58" s="91">
        <f>943.8+64+20</f>
        <v>1027.8</v>
      </c>
      <c r="D58" s="91">
        <f>1007.8+20</f>
        <v>1027.8</v>
      </c>
      <c r="E58" s="91">
        <f t="shared" si="2"/>
        <v>20.014950999999996</v>
      </c>
      <c r="F58" s="91">
        <f>Таблица224627910121314572[[#This Row],[Столбец8]]/Таблица224627910121314572[[#This Row],[Столбец4]]*100-100</f>
        <v>1.9860337300955564</v>
      </c>
      <c r="G58" s="91">
        <f>Таблица224627910121314572[[#This Row],[Столбец4]]/$B$6*100</f>
        <v>1.0878450019160086</v>
      </c>
      <c r="H58" s="92">
        <f t="shared" si="0"/>
        <v>0.98842129558393588</v>
      </c>
      <c r="I58" s="159"/>
      <c r="J58" s="159"/>
    </row>
    <row r="59" spans="1:10" s="4" customFormat="1" ht="21">
      <c r="A59" s="95" t="s">
        <v>37</v>
      </c>
      <c r="B59" s="83">
        <f>230.667877+88.3223</f>
        <v>318.99017700000002</v>
      </c>
      <c r="C59" s="91">
        <v>383.6</v>
      </c>
      <c r="D59" s="91">
        <f>144.477+252.39</f>
        <v>396.86699999999996</v>
      </c>
      <c r="E59" s="91">
        <f t="shared" si="2"/>
        <v>77.876822999999945</v>
      </c>
      <c r="F59" s="86">
        <f>Таблица224627910121314572[[#This Row],[Столбец8]]/Таблица224627910121314572[[#This Row],[Столбец4]]*100-100</f>
        <v>24.413548947621649</v>
      </c>
      <c r="G59" s="86">
        <f>Таблица224627910121314572[[#This Row],[Столбец4]]/$B$6*100</f>
        <v>0.34433123417943556</v>
      </c>
      <c r="H59" s="87">
        <f t="shared" si="0"/>
        <v>0.38166160178488995</v>
      </c>
      <c r="I59" s="159"/>
      <c r="J59" s="159"/>
    </row>
    <row r="60" spans="1:10" s="4" customFormat="1" ht="21">
      <c r="A60" s="95" t="s">
        <v>35</v>
      </c>
      <c r="B60" s="94">
        <v>1017.230997</v>
      </c>
      <c r="C60" s="86">
        <v>1018</v>
      </c>
      <c r="D60" s="86">
        <v>1048.5</v>
      </c>
      <c r="E60" s="86">
        <f t="shared" si="2"/>
        <v>31.269002999999998</v>
      </c>
      <c r="F60" s="86">
        <f>Таблица224627910121314572[[#This Row],[Столбец8]]/Таблица224627910121314572[[#This Row],[Столбец4]]*100-100</f>
        <v>3.0739333634364243</v>
      </c>
      <c r="G60" s="86">
        <f>Таблица224627910121314572[[#This Row],[Столбец4]]/$B$6*100</f>
        <v>1.0980413501654245</v>
      </c>
      <c r="H60" s="87">
        <f t="shared" si="0"/>
        <v>1.0083282043391291</v>
      </c>
      <c r="I60" s="159"/>
      <c r="J60" s="159"/>
    </row>
    <row r="61" spans="1:10" s="4" customFormat="1" ht="40.5" customHeight="1">
      <c r="A61" s="93" t="s">
        <v>41</v>
      </c>
      <c r="B61" s="81">
        <f>SUM(B62,B66,B67)</f>
        <v>2350.3691039999994</v>
      </c>
      <c r="C61" s="81">
        <f>SUM(C62,C66,C67)</f>
        <v>2476.4</v>
      </c>
      <c r="D61" s="81">
        <f>SUM(D62,D66,D67)</f>
        <v>2486.6089999999999</v>
      </c>
      <c r="E61" s="81">
        <f t="shared" si="2"/>
        <v>136.2398960000005</v>
      </c>
      <c r="F61" s="81">
        <f>Таблица224627910121314572[[#This Row],[Столбец8]]/Таблица224627910121314572[[#This Row],[Столбец4]]*100-100</f>
        <v>5.7965319476051462</v>
      </c>
      <c r="G61" s="81">
        <f>Таблица224627910121314572[[#This Row],[Столбец4]]/$B$6*100</f>
        <v>2.5370859440525466</v>
      </c>
      <c r="H61" s="82">
        <f t="shared" si="0"/>
        <v>2.391338090475458</v>
      </c>
      <c r="I61" s="159"/>
      <c r="J61" s="159"/>
    </row>
    <row r="62" spans="1:10" s="5" customFormat="1" ht="21">
      <c r="A62" s="95" t="s">
        <v>28</v>
      </c>
      <c r="B62" s="94">
        <f>B63+B64+B65</f>
        <v>1788.1457369999998</v>
      </c>
      <c r="C62" s="86">
        <f>SUM(C63:C65)</f>
        <v>1808.2</v>
      </c>
      <c r="D62" s="86">
        <f>SUM(D63:D65)</f>
        <v>1805.057</v>
      </c>
      <c r="E62" s="86">
        <f t="shared" si="2"/>
        <v>16.91126300000019</v>
      </c>
      <c r="F62" s="86">
        <f>Таблица224627910121314572[[#This Row],[Столбец8]]/Таблица224627910121314572[[#This Row],[Столбец4]]*100-100</f>
        <v>0.94574299231182124</v>
      </c>
      <c r="G62" s="86">
        <f>Таблица224627910121314572[[#This Row],[Столбец4]]/$B$6*100</f>
        <v>1.9301987111468526</v>
      </c>
      <c r="H62" s="87">
        <f t="shared" si="0"/>
        <v>1.7358987921218649</v>
      </c>
      <c r="I62" s="159"/>
      <c r="J62" s="159"/>
    </row>
    <row r="63" spans="1:10" s="4" customFormat="1" ht="21">
      <c r="A63" s="90" t="s">
        <v>29</v>
      </c>
      <c r="B63" s="94">
        <v>1282.9782889999999</v>
      </c>
      <c r="C63" s="86">
        <v>1283</v>
      </c>
      <c r="D63" s="86">
        <v>1283</v>
      </c>
      <c r="E63" s="86">
        <f t="shared" si="2"/>
        <v>2.1711000000095737E-2</v>
      </c>
      <c r="F63" s="86">
        <f>Таблица224627910121314572[[#This Row],[Столбец8]]/Таблица224627910121314572[[#This Row],[Столбец4]]*100-100</f>
        <v>1.6922344038334813E-3</v>
      </c>
      <c r="G63" s="86">
        <f>Таблица224627910121314572[[#This Row],[Столбец4]]/$B$6*100</f>
        <v>1.3849000048574867</v>
      </c>
      <c r="H63" s="87">
        <f t="shared" si="0"/>
        <v>1.2338436682566547</v>
      </c>
      <c r="I63" s="159"/>
      <c r="J63" s="159"/>
    </row>
    <row r="64" spans="1:10" s="4" customFormat="1" ht="21">
      <c r="A64" s="90" t="s">
        <v>30</v>
      </c>
      <c r="B64" s="94">
        <v>41.057000000000002</v>
      </c>
      <c r="C64" s="86">
        <v>43.4</v>
      </c>
      <c r="D64" s="94">
        <v>41.057000000000002</v>
      </c>
      <c r="E64" s="86">
        <f t="shared" si="2"/>
        <v>0</v>
      </c>
      <c r="F64" s="86">
        <f>Таблица224627910121314572[[#This Row],[Столбец8]]/Таблица224627910121314572[[#This Row],[Столбец4]]*100-100</f>
        <v>0</v>
      </c>
      <c r="G64" s="86">
        <f>Таблица224627910121314572[[#This Row],[Столбец4]]/$B$6*100</f>
        <v>4.4318629541075447E-2</v>
      </c>
      <c r="H64" s="87">
        <f t="shared" si="0"/>
        <v>3.9483959070626254E-2</v>
      </c>
      <c r="I64" s="159"/>
      <c r="J64" s="159"/>
    </row>
    <row r="65" spans="1:10" s="4" customFormat="1" ht="21">
      <c r="A65" s="90" t="s">
        <v>31</v>
      </c>
      <c r="B65" s="88">
        <v>464.11044800000002</v>
      </c>
      <c r="C65" s="91">
        <f>418.5+63.3</f>
        <v>481.8</v>
      </c>
      <c r="D65" s="91">
        <v>481</v>
      </c>
      <c r="E65" s="91">
        <f t="shared" si="2"/>
        <v>16.889551999999981</v>
      </c>
      <c r="F65" s="91">
        <f>Таблица224627910121314572[[#This Row],[Столбец8]]/Таблица224627910121314572[[#This Row],[Столбец4]]*100-100</f>
        <v>3.6391234183118257</v>
      </c>
      <c r="G65" s="91">
        <f>Таблица224627910121314572[[#This Row],[Столбец4]]/$B$6*100</f>
        <v>0.50098007674829048</v>
      </c>
      <c r="H65" s="92">
        <f t="shared" si="0"/>
        <v>0.46257116479458377</v>
      </c>
      <c r="I65" s="159"/>
      <c r="J65" s="159"/>
    </row>
    <row r="66" spans="1:10" s="4" customFormat="1" ht="21">
      <c r="A66" s="95" t="s">
        <v>37</v>
      </c>
      <c r="B66" s="94">
        <f>18.0158+263.82587</f>
        <v>281.84167000000002</v>
      </c>
      <c r="C66" s="86">
        <v>379.1</v>
      </c>
      <c r="D66" s="86">
        <f>308.815+83.637</f>
        <v>392.452</v>
      </c>
      <c r="E66" s="86">
        <f t="shared" si="2"/>
        <v>110.61032999999998</v>
      </c>
      <c r="F66" s="86">
        <f>Таблица224627910121314572[[#This Row],[Столбец8]]/Таблица224627910121314572[[#This Row],[Столбец4]]*100-100</f>
        <v>39.245555847011559</v>
      </c>
      <c r="G66" s="86">
        <f>Таблица224627910121314572[[#This Row],[Столбец4]]/$B$6*100</f>
        <v>0.30423159417317486</v>
      </c>
      <c r="H66" s="87">
        <f t="shared" si="0"/>
        <v>0.37741575627019541</v>
      </c>
      <c r="I66" s="159"/>
      <c r="J66" s="159"/>
    </row>
    <row r="67" spans="1:10" s="4" customFormat="1" ht="21">
      <c r="A67" s="95" t="s">
        <v>35</v>
      </c>
      <c r="B67" s="94">
        <v>280.38169699999997</v>
      </c>
      <c r="C67" s="86">
        <v>289.10000000000002</v>
      </c>
      <c r="D67" s="86">
        <v>289.10000000000002</v>
      </c>
      <c r="E67" s="86">
        <f t="shared" si="2"/>
        <v>8.7183030000000485</v>
      </c>
      <c r="F67" s="86">
        <f>Таблица224627910121314572[[#This Row],[Столбец8]]/Таблица224627910121314572[[#This Row],[Столбец4]]*100-100</f>
        <v>3.1094408419962036</v>
      </c>
      <c r="G67" s="86">
        <f>Таблица224627910121314572[[#This Row],[Столбец4]]/$B$6*100</f>
        <v>0.30265563873251977</v>
      </c>
      <c r="H67" s="87">
        <f t="shared" si="0"/>
        <v>0.27802354208339747</v>
      </c>
      <c r="I67" s="159"/>
      <c r="J67" s="159"/>
    </row>
    <row r="68" spans="1:10" s="4" customFormat="1" ht="21">
      <c r="A68" s="93" t="s">
        <v>42</v>
      </c>
      <c r="B68" s="81">
        <f>SUM(B69,B73,B74)</f>
        <v>4174.3025230000003</v>
      </c>
      <c r="C68" s="81">
        <f>SUM(C69,C73,C74)</f>
        <v>4170.5942500000001</v>
      </c>
      <c r="D68" s="81">
        <f>SUM(D69,D73,D74)</f>
        <v>4198.5352499999999</v>
      </c>
      <c r="E68" s="81">
        <f t="shared" si="2"/>
        <v>24.232726999999613</v>
      </c>
      <c r="F68" s="81">
        <f>Таблица224627910121314572[[#This Row],[Столбец8]]/Таблица224627910121314572[[#This Row],[Столбец4]]*100-100</f>
        <v>0.58052158094628226</v>
      </c>
      <c r="G68" s="81">
        <f>Таблица224627910121314572[[#This Row],[Столбец4]]/$B$6*100</f>
        <v>4.5059153642305478</v>
      </c>
      <c r="H68" s="82">
        <f t="shared" si="0"/>
        <v>4.0376743056624091</v>
      </c>
      <c r="I68" s="159"/>
      <c r="J68" s="159"/>
    </row>
    <row r="69" spans="1:10" s="4" customFormat="1" ht="21">
      <c r="A69" s="95" t="s">
        <v>28</v>
      </c>
      <c r="B69" s="94">
        <f>B70+B71+B72</f>
        <v>3997.7433059999998</v>
      </c>
      <c r="C69" s="94">
        <f t="shared" ref="C69:D69" si="8">C70+C71+C72</f>
        <v>3993.69425</v>
      </c>
      <c r="D69" s="94">
        <f t="shared" si="8"/>
        <v>4011.7352500000002</v>
      </c>
      <c r="E69" s="86">
        <f t="shared" si="2"/>
        <v>13.991944000000331</v>
      </c>
      <c r="F69" s="86">
        <f>Таблица224627910121314572[[#This Row],[Столбец8]]/Таблица224627910121314572[[#This Row],[Столбец4]]*100-100</f>
        <v>0.34999605850131843</v>
      </c>
      <c r="G69" s="86">
        <f>Таблица224627910121314572[[#This Row],[Столбец4]]/$B$6*100</f>
        <v>4.3153300187283099</v>
      </c>
      <c r="H69" s="87">
        <f t="shared" si="0"/>
        <v>3.8580312836590247</v>
      </c>
      <c r="I69" s="159"/>
      <c r="J69" s="159"/>
    </row>
    <row r="70" spans="1:10" s="4" customFormat="1" ht="21">
      <c r="A70" s="90" t="s">
        <v>29</v>
      </c>
      <c r="B70" s="94">
        <v>76.008055999999996</v>
      </c>
      <c r="C70" s="86">
        <v>76</v>
      </c>
      <c r="D70" s="86">
        <v>76</v>
      </c>
      <c r="E70" s="86">
        <f t="shared" si="2"/>
        <v>-8.0559999999962884E-3</v>
      </c>
      <c r="F70" s="86">
        <f>Таблица224627910121314572[[#This Row],[Столбец8]]/Таблица224627910121314572[[#This Row],[Столбец4]]*100-100</f>
        <v>-1.0598876519082978E-2</v>
      </c>
      <c r="G70" s="86">
        <f>Таблица224627910121314572[[#This Row],[Столбец4]]/$B$6*100</f>
        <v>8.2046249750379149E-2</v>
      </c>
      <c r="H70" s="87">
        <f t="shared" si="0"/>
        <v>7.308816741037083E-2</v>
      </c>
      <c r="I70" s="159"/>
      <c r="J70" s="159"/>
    </row>
    <row r="71" spans="1:10" s="4" customFormat="1" ht="21">
      <c r="A71" s="90" t="s">
        <v>30</v>
      </c>
      <c r="B71" s="94">
        <v>24.041</v>
      </c>
      <c r="C71" s="86">
        <v>20</v>
      </c>
      <c r="D71" s="94">
        <v>24.041</v>
      </c>
      <c r="E71" s="86">
        <f t="shared" si="2"/>
        <v>0</v>
      </c>
      <c r="F71" s="86">
        <f>Таблица224627910121314572[[#This Row],[Столбец8]]/Таблица224627910121314572[[#This Row],[Столбец4]]*100-100</f>
        <v>0</v>
      </c>
      <c r="G71" s="86">
        <f>Таблица224627910121314572[[#This Row],[Столбец4]]/$B$6*100</f>
        <v>2.5950853028642983E-2</v>
      </c>
      <c r="H71" s="87">
        <f t="shared" si="0"/>
        <v>2.3119903062009541E-2</v>
      </c>
      <c r="I71" s="159"/>
      <c r="J71" s="159"/>
    </row>
    <row r="72" spans="1:10" s="4" customFormat="1" ht="21">
      <c r="A72" s="90" t="s">
        <v>31</v>
      </c>
      <c r="B72" s="88">
        <f>3906.59425+0.1-9</f>
        <v>3897.69425</v>
      </c>
      <c r="C72" s="88">
        <f>3906.59425+0.1-9</f>
        <v>3897.69425</v>
      </c>
      <c r="D72" s="88">
        <f>3906.59425+0.1-9+14</f>
        <v>3911.69425</v>
      </c>
      <c r="E72" s="91">
        <f t="shared" si="2"/>
        <v>14</v>
      </c>
      <c r="F72" s="91">
        <f>Таблица224627910121314572[[#This Row],[Столбец8]]/Таблица224627910121314572[[#This Row],[Столбец4]]*100-100</f>
        <v>0.35918671660814994</v>
      </c>
      <c r="G72" s="91">
        <f>Таблица224627910121314572[[#This Row],[Столбец4]]/$B$6*100</f>
        <v>4.207332915949288</v>
      </c>
      <c r="H72" s="92">
        <f t="shared" si="0"/>
        <v>3.7618232131866445</v>
      </c>
      <c r="I72" s="159"/>
      <c r="J72" s="159"/>
    </row>
    <row r="73" spans="1:10" s="4" customFormat="1" ht="21" hidden="1">
      <c r="A73" s="95" t="s">
        <v>37</v>
      </c>
      <c r="B73" s="94"/>
      <c r="C73" s="86"/>
      <c r="D73" s="86"/>
      <c r="E73" s="86">
        <f t="shared" si="2"/>
        <v>0</v>
      </c>
      <c r="F73" s="86" t="e">
        <f>Таблица224627910121314572[[#This Row],[Столбец8]]/Таблица224627910121314572[[#This Row],[Столбец4]]*100-100</f>
        <v>#DIV/0!</v>
      </c>
      <c r="G73" s="86">
        <f>Таблица224627910121314572[[#This Row],[Столбец4]]/$B$6*100</f>
        <v>0</v>
      </c>
      <c r="H73" s="87">
        <f t="shared" si="0"/>
        <v>0</v>
      </c>
      <c r="I73" s="159"/>
      <c r="J73" s="159"/>
    </row>
    <row r="74" spans="1:10" s="4" customFormat="1" ht="21">
      <c r="A74" s="95" t="s">
        <v>35</v>
      </c>
      <c r="B74" s="94">
        <v>176.55921699999999</v>
      </c>
      <c r="C74" s="86">
        <v>176.9</v>
      </c>
      <c r="D74" s="86">
        <v>186.8</v>
      </c>
      <c r="E74" s="86">
        <f t="shared" si="2"/>
        <v>10.240783000000022</v>
      </c>
      <c r="F74" s="86">
        <f>Таблица224627910121314572[[#This Row],[Столбец8]]/Таблица224627910121314572[[#This Row],[Столбец4]]*100-100</f>
        <v>5.8001973354922569</v>
      </c>
      <c r="G74" s="86">
        <f>Таблица224627910121314572[[#This Row],[Столбец4]]/$B$6*100</f>
        <v>0.19058534550223713</v>
      </c>
      <c r="H74" s="87">
        <f t="shared" si="0"/>
        <v>0.17964302200338514</v>
      </c>
      <c r="I74" s="159"/>
      <c r="J74" s="159"/>
    </row>
    <row r="75" spans="1:10" s="4" customFormat="1" ht="36" customHeight="1">
      <c r="A75" s="93" t="s">
        <v>43</v>
      </c>
      <c r="B75" s="81">
        <f>SUM(B76,B80,B81)</f>
        <v>1042.4694850000001</v>
      </c>
      <c r="C75" s="81">
        <f>SUM(C76,C80,C81)</f>
        <v>1188.1769999999999</v>
      </c>
      <c r="D75" s="81">
        <f>SUM(D76,D80,D81)</f>
        <v>1227.0039999999999</v>
      </c>
      <c r="E75" s="81">
        <f t="shared" si="2"/>
        <v>184.53451499999983</v>
      </c>
      <c r="F75" s="81">
        <f>Таблица224627910121314572[[#This Row],[Столбец8]]/Таблица224627910121314572[[#This Row],[Столбец4]]*100-100</f>
        <v>17.701670663290429</v>
      </c>
      <c r="G75" s="81">
        <f>Таблица224627910121314572[[#This Row],[Столбец4]]/$B$6*100</f>
        <v>1.1252848214333904</v>
      </c>
      <c r="H75" s="82">
        <f t="shared" si="0"/>
        <v>1.1799930758578241</v>
      </c>
      <c r="I75" s="159"/>
      <c r="J75" s="159"/>
    </row>
    <row r="76" spans="1:10" s="4" customFormat="1" ht="21">
      <c r="A76" s="95" t="s">
        <v>28</v>
      </c>
      <c r="B76" s="94">
        <f>B77+B78+B79</f>
        <v>854.81821000000002</v>
      </c>
      <c r="C76" s="94">
        <f t="shared" ref="C76:D76" si="9">C77+C78+C79</f>
        <v>882.67700000000002</v>
      </c>
      <c r="D76" s="94">
        <f t="shared" si="9"/>
        <v>891.577</v>
      </c>
      <c r="E76" s="86">
        <f t="shared" si="2"/>
        <v>36.758789999999976</v>
      </c>
      <c r="F76" s="86">
        <f>Таблица224627910121314572[[#This Row],[Столбец8]]/Таблица224627910121314572[[#This Row],[Столбец4]]*100-100</f>
        <v>4.3001879896779514</v>
      </c>
      <c r="G76" s="86">
        <f>Таблица224627910121314572[[#This Row],[Столбец4]]/$B$6*100</f>
        <v>0.92272624823916105</v>
      </c>
      <c r="H76" s="87">
        <f t="shared" ref="H76:H135" si="10">D76/$D$6*100</f>
        <v>0.85741748730573941</v>
      </c>
      <c r="I76" s="159"/>
      <c r="J76" s="159"/>
    </row>
    <row r="77" spans="1:10" s="4" customFormat="1" ht="21">
      <c r="A77" s="90" t="s">
        <v>29</v>
      </c>
      <c r="B77" s="94">
        <v>197.264253</v>
      </c>
      <c r="C77" s="86">
        <v>197.2</v>
      </c>
      <c r="D77" s="86">
        <v>199.2</v>
      </c>
      <c r="E77" s="86">
        <f t="shared" ref="E77:E136" si="11">D77-B77</f>
        <v>1.9357469999999921</v>
      </c>
      <c r="F77" s="86">
        <f>Таблица224627910121314572[[#This Row],[Столбец8]]/Таблица224627910121314572[[#This Row],[Столбец4]]*100-100</f>
        <v>0.98129639332069019</v>
      </c>
      <c r="G77" s="86">
        <f>Таблица224627910121314572[[#This Row],[Столбец4]]/$B$6*100</f>
        <v>0.21293522055688385</v>
      </c>
      <c r="H77" s="87">
        <f t="shared" si="10"/>
        <v>0.19156793352823509</v>
      </c>
      <c r="I77" s="159"/>
      <c r="J77" s="159"/>
    </row>
    <row r="78" spans="1:10" s="4" customFormat="1" ht="21">
      <c r="A78" s="90" t="s">
        <v>30</v>
      </c>
      <c r="B78" s="94">
        <v>257.17700000000002</v>
      </c>
      <c r="C78" s="94">
        <v>257.17700000000002</v>
      </c>
      <c r="D78" s="94">
        <v>257.17700000000002</v>
      </c>
      <c r="E78" s="86">
        <f t="shared" si="11"/>
        <v>0</v>
      </c>
      <c r="F78" s="86">
        <f>Таблица224627910121314572[[#This Row],[Столбец8]]/Таблица224627910121314572[[#This Row],[Столбец4]]*100-100</f>
        <v>0</v>
      </c>
      <c r="G78" s="86">
        <f>Таблица224627910121314572[[#This Row],[Столбец4]]/$B$6*100</f>
        <v>0.27760752586611692</v>
      </c>
      <c r="H78" s="87">
        <f t="shared" si="10"/>
        <v>0.24732362671180183</v>
      </c>
      <c r="I78" s="159"/>
      <c r="J78" s="159"/>
    </row>
    <row r="79" spans="1:10" s="4" customFormat="1" ht="21">
      <c r="A79" s="90" t="s">
        <v>31</v>
      </c>
      <c r="B79" s="88">
        <f>400.576957-0.2</f>
        <v>400.376957</v>
      </c>
      <c r="C79" s="91">
        <f>410.7+17.6</f>
        <v>428.3</v>
      </c>
      <c r="D79" s="91">
        <f>437.5+18.7-55.8+34.8</f>
        <v>435.2</v>
      </c>
      <c r="E79" s="91">
        <f t="shared" si="11"/>
        <v>34.823042999999984</v>
      </c>
      <c r="F79" s="91">
        <f>Таблица224627910121314572[[#This Row],[Столбец8]]/Таблица224627910121314572[[#This Row],[Столбец4]]*100-100</f>
        <v>8.6975642307007206</v>
      </c>
      <c r="G79" s="91">
        <f>Таблица224627910121314572[[#This Row],[Столбец4]]/$B$6*100</f>
        <v>0.43218350181616028</v>
      </c>
      <c r="H79" s="92">
        <f t="shared" si="10"/>
        <v>0.41852592706570241</v>
      </c>
      <c r="I79" s="159"/>
      <c r="J79" s="159"/>
    </row>
    <row r="80" spans="1:10" s="5" customFormat="1" ht="21">
      <c r="A80" s="95" t="s">
        <v>37</v>
      </c>
      <c r="B80" s="94">
        <v>148.32323</v>
      </c>
      <c r="C80" s="86">
        <v>265.39999999999998</v>
      </c>
      <c r="D80" s="86">
        <f>295.327</f>
        <v>295.327</v>
      </c>
      <c r="E80" s="86">
        <f t="shared" si="11"/>
        <v>147.00377</v>
      </c>
      <c r="F80" s="86">
        <f>Таблица224627910121314572[[#This Row],[Столбец8]]/Таблица224627910121314572[[#This Row],[Столбец4]]*100-100</f>
        <v>99.110415812816399</v>
      </c>
      <c r="G80" s="86">
        <f>Таблица224627910121314572[[#This Row],[Столбец4]]/$B$6*100</f>
        <v>0.16010624942654669</v>
      </c>
      <c r="H80" s="87">
        <f t="shared" si="10"/>
        <v>0.28401196337898138</v>
      </c>
      <c r="I80" s="159"/>
      <c r="J80" s="159"/>
    </row>
    <row r="81" spans="1:10" s="4" customFormat="1" ht="21">
      <c r="A81" s="95" t="s">
        <v>35</v>
      </c>
      <c r="B81" s="94">
        <v>39.328045000000003</v>
      </c>
      <c r="C81" s="86">
        <v>40.1</v>
      </c>
      <c r="D81" s="86">
        <v>40.1</v>
      </c>
      <c r="E81" s="86">
        <f t="shared" si="11"/>
        <v>0.77195499999999839</v>
      </c>
      <c r="F81" s="86">
        <f>Таблица224627910121314572[[#This Row],[Столбец8]]/Таблица224627910121314572[[#This Row],[Столбец4]]*100-100</f>
        <v>1.9628613626738769</v>
      </c>
      <c r="G81" s="86">
        <f>Таблица224627910121314572[[#This Row],[Столбец4]]/$B$6*100</f>
        <v>4.2452323767682605E-2</v>
      </c>
      <c r="H81" s="87">
        <f t="shared" si="10"/>
        <v>3.8563625173103556E-2</v>
      </c>
      <c r="I81" s="159"/>
      <c r="J81" s="159"/>
    </row>
    <row r="82" spans="1:10" s="4" customFormat="1" ht="38.25" customHeight="1">
      <c r="A82" s="93" t="s">
        <v>44</v>
      </c>
      <c r="B82" s="81">
        <f>SUM(B83,B87,B88)</f>
        <v>8381.6032360000008</v>
      </c>
      <c r="C82" s="81">
        <f>SUM(C83,C87,C88)</f>
        <v>9553.3415690000002</v>
      </c>
      <c r="D82" s="81">
        <f>SUM(D83,D87,D88)</f>
        <v>10243.247831000001</v>
      </c>
      <c r="E82" s="81">
        <f t="shared" si="11"/>
        <v>1861.6445949999998</v>
      </c>
      <c r="F82" s="81">
        <f>Таблица224627910121314572[[#This Row],[Столбец8]]/Таблица224627910121314572[[#This Row],[Столбец4]]*100-100</f>
        <v>22.211079939981062</v>
      </c>
      <c r="G82" s="81">
        <f>Таблица224627910121314572[[#This Row],[Столбец4]]/$B$6*100</f>
        <v>9.0474503440719776</v>
      </c>
      <c r="H82" s="82">
        <f t="shared" si="10"/>
        <v>9.8507922670795516</v>
      </c>
      <c r="I82" s="159"/>
      <c r="J82" s="159"/>
    </row>
    <row r="83" spans="1:10" s="4" customFormat="1" ht="21">
      <c r="A83" s="95" t="s">
        <v>28</v>
      </c>
      <c r="B83" s="86">
        <f t="shared" ref="B83:D84" si="12">B90+B97+B104+B111+B117+B124</f>
        <v>4223.3639850000009</v>
      </c>
      <c r="C83" s="86">
        <f t="shared" si="12"/>
        <v>4255.7794190000004</v>
      </c>
      <c r="D83" s="86">
        <f t="shared" si="12"/>
        <v>4774.3846810000005</v>
      </c>
      <c r="E83" s="86">
        <f t="shared" si="11"/>
        <v>551.02069599999959</v>
      </c>
      <c r="F83" s="86">
        <f>Таблица224627910121314572[[#This Row],[Столбец8]]/Таблица224627910121314572[[#This Row],[Столбец4]]*100-100</f>
        <v>13.046962041563177</v>
      </c>
      <c r="G83" s="86">
        <f>Таблица224627910121314572[[#This Row],[Столбец4]]/$B$6*100</f>
        <v>4.558874342215339</v>
      </c>
      <c r="H83" s="87">
        <f t="shared" si="10"/>
        <v>4.5914608795583938</v>
      </c>
      <c r="I83" s="159"/>
      <c r="J83" s="159"/>
    </row>
    <row r="84" spans="1:10" s="4" customFormat="1" ht="21">
      <c r="A84" s="90" t="s">
        <v>29</v>
      </c>
      <c r="B84" s="86">
        <f t="shared" si="12"/>
        <v>189.09364300000001</v>
      </c>
      <c r="C84" s="86">
        <f t="shared" si="12"/>
        <v>195.64558500000001</v>
      </c>
      <c r="D84" s="86">
        <f t="shared" si="12"/>
        <v>193.381135</v>
      </c>
      <c r="E84" s="86">
        <f t="shared" si="11"/>
        <v>4.2874919999999861</v>
      </c>
      <c r="F84" s="86">
        <f>Таблица224627910121314572[[#This Row],[Столбец8]]/Таблица224627910121314572[[#This Row],[Столбец4]]*100-100</f>
        <v>2.2673908715164828</v>
      </c>
      <c r="G84" s="86">
        <f>Таблица224627910121314572[[#This Row],[Столбец4]]/$B$6*100</f>
        <v>0.20411552506733019</v>
      </c>
      <c r="H84" s="87">
        <f t="shared" si="10"/>
        <v>0.18597201011694109</v>
      </c>
      <c r="I84" s="159"/>
      <c r="J84" s="159"/>
    </row>
    <row r="85" spans="1:10" s="4" customFormat="1" ht="21">
      <c r="A85" s="90" t="s">
        <v>30</v>
      </c>
      <c r="B85" s="86">
        <f>B92+B99+B106+B113+B119</f>
        <v>2754.2490000000003</v>
      </c>
      <c r="C85" s="86">
        <f>C92+C99+C106+C113+C119</f>
        <v>2733.9</v>
      </c>
      <c r="D85" s="86">
        <f>D92+D99+D106+D113+D119</f>
        <v>3254.2490000000003</v>
      </c>
      <c r="E85" s="86">
        <f t="shared" si="11"/>
        <v>500</v>
      </c>
      <c r="F85" s="86">
        <f>Таблица224627910121314572[[#This Row],[Столбец8]]/Таблица224627910121314572[[#This Row],[Столбец4]]*100-100</f>
        <v>18.153768958434767</v>
      </c>
      <c r="G85" s="86">
        <f>Таблица224627910121314572[[#This Row],[Столбец4]]/$B$6*100</f>
        <v>2.9730506635866605</v>
      </c>
      <c r="H85" s="87">
        <f t="shared" si="10"/>
        <v>3.1295670487767353</v>
      </c>
      <c r="I85" s="159"/>
      <c r="J85" s="159"/>
    </row>
    <row r="86" spans="1:10" s="4" customFormat="1" ht="21">
      <c r="A86" s="90" t="s">
        <v>31</v>
      </c>
      <c r="B86" s="91">
        <f>B93+B100+B107+B114+B120+B126+0.1</f>
        <v>1280.1213419999999</v>
      </c>
      <c r="C86" s="91">
        <f>C93+C100+C107+C114+C120+C126</f>
        <v>1326.2338340000003</v>
      </c>
      <c r="D86" s="91">
        <f>D93+D100+D107+D114+D120+D126</f>
        <v>1326.7545460000001</v>
      </c>
      <c r="E86" s="91">
        <f t="shared" si="11"/>
        <v>46.633204000000205</v>
      </c>
      <c r="F86" s="91">
        <f>Таблица224627910121314572[[#This Row],[Столбец8]]/Таблица224627910121314572[[#This Row],[Столбец4]]*100-100</f>
        <v>3.6428737237629889</v>
      </c>
      <c r="G86" s="91">
        <f>Таблица224627910121314572[[#This Row],[Столбец4]]/$B$6*100</f>
        <v>1.3818160977110443</v>
      </c>
      <c r="H86" s="92">
        <f t="shared" si="10"/>
        <v>1.2759218206647178</v>
      </c>
      <c r="I86" s="159"/>
      <c r="J86" s="159"/>
    </row>
    <row r="87" spans="1:10" s="4" customFormat="1" ht="21">
      <c r="A87" s="95" t="s">
        <v>37</v>
      </c>
      <c r="B87" s="86">
        <f>B94+B101+B108+B121</f>
        <v>3995.7302959999997</v>
      </c>
      <c r="C87" s="86">
        <f>C94+C101+C108+C121</f>
        <v>5133.6000000000004</v>
      </c>
      <c r="D87" s="86">
        <f>D94+D101+D108+D121</f>
        <v>5294.2369999999992</v>
      </c>
      <c r="E87" s="86">
        <f t="shared" si="11"/>
        <v>1298.5067039999994</v>
      </c>
      <c r="F87" s="86">
        <f>Таблица224627910121314572[[#This Row],[Столбец8]]/Таблица224627910121314572[[#This Row],[Столбец4]]*100-100</f>
        <v>32.497356122856786</v>
      </c>
      <c r="G87" s="86">
        <f>Таблица224627910121314572[[#This Row],[Столбец4]]/$B$6*100</f>
        <v>4.3131570922004956</v>
      </c>
      <c r="H87" s="87">
        <f t="shared" si="10"/>
        <v>5.091395791660255</v>
      </c>
      <c r="I87" s="159"/>
      <c r="J87" s="159"/>
    </row>
    <row r="88" spans="1:10" s="4" customFormat="1" ht="21">
      <c r="A88" s="95" t="s">
        <v>35</v>
      </c>
      <c r="B88" s="86">
        <f>B95+B102+B109+B115+B122+B127</f>
        <v>162.50895499999999</v>
      </c>
      <c r="C88" s="86">
        <f>C95+C102+C109+C115+C122+C127</f>
        <v>163.96215000000001</v>
      </c>
      <c r="D88" s="86">
        <f>D95+D102+D109+D115+D122+D127</f>
        <v>174.62615000000002</v>
      </c>
      <c r="E88" s="86">
        <f t="shared" si="11"/>
        <v>12.117195000000038</v>
      </c>
      <c r="F88" s="86">
        <f>Таблица224627910121314572[[#This Row],[Столбец8]]/Таблица224627910121314572[[#This Row],[Столбец4]]*100-100</f>
        <v>7.4563244837800227</v>
      </c>
      <c r="G88" s="86">
        <f>Таблица224627910121314572[[#This Row],[Столбец4]]/$B$6*100</f>
        <v>0.1754189096561439</v>
      </c>
      <c r="H88" s="87">
        <f t="shared" si="10"/>
        <v>0.1679355958609017</v>
      </c>
      <c r="I88" s="159"/>
      <c r="J88" s="159"/>
    </row>
    <row r="89" spans="1:10" s="5" customFormat="1" ht="42">
      <c r="A89" s="93" t="s">
        <v>45</v>
      </c>
      <c r="B89" s="81">
        <f>SUM(B90,B94,B95)</f>
        <v>1275.9662990000002</v>
      </c>
      <c r="C89" s="81">
        <f>SUM(C90,C94,C95)</f>
        <v>1397.6014500000001</v>
      </c>
      <c r="D89" s="81">
        <f>SUM(D90,D94,D95)</f>
        <v>1431.827</v>
      </c>
      <c r="E89" s="81">
        <f t="shared" si="11"/>
        <v>155.86070099999984</v>
      </c>
      <c r="F89" s="81">
        <f>Таблица224627910121314572[[#This Row],[Столбец8]]/Таблица224627910121314572[[#This Row],[Столбец4]]*100-100</f>
        <v>12.215111098322183</v>
      </c>
      <c r="G89" s="81">
        <f>Таблица224627910121314572[[#This Row],[Столбец4]]/$B$6*100</f>
        <v>1.3773309718751519</v>
      </c>
      <c r="H89" s="82">
        <f t="shared" si="10"/>
        <v>1.3769685720880136</v>
      </c>
      <c r="I89" s="159"/>
      <c r="J89" s="159"/>
    </row>
    <row r="90" spans="1:10" s="4" customFormat="1" ht="21">
      <c r="A90" s="95" t="s">
        <v>28</v>
      </c>
      <c r="B90" s="94">
        <f>B91+B92+B93</f>
        <v>769.87898900000005</v>
      </c>
      <c r="C90" s="94">
        <f t="shared" ref="C90:D90" si="13">C91+C92+C93</f>
        <v>784.54145000000005</v>
      </c>
      <c r="D90" s="94">
        <f t="shared" si="13"/>
        <v>789.99</v>
      </c>
      <c r="E90" s="86">
        <f t="shared" si="11"/>
        <v>20.111010999999962</v>
      </c>
      <c r="F90" s="86">
        <f>Таблица224627910121314572[[#This Row],[Столбец8]]/Таблица224627910121314572[[#This Row],[Столбец4]]*100-100</f>
        <v>2.6122301410150612</v>
      </c>
      <c r="G90" s="86">
        <f>Таблица224627910121314572[[#This Row],[Столбец4]]/$B$6*100</f>
        <v>0.83103932837150052</v>
      </c>
      <c r="H90" s="87">
        <f t="shared" si="10"/>
        <v>0.75972264963840597</v>
      </c>
      <c r="I90" s="159"/>
      <c r="J90" s="159"/>
    </row>
    <row r="91" spans="1:10" s="4" customFormat="1" ht="21">
      <c r="A91" s="90" t="s">
        <v>29</v>
      </c>
      <c r="B91" s="94">
        <v>29.25845</v>
      </c>
      <c r="C91" s="94">
        <v>29.25845</v>
      </c>
      <c r="D91" s="94">
        <v>30.414000000000001</v>
      </c>
      <c r="E91" s="86">
        <f t="shared" si="11"/>
        <v>1.1555500000000016</v>
      </c>
      <c r="F91" s="86">
        <f>Таблица224627910121314572[[#This Row],[Столбец8]]/Таблица224627910121314572[[#This Row],[Столбец4]]*100-100</f>
        <v>3.9494573362567138</v>
      </c>
      <c r="G91" s="86">
        <f>Таблица224627910121314572[[#This Row],[Столбец4]]/$B$6*100</f>
        <v>3.1582785067006333E-2</v>
      </c>
      <c r="H91" s="87">
        <f t="shared" si="10"/>
        <v>2.9248730573934449E-2</v>
      </c>
      <c r="I91" s="159"/>
      <c r="J91" s="159"/>
    </row>
    <row r="92" spans="1:10" s="4" customFormat="1" ht="21">
      <c r="A92" s="90" t="s">
        <v>30</v>
      </c>
      <c r="B92" s="94">
        <v>144.59299999999999</v>
      </c>
      <c r="C92" s="86">
        <v>140.30000000000001</v>
      </c>
      <c r="D92" s="94">
        <v>144.59299999999999</v>
      </c>
      <c r="E92" s="86">
        <f t="shared" si="11"/>
        <v>0</v>
      </c>
      <c r="F92" s="86">
        <f>Таблица224627910121314572[[#This Row],[Столбец8]]/Таблица224627910121314572[[#This Row],[Столбец4]]*100-100</f>
        <v>0</v>
      </c>
      <c r="G92" s="86">
        <f>Таблица224627910121314572[[#This Row],[Столбец4]]/$B$6*100</f>
        <v>0.15607968437130626</v>
      </c>
      <c r="H92" s="87">
        <f t="shared" si="10"/>
        <v>0.13905312355747035</v>
      </c>
      <c r="I92" s="159"/>
      <c r="J92" s="159"/>
    </row>
    <row r="93" spans="1:10" s="4" customFormat="1" ht="21">
      <c r="A93" s="90" t="s">
        <v>31</v>
      </c>
      <c r="B93" s="88">
        <v>596.02753900000005</v>
      </c>
      <c r="C93" s="91">
        <f>614.297+0.686</f>
        <v>614.98300000000006</v>
      </c>
      <c r="D93" s="91">
        <f>614.297+0.686</f>
        <v>614.98300000000006</v>
      </c>
      <c r="E93" s="91">
        <f>D93-B93</f>
        <v>18.955461000000014</v>
      </c>
      <c r="F93" s="91">
        <f>Таблица224627910121314572[[#This Row],[Столбец8]]/Таблица224627910121314572[[#This Row],[Столбец4]]*100-100</f>
        <v>3.1802995263948759</v>
      </c>
      <c r="G93" s="91">
        <f>Таблица224627910121314572[[#This Row],[Столбец4]]/$B$6*100</f>
        <v>0.64337685893318808</v>
      </c>
      <c r="H93" s="92">
        <f t="shared" si="10"/>
        <v>0.59142079550700111</v>
      </c>
      <c r="I93" s="159"/>
      <c r="J93" s="159"/>
    </row>
    <row r="94" spans="1:10" s="4" customFormat="1" ht="21">
      <c r="A94" s="95" t="s">
        <v>37</v>
      </c>
      <c r="B94" s="94">
        <f>61.07607+374.89165</f>
        <v>435.96772000000004</v>
      </c>
      <c r="C94" s="86">
        <v>542.5</v>
      </c>
      <c r="D94" s="86">
        <f>475.36+93.121</f>
        <v>568.48099999999999</v>
      </c>
      <c r="E94" s="86">
        <f t="shared" si="11"/>
        <v>132.51327999999995</v>
      </c>
      <c r="F94" s="86">
        <f>Таблица224627910121314572[[#This Row],[Столбец8]]/Таблица224627910121314572[[#This Row],[Столбец4]]*100-100</f>
        <v>30.395204488992874</v>
      </c>
      <c r="G94" s="86">
        <f>Таблица224627910121314572[[#This Row],[Столбец4]]/$B$6*100</f>
        <v>0.47060164830716594</v>
      </c>
      <c r="H94" s="87">
        <f t="shared" si="10"/>
        <v>0.54670045391598709</v>
      </c>
      <c r="I94" s="159"/>
      <c r="J94" s="159"/>
    </row>
    <row r="95" spans="1:10" s="4" customFormat="1" ht="21">
      <c r="A95" s="95" t="s">
        <v>35</v>
      </c>
      <c r="B95" s="94">
        <v>70.119590000000002</v>
      </c>
      <c r="C95" s="86">
        <v>70.56</v>
      </c>
      <c r="D95" s="86">
        <v>73.355999999999995</v>
      </c>
      <c r="E95" s="86">
        <f t="shared" si="11"/>
        <v>3.2364099999999922</v>
      </c>
      <c r="F95" s="86">
        <f>Таблица224627910121314572[[#This Row],[Столбец8]]/Таблица224627910121314572[[#This Row],[Столбец4]]*100-100</f>
        <v>4.6155575068251125</v>
      </c>
      <c r="G95" s="86">
        <f>Таблица224627910121314572[[#This Row],[Столбец4]]/$B$6*100</f>
        <v>7.5689995196485338E-2</v>
      </c>
      <c r="H95" s="87">
        <f t="shared" si="10"/>
        <v>7.0545468533620551E-2</v>
      </c>
      <c r="I95" s="159"/>
      <c r="J95" s="159"/>
    </row>
    <row r="96" spans="1:10" s="4" customFormat="1" ht="21">
      <c r="A96" s="93" t="s">
        <v>46</v>
      </c>
      <c r="B96" s="81">
        <f>SUM(B97,B101,B102)</f>
        <v>3832.9598770000002</v>
      </c>
      <c r="C96" s="81">
        <f>SUM(C97,C101,C102)</f>
        <v>4522</v>
      </c>
      <c r="D96" s="81">
        <f>SUM(D97,D101,D102)</f>
        <v>5031.5926680000002</v>
      </c>
      <c r="E96" s="81">
        <f t="shared" si="11"/>
        <v>1198.632791</v>
      </c>
      <c r="F96" s="81">
        <f>Таблица224627910121314572[[#This Row],[Столбец8]]/Таблица224627910121314572[[#This Row],[Столбец4]]*100-100</f>
        <v>31.271728102151485</v>
      </c>
      <c r="G96" s="81">
        <f>Таблица224627910121314572[[#This Row],[Столбец4]]/$B$6*100</f>
        <v>4.1374559474527883</v>
      </c>
      <c r="H96" s="82">
        <f t="shared" si="10"/>
        <v>4.8388143060470847</v>
      </c>
      <c r="I96" s="159"/>
      <c r="J96" s="159"/>
    </row>
    <row r="97" spans="1:10" s="4" customFormat="1" ht="21">
      <c r="A97" s="95" t="s">
        <v>28</v>
      </c>
      <c r="B97" s="94">
        <f>B98+B99+B100</f>
        <v>2189.7755970000003</v>
      </c>
      <c r="C97" s="94">
        <f t="shared" ref="C97:D97" si="14">C98+C99+C100</f>
        <v>2186.5</v>
      </c>
      <c r="D97" s="94">
        <f t="shared" si="14"/>
        <v>2692.3016680000001</v>
      </c>
      <c r="E97" s="86">
        <f t="shared" si="11"/>
        <v>502.52607099999977</v>
      </c>
      <c r="F97" s="86">
        <f>Таблица224627910121314572[[#This Row],[Столбец8]]/Таблица224627910121314572[[#This Row],[Столбец4]]*100-100</f>
        <v>22.948747428205081</v>
      </c>
      <c r="G97" s="86">
        <f>Таблица224627910121314572[[#This Row],[Столбец4]]/$B$6*100</f>
        <v>2.3637346484528905</v>
      </c>
      <c r="H97" s="87">
        <f t="shared" si="10"/>
        <v>2.5891499346053242</v>
      </c>
      <c r="I97" s="159"/>
      <c r="J97" s="159"/>
    </row>
    <row r="98" spans="1:10" s="4" customFormat="1" ht="21">
      <c r="A98" s="90" t="s">
        <v>29</v>
      </c>
      <c r="B98" s="94">
        <v>8.9941250000000004</v>
      </c>
      <c r="C98" s="86">
        <v>9</v>
      </c>
      <c r="D98" s="86">
        <v>11.4</v>
      </c>
      <c r="E98" s="86">
        <f t="shared" si="11"/>
        <v>2.405875</v>
      </c>
      <c r="F98" s="86">
        <f>Таблица224627910121314572[[#This Row],[Столбец8]]/Таблица224627910121314572[[#This Row],[Столбец4]]*100-100</f>
        <v>26.749405862160017</v>
      </c>
      <c r="G98" s="86">
        <f>Таблица224627910121314572[[#This Row],[Столбец4]]/$B$6*100</f>
        <v>9.7086317539305158E-3</v>
      </c>
      <c r="H98" s="87">
        <f t="shared" si="10"/>
        <v>1.0963225111555624E-2</v>
      </c>
      <c r="I98" s="159"/>
      <c r="J98" s="159"/>
    </row>
    <row r="99" spans="1:10" s="4" customFormat="1" ht="21">
      <c r="A99" s="90" t="s">
        <v>30</v>
      </c>
      <c r="B99" s="94">
        <v>2175.86</v>
      </c>
      <c r="C99" s="86">
        <v>2173</v>
      </c>
      <c r="D99" s="94">
        <f>2175.86+500</f>
        <v>2675.86</v>
      </c>
      <c r="E99" s="86">
        <f t="shared" si="11"/>
        <v>500</v>
      </c>
      <c r="F99" s="86">
        <f>Таблица224627910121314572[[#This Row],[Столбец8]]/Таблица224627910121314572[[#This Row],[Столбец4]]*100-100</f>
        <v>22.979419631777787</v>
      </c>
      <c r="G99" s="86">
        <f>Таблица224627910121314572[[#This Row],[Столбец4]]/$B$6*100</f>
        <v>2.3487135755959865</v>
      </c>
      <c r="H99" s="87">
        <f t="shared" si="10"/>
        <v>2.5733382058778278</v>
      </c>
      <c r="I99" s="159"/>
      <c r="J99" s="159"/>
    </row>
    <row r="100" spans="1:10" s="4" customFormat="1" ht="21">
      <c r="A100" s="90" t="s">
        <v>31</v>
      </c>
      <c r="B100" s="88">
        <v>4.9214719999999996</v>
      </c>
      <c r="C100" s="91">
        <f>4+0.5</f>
        <v>4.5</v>
      </c>
      <c r="D100" s="91">
        <f>4.9+0.141668</f>
        <v>5.0416680000000005</v>
      </c>
      <c r="E100" s="91">
        <f t="shared" si="11"/>
        <v>0.12019600000000086</v>
      </c>
      <c r="F100" s="91">
        <f>Таблица224627910121314572[[#This Row],[Столбец8]]/Таблица224627910121314572[[#This Row],[Столбец4]]*100-100</f>
        <v>2.4422774324429781</v>
      </c>
      <c r="G100" s="91">
        <f>Таблица224627910121314572[[#This Row],[Столбец4]]/$B$6*100</f>
        <v>5.3124411029733211E-3</v>
      </c>
      <c r="H100" s="92">
        <f t="shared" si="10"/>
        <v>4.8485036159409151E-3</v>
      </c>
      <c r="I100" s="159"/>
      <c r="J100" s="159"/>
    </row>
    <row r="101" spans="1:10" s="4" customFormat="1" ht="21">
      <c r="A101" s="95" t="s">
        <v>37</v>
      </c>
      <c r="B101" s="94">
        <f>907.775+730.64684</f>
        <v>1638.42184</v>
      </c>
      <c r="C101" s="86">
        <v>2330.6</v>
      </c>
      <c r="D101" s="86">
        <f>1044.588+1289.541</f>
        <v>2334.1289999999999</v>
      </c>
      <c r="E101" s="86">
        <f t="shared" si="11"/>
        <v>695.70715999999993</v>
      </c>
      <c r="F101" s="86">
        <f>Таблица224627910121314572[[#This Row],[Столбец8]]/Таблица224627910121314572[[#This Row],[Столбец4]]*100-100</f>
        <v>42.46202919267725</v>
      </c>
      <c r="G101" s="86">
        <f>Таблица224627910121314572[[#This Row],[Столбец4]]/$B$6*100</f>
        <v>1.7685805236370704</v>
      </c>
      <c r="H101" s="87">
        <f t="shared" si="10"/>
        <v>2.244700146176335</v>
      </c>
      <c r="I101" s="159"/>
      <c r="J101" s="159"/>
    </row>
    <row r="102" spans="1:10" s="4" customFormat="1" ht="21">
      <c r="A102" s="95" t="s">
        <v>35</v>
      </c>
      <c r="B102" s="94">
        <v>4.7624399999999998</v>
      </c>
      <c r="C102" s="86">
        <v>4.9000000000000004</v>
      </c>
      <c r="D102" s="86">
        <v>5.1619999999999999</v>
      </c>
      <c r="E102" s="86">
        <f t="shared" si="11"/>
        <v>0.39956000000000014</v>
      </c>
      <c r="F102" s="86">
        <f>Таблица224627910121314572[[#This Row],[Столбец8]]/Таблица224627910121314572[[#This Row],[Столбец4]]*100-100</f>
        <v>8.3898169845709276</v>
      </c>
      <c r="G102" s="86">
        <f>Таблица224627910121314572[[#This Row],[Столбец4]]/$B$6*100</f>
        <v>5.1407753628272728E-3</v>
      </c>
      <c r="H102" s="87">
        <f t="shared" si="10"/>
        <v>4.9642252654254499E-3</v>
      </c>
      <c r="I102" s="159"/>
      <c r="J102" s="159"/>
    </row>
    <row r="103" spans="1:10" s="4" customFormat="1" ht="33" customHeight="1">
      <c r="A103" s="93" t="s">
        <v>47</v>
      </c>
      <c r="B103" s="81">
        <f>SUM(B104,B108,B109)</f>
        <v>741.19259199999999</v>
      </c>
      <c r="C103" s="81">
        <f>SUM(C104,C108,C109)</f>
        <v>978.82193500000005</v>
      </c>
      <c r="D103" s="81">
        <f>SUM(D104,D108,D109)</f>
        <v>1002.5119349999999</v>
      </c>
      <c r="E103" s="81">
        <f t="shared" si="11"/>
        <v>261.31934299999989</v>
      </c>
      <c r="F103" s="81">
        <f>Таблица224627910121314572[[#This Row],[Столбец8]]/Таблица224627910121314572[[#This Row],[Столбец4]]*100-100</f>
        <v>35.256604804274673</v>
      </c>
      <c r="G103" s="81">
        <f>Таблица224627910121314572[[#This Row],[Столбец4]]/$B$6*100</f>
        <v>0.80007404105116009</v>
      </c>
      <c r="H103" s="82">
        <f t="shared" si="10"/>
        <v>0.96410210705493138</v>
      </c>
      <c r="I103" s="159"/>
      <c r="J103" s="159"/>
    </row>
    <row r="104" spans="1:10" s="4" customFormat="1" ht="21">
      <c r="A104" s="95" t="s">
        <v>28</v>
      </c>
      <c r="B104" s="94">
        <f>B105+B106+B107</f>
        <v>222.085443</v>
      </c>
      <c r="C104" s="94">
        <f t="shared" ref="C104:D104" si="15">C105+C106+C107</f>
        <v>227.02193499999998</v>
      </c>
      <c r="D104" s="94">
        <f t="shared" si="15"/>
        <v>228.92193499999999</v>
      </c>
      <c r="E104" s="86">
        <f t="shared" si="11"/>
        <v>6.8364919999999927</v>
      </c>
      <c r="F104" s="86">
        <f>Таблица224627910121314572[[#This Row],[Столбец8]]/Таблица224627910121314572[[#This Row],[Столбец4]]*100-100</f>
        <v>3.0783161235831074</v>
      </c>
      <c r="G104" s="86">
        <f>Таблица224627910121314572[[#This Row],[Столбец4]]/$B$6*100</f>
        <v>0.23972824304704746</v>
      </c>
      <c r="H104" s="87">
        <f t="shared" si="10"/>
        <v>0.22015111459455303</v>
      </c>
      <c r="I104" s="159"/>
      <c r="J104" s="159"/>
    </row>
    <row r="105" spans="1:10" s="4" customFormat="1" ht="21">
      <c r="A105" s="90" t="s">
        <v>29</v>
      </c>
      <c r="B105" s="94">
        <v>63.963507999999997</v>
      </c>
      <c r="C105" s="86">
        <v>70.8</v>
      </c>
      <c r="D105" s="86">
        <v>70.8</v>
      </c>
      <c r="E105" s="86">
        <f t="shared" si="11"/>
        <v>6.8364919999999998</v>
      </c>
      <c r="F105" s="86">
        <f>Таблица224627910121314572[[#This Row],[Столбец8]]/Таблица224627910121314572[[#This Row],[Столбец4]]*100-100</f>
        <v>10.688112978418872</v>
      </c>
      <c r="G105" s="86">
        <f>Таблица224627910121314572[[#This Row],[Столбец4]]/$B$6*100</f>
        <v>6.9044864826938543E-2</v>
      </c>
      <c r="H105" s="87">
        <f t="shared" si="10"/>
        <v>6.8087398061240187E-2</v>
      </c>
      <c r="I105" s="159"/>
      <c r="J105" s="159"/>
    </row>
    <row r="106" spans="1:10" s="4" customFormat="1" ht="21">
      <c r="A106" s="90" t="s">
        <v>30</v>
      </c>
      <c r="B106" s="94">
        <v>17.899999999999999</v>
      </c>
      <c r="C106" s="86">
        <v>16</v>
      </c>
      <c r="D106" s="94">
        <v>17.899999999999999</v>
      </c>
      <c r="E106" s="86">
        <f t="shared" si="11"/>
        <v>0</v>
      </c>
      <c r="F106" s="86">
        <f>Таблица224627910121314572[[#This Row],[Столбец8]]/Таблица224627910121314572[[#This Row],[Столбец4]]*100-100</f>
        <v>0</v>
      </c>
      <c r="G106" s="86">
        <f>Таблица224627910121314572[[#This Row],[Столбец4]]/$B$6*100</f>
        <v>1.9322002795753475E-2</v>
      </c>
      <c r="H106" s="87">
        <f t="shared" si="10"/>
        <v>1.7214186797968916E-2</v>
      </c>
      <c r="I106" s="159"/>
      <c r="J106" s="159"/>
    </row>
    <row r="107" spans="1:10" s="4" customFormat="1" ht="21">
      <c r="A107" s="90" t="s">
        <v>31</v>
      </c>
      <c r="B107" s="88">
        <v>140.221935</v>
      </c>
      <c r="C107" s="91">
        <v>140.221935</v>
      </c>
      <c r="D107" s="91">
        <v>140.221935</v>
      </c>
      <c r="E107" s="91">
        <f t="shared" si="11"/>
        <v>0</v>
      </c>
      <c r="F107" s="91">
        <f>Таблица224627910121314572[[#This Row],[Столбец8]]/Таблица224627910121314572[[#This Row],[Столбец4]]*100-100</f>
        <v>0</v>
      </c>
      <c r="G107" s="91">
        <f>Таблица224627910121314572[[#This Row],[Столбец4]]/$B$6*100</f>
        <v>0.15136137542435543</v>
      </c>
      <c r="H107" s="92">
        <f t="shared" si="10"/>
        <v>0.13484952973534392</v>
      </c>
      <c r="I107" s="159"/>
      <c r="J107" s="159"/>
    </row>
    <row r="108" spans="1:10" s="4" customFormat="1" ht="21">
      <c r="A108" s="95" t="s">
        <v>37</v>
      </c>
      <c r="B108" s="94">
        <f>329.96865+162.72278</f>
        <v>492.69143000000003</v>
      </c>
      <c r="C108" s="86">
        <v>725.1</v>
      </c>
      <c r="D108" s="86">
        <f>232.91+512.236</f>
        <v>745.14599999999996</v>
      </c>
      <c r="E108" s="86">
        <f t="shared" si="11"/>
        <v>252.45456999999993</v>
      </c>
      <c r="F108" s="86">
        <f>Таблица224627910121314572[[#This Row],[Столбец8]]/Таблица224627910121314572[[#This Row],[Столбец4]]*100-100</f>
        <v>51.239894714628974</v>
      </c>
      <c r="G108" s="86">
        <f>Таблица224627910121314572[[#This Row],[Столбец4]]/$B$6*100</f>
        <v>0.53183157474322784</v>
      </c>
      <c r="H108" s="87">
        <f t="shared" si="10"/>
        <v>0.71659678412063388</v>
      </c>
      <c r="I108" s="159"/>
      <c r="J108" s="159"/>
    </row>
    <row r="109" spans="1:10" s="4" customFormat="1" ht="21">
      <c r="A109" s="95" t="s">
        <v>35</v>
      </c>
      <c r="B109" s="94">
        <v>26.415718999999999</v>
      </c>
      <c r="C109" s="86">
        <v>26.7</v>
      </c>
      <c r="D109" s="86">
        <v>28.443999999999999</v>
      </c>
      <c r="E109" s="86">
        <f t="shared" si="11"/>
        <v>2.0282809999999998</v>
      </c>
      <c r="F109" s="86">
        <f>Таблица224627910121314572[[#This Row],[Столбец8]]/Таблица224627910121314572[[#This Row],[Столбец4]]*100-100</f>
        <v>7.6783107815464007</v>
      </c>
      <c r="G109" s="86">
        <f>Таблица224627910121314572[[#This Row],[Столбец4]]/$B$6*100</f>
        <v>2.8514223260884819E-2</v>
      </c>
      <c r="H109" s="87">
        <f t="shared" si="10"/>
        <v>2.7354208339744574E-2</v>
      </c>
      <c r="I109" s="159"/>
      <c r="J109" s="159"/>
    </row>
    <row r="110" spans="1:10" s="4" customFormat="1" ht="21">
      <c r="A110" s="93" t="s">
        <v>48</v>
      </c>
      <c r="B110" s="81">
        <f>SUM(B111,B115)</f>
        <v>193.345247</v>
      </c>
      <c r="C110" s="81">
        <f>SUM(C111,C115)</f>
        <v>191.6</v>
      </c>
      <c r="D110" s="81">
        <f>SUM(D111,D115)</f>
        <v>187.255044</v>
      </c>
      <c r="E110" s="81">
        <f t="shared" si="11"/>
        <v>-6.0902030000000025</v>
      </c>
      <c r="F110" s="81">
        <f>Таблица224627910121314572[[#This Row],[Столбец8]]/Таблица224627910121314572[[#This Row],[Столбец4]]*100-100</f>
        <v>-3.1499108948874266</v>
      </c>
      <c r="G110" s="81">
        <f>Таблица224627910121314572[[#This Row],[Столбец4]]/$B$6*100</f>
        <v>0.20870488285361152</v>
      </c>
      <c r="H110" s="82">
        <f t="shared" si="10"/>
        <v>0.18008063163563623</v>
      </c>
      <c r="I110" s="159"/>
      <c r="J110" s="159"/>
    </row>
    <row r="111" spans="1:10" s="4" customFormat="1" ht="21">
      <c r="A111" s="95" t="s">
        <v>28</v>
      </c>
      <c r="B111" s="94">
        <f>B112+B113+B114</f>
        <v>190.33478400000001</v>
      </c>
      <c r="C111" s="94">
        <f>C112+C113+C114</f>
        <v>188.6</v>
      </c>
      <c r="D111" s="94">
        <f>D112+D113+D114</f>
        <v>184.255044</v>
      </c>
      <c r="E111" s="86">
        <f t="shared" si="11"/>
        <v>-6.0797400000000152</v>
      </c>
      <c r="F111" s="86">
        <f>Таблица224627910121314572[[#This Row],[Столбец8]]/Таблица224627910121314572[[#This Row],[Столбец4]]*100-100</f>
        <v>-3.1942348488440331</v>
      </c>
      <c r="G111" s="86">
        <f>Таблица224627910121314572[[#This Row],[Столбец4]]/$B$6*100</f>
        <v>0.20545526416632037</v>
      </c>
      <c r="H111" s="87">
        <f t="shared" si="10"/>
        <v>0.1771955723957532</v>
      </c>
      <c r="I111" s="159"/>
      <c r="J111" s="159"/>
    </row>
    <row r="112" spans="1:10" s="4" customFormat="1" ht="21">
      <c r="A112" s="90" t="s">
        <v>29</v>
      </c>
      <c r="B112" s="94">
        <v>36.859740000000002</v>
      </c>
      <c r="C112" s="86">
        <v>36.9</v>
      </c>
      <c r="D112" s="86">
        <v>30.78</v>
      </c>
      <c r="E112" s="86">
        <f t="shared" si="11"/>
        <v>-6.079740000000001</v>
      </c>
      <c r="F112" s="86">
        <f>Таблица224627910121314572[[#This Row],[Столбец8]]/Таблица224627910121314572[[#This Row],[Столбец4]]*100-100</f>
        <v>-16.494256334960582</v>
      </c>
      <c r="G112" s="86">
        <f>Таблица224627910121314572[[#This Row],[Столбец4]]/$B$6*100</f>
        <v>3.9787932923505381E-2</v>
      </c>
      <c r="H112" s="87">
        <f t="shared" si="10"/>
        <v>2.9600707801200186E-2</v>
      </c>
      <c r="I112" s="159"/>
      <c r="J112" s="159"/>
    </row>
    <row r="113" spans="1:10" s="4" customFormat="1" ht="21">
      <c r="A113" s="90" t="s">
        <v>30</v>
      </c>
      <c r="B113" s="94">
        <v>73.396000000000001</v>
      </c>
      <c r="C113" s="86">
        <v>71.599999999999994</v>
      </c>
      <c r="D113" s="94">
        <v>73.396000000000001</v>
      </c>
      <c r="E113" s="86">
        <f t="shared" si="11"/>
        <v>0</v>
      </c>
      <c r="F113" s="86">
        <f>Таблица224627910121314572[[#This Row],[Столбец8]]/Таблица224627910121314572[[#This Row],[Столбец4]]*100-100</f>
        <v>0</v>
      </c>
      <c r="G113" s="86">
        <f>Таблица224627910121314572[[#This Row],[Столбец4]]/$B$6*100</f>
        <v>7.9226688111571075E-2</v>
      </c>
      <c r="H113" s="87">
        <f t="shared" si="10"/>
        <v>7.0583935990152336E-2</v>
      </c>
      <c r="I113" s="159"/>
      <c r="J113" s="159"/>
    </row>
    <row r="114" spans="1:10" s="4" customFormat="1" ht="21">
      <c r="A114" s="90" t="s">
        <v>31</v>
      </c>
      <c r="B114" s="88">
        <v>80.079043999999996</v>
      </c>
      <c r="C114" s="91">
        <v>80.099999999999994</v>
      </c>
      <c r="D114" s="91">
        <v>80.079043999999996</v>
      </c>
      <c r="E114" s="91">
        <f t="shared" si="11"/>
        <v>0</v>
      </c>
      <c r="F114" s="91">
        <f>Таблица224627910121314572[[#This Row],[Столбец8]]/Таблица224627910121314572[[#This Row],[Столбец4]]*100-100</f>
        <v>0</v>
      </c>
      <c r="G114" s="91">
        <f>Таблица224627910121314572[[#This Row],[Столбец4]]/$B$6*100</f>
        <v>8.6440643131243888E-2</v>
      </c>
      <c r="H114" s="92">
        <f t="shared" si="10"/>
        <v>7.7010928604400675E-2</v>
      </c>
      <c r="I114" s="159"/>
      <c r="J114" s="159"/>
    </row>
    <row r="115" spans="1:10" s="4" customFormat="1" ht="21">
      <c r="A115" s="95" t="s">
        <v>35</v>
      </c>
      <c r="B115" s="94">
        <v>3.0104630000000001</v>
      </c>
      <c r="C115" s="86">
        <v>3</v>
      </c>
      <c r="D115" s="86">
        <v>3</v>
      </c>
      <c r="E115" s="86">
        <f t="shared" si="11"/>
        <v>-1.0463000000000111E-2</v>
      </c>
      <c r="F115" s="86">
        <f>Таблица224627910121314572[[#This Row],[Столбец8]]/Таблица224627910121314572[[#This Row],[Столбец4]]*100-100</f>
        <v>-0.34755451237900559</v>
      </c>
      <c r="G115" s="86">
        <f>Таблица224627910121314572[[#This Row],[Столбец4]]/$B$6*100</f>
        <v>3.2496186872911954E-3</v>
      </c>
      <c r="H115" s="87">
        <f t="shared" si="10"/>
        <v>2.8850592398830589E-3</v>
      </c>
      <c r="I115" s="159"/>
      <c r="J115" s="159"/>
    </row>
    <row r="116" spans="1:10" s="4" customFormat="1" ht="21">
      <c r="A116" s="93" t="s">
        <v>49</v>
      </c>
      <c r="B116" s="81">
        <f>SUM(B117,B121,B122)</f>
        <v>2259.5400370000002</v>
      </c>
      <c r="C116" s="81">
        <f>SUM(C117,C121,C122)</f>
        <v>2370.7190000000001</v>
      </c>
      <c r="D116" s="81">
        <f>SUM(D117,D121,D122)</f>
        <v>2497.462</v>
      </c>
      <c r="E116" s="81">
        <f t="shared" si="11"/>
        <v>237.92196299999978</v>
      </c>
      <c r="F116" s="81">
        <f>Таблица224627910121314572[[#This Row],[Столбец8]]/Таблица224627910121314572[[#This Row],[Столбец4]]*100-100</f>
        <v>10.529663520186602</v>
      </c>
      <c r="G116" s="81">
        <f>Таблица224627910121314572[[#This Row],[Столбец4]]/$B$6*100</f>
        <v>2.4390412800017276</v>
      </c>
      <c r="H116" s="82">
        <f t="shared" si="10"/>
        <v>2.4017752731189415</v>
      </c>
      <c r="I116" s="159"/>
      <c r="J116" s="159"/>
    </row>
    <row r="117" spans="1:10" s="4" customFormat="1" ht="21">
      <c r="A117" s="95" t="s">
        <v>28</v>
      </c>
      <c r="B117" s="94">
        <f>B118+B119+B120</f>
        <v>776.47313800000006</v>
      </c>
      <c r="C117" s="94">
        <f t="shared" ref="C117:D117" si="16">C118+C119+C120</f>
        <v>780.30000000000007</v>
      </c>
      <c r="D117" s="94">
        <f t="shared" si="16"/>
        <v>790.10000000000014</v>
      </c>
      <c r="E117" s="86">
        <f t="shared" si="11"/>
        <v>13.626862000000074</v>
      </c>
      <c r="F117" s="86">
        <f>Таблица224627910121314572[[#This Row],[Столбец8]]/Таблица224627910121314572[[#This Row],[Столбец4]]*100-100</f>
        <v>1.7549688885696071</v>
      </c>
      <c r="G117" s="86">
        <f>Таблица224627910121314572[[#This Row],[Столбец4]]/$B$6*100</f>
        <v>0.83815732643930041</v>
      </c>
      <c r="H117" s="87">
        <f t="shared" si="10"/>
        <v>0.75982843514386844</v>
      </c>
      <c r="I117" s="159"/>
      <c r="J117" s="159"/>
    </row>
    <row r="118" spans="1:10" s="4" customFormat="1" ht="21">
      <c r="A118" s="90" t="s">
        <v>29</v>
      </c>
      <c r="B118" s="94">
        <v>38.530684999999998</v>
      </c>
      <c r="C118" s="86">
        <v>38.200000000000003</v>
      </c>
      <c r="D118" s="86">
        <v>38.5</v>
      </c>
      <c r="E118" s="86">
        <f t="shared" si="11"/>
        <v>-3.0684999999998297E-2</v>
      </c>
      <c r="F118" s="86">
        <f>Таблица224627910121314572[[#This Row],[Столбец8]]/Таблица224627910121314572[[#This Row],[Столбец4]]*100-100</f>
        <v>-7.9637826319455485E-2</v>
      </c>
      <c r="G118" s="86">
        <f>Таблица224627910121314572[[#This Row],[Столбец4]]/$B$6*100</f>
        <v>4.1591620295659021E-2</v>
      </c>
      <c r="H118" s="87">
        <f t="shared" si="10"/>
        <v>3.7024926911832588E-2</v>
      </c>
      <c r="I118" s="159"/>
      <c r="J118" s="159"/>
    </row>
    <row r="119" spans="1:10" s="4" customFormat="1" ht="21">
      <c r="A119" s="90" t="s">
        <v>30</v>
      </c>
      <c r="B119" s="94">
        <v>342.5</v>
      </c>
      <c r="C119" s="86">
        <v>333</v>
      </c>
      <c r="D119" s="86">
        <v>342.5</v>
      </c>
      <c r="E119" s="86">
        <f t="shared" si="11"/>
        <v>0</v>
      </c>
      <c r="F119" s="86">
        <f>Таблица224627910121314572[[#This Row],[Столбец8]]/Таблица224627910121314572[[#This Row],[Столбец4]]*100-100</f>
        <v>0</v>
      </c>
      <c r="G119" s="86">
        <f>Таблица224627910121314572[[#This Row],[Столбец4]]/$B$6*100</f>
        <v>0.36970871271204281</v>
      </c>
      <c r="H119" s="87">
        <f t="shared" si="10"/>
        <v>0.32937759655331589</v>
      </c>
      <c r="I119" s="159"/>
      <c r="J119" s="159"/>
    </row>
    <row r="120" spans="1:10" s="4" customFormat="1" ht="21">
      <c r="A120" s="90" t="s">
        <v>31</v>
      </c>
      <c r="B120" s="88">
        <v>395.442453</v>
      </c>
      <c r="C120" s="91">
        <v>409.10000000000008</v>
      </c>
      <c r="D120" s="91">
        <v>409.10000000000008</v>
      </c>
      <c r="E120" s="91">
        <f>D120-B120</f>
        <v>13.657547000000079</v>
      </c>
      <c r="F120" s="91">
        <f>Таблица224627910121314572[[#This Row],[Столбец8]]/Таблица224627910121314572[[#This Row],[Столбец4]]*100-100</f>
        <v>3.4537381852625941</v>
      </c>
      <c r="G120" s="91">
        <f>Таблица224627910121314572[[#This Row],[Столбец4]]/$B$6*100</f>
        <v>0.42685699343159844</v>
      </c>
      <c r="H120" s="92">
        <f t="shared" si="10"/>
        <v>0.39342591167871988</v>
      </c>
      <c r="I120" s="159"/>
      <c r="J120" s="159"/>
    </row>
    <row r="121" spans="1:10" s="4" customFormat="1" ht="21">
      <c r="A121" s="95" t="s">
        <v>37</v>
      </c>
      <c r="B121" s="94">
        <v>1428.649306</v>
      </c>
      <c r="C121" s="86">
        <v>1535.4</v>
      </c>
      <c r="D121" s="86">
        <v>1646.481</v>
      </c>
      <c r="E121" s="86">
        <f t="shared" si="11"/>
        <v>217.83169399999997</v>
      </c>
      <c r="F121" s="86">
        <f>Таблица224627910121314572[[#This Row],[Столбец8]]/Таблица224627910121314572[[#This Row],[Столбец4]]*100-100</f>
        <v>15.247387380874827</v>
      </c>
      <c r="G121" s="86">
        <f>Таблица224627910121314572[[#This Row],[Столбец4]]/$B$6*100</f>
        <v>1.5421433455130316</v>
      </c>
      <c r="H121" s="87">
        <f t="shared" si="10"/>
        <v>1.5833984074472995</v>
      </c>
      <c r="I121" s="159"/>
      <c r="J121" s="159"/>
    </row>
    <row r="122" spans="1:10" s="4" customFormat="1" ht="21">
      <c r="A122" s="95" t="s">
        <v>35</v>
      </c>
      <c r="B122" s="94">
        <v>54.417592999999997</v>
      </c>
      <c r="C122" s="86">
        <v>55.018999999999998</v>
      </c>
      <c r="D122" s="86">
        <v>60.881</v>
      </c>
      <c r="E122" s="86">
        <f t="shared" si="11"/>
        <v>6.4634070000000037</v>
      </c>
      <c r="F122" s="86">
        <f>Таблица224627910121314572[[#This Row],[Столбец8]]/Таблица224627910121314572[[#This Row],[Столбец4]]*100-100</f>
        <v>11.877421700735653</v>
      </c>
      <c r="G122" s="86">
        <f>Таблица224627910121314572[[#This Row],[Столбец4]]/$B$6*100</f>
        <v>5.8740608049395238E-2</v>
      </c>
      <c r="H122" s="87">
        <f t="shared" si="10"/>
        <v>5.8548430527773497E-2</v>
      </c>
      <c r="I122" s="159"/>
      <c r="J122" s="159"/>
    </row>
    <row r="123" spans="1:10" s="4" customFormat="1" ht="42">
      <c r="A123" s="93" t="s">
        <v>50</v>
      </c>
      <c r="B123" s="81">
        <f>SUM(B124,B127)</f>
        <v>78.599184000000008</v>
      </c>
      <c r="C123" s="81">
        <f>SUM(C124,C127)</f>
        <v>92.599184000000008</v>
      </c>
      <c r="D123" s="81">
        <f>SUM(D124,D127)</f>
        <v>92.599184000000008</v>
      </c>
      <c r="E123" s="81">
        <f t="shared" si="11"/>
        <v>14</v>
      </c>
      <c r="F123" s="81">
        <f>Таблица224627910121314572[[#This Row],[Столбец8]]/Таблица224627910121314572[[#This Row],[Столбец4]]*100-100</f>
        <v>17.811889751934331</v>
      </c>
      <c r="G123" s="81">
        <f>Таблица224627910121314572[[#This Row],[Столбец4]]/$B$6*100</f>
        <v>8.4843220837538674E-2</v>
      </c>
      <c r="H123" s="82">
        <f t="shared" si="10"/>
        <v>8.9051377134943849E-2</v>
      </c>
      <c r="I123" s="159"/>
      <c r="J123" s="159"/>
    </row>
    <row r="124" spans="1:10" s="4" customFormat="1" ht="21">
      <c r="A124" s="95" t="s">
        <v>28</v>
      </c>
      <c r="B124" s="94">
        <f>B125+B126</f>
        <v>74.816034000000002</v>
      </c>
      <c r="C124" s="94">
        <f t="shared" ref="C124:D124" si="17">C125+C126</f>
        <v>88.816034000000002</v>
      </c>
      <c r="D124" s="94">
        <f t="shared" si="17"/>
        <v>88.816034000000002</v>
      </c>
      <c r="E124" s="86">
        <f t="shared" si="11"/>
        <v>14</v>
      </c>
      <c r="F124" s="86">
        <f>Таблица224627910121314572[[#This Row],[Столбец8]]/Таблица224627910121314572[[#This Row],[Столбец4]]*100-100</f>
        <v>18.712566346406433</v>
      </c>
      <c r="G124" s="86">
        <f>Таблица224627910121314572[[#This Row],[Столбец4]]/$B$6*100</f>
        <v>8.0759531738278628E-2</v>
      </c>
      <c r="H124" s="87">
        <f t="shared" si="10"/>
        <v>8.5413173180489313E-2</v>
      </c>
      <c r="I124" s="159"/>
      <c r="J124" s="159"/>
    </row>
    <row r="125" spans="1:10" s="4" customFormat="1" ht="21">
      <c r="A125" s="90" t="s">
        <v>29</v>
      </c>
      <c r="B125" s="94">
        <v>11.487135</v>
      </c>
      <c r="C125" s="94">
        <v>11.487135</v>
      </c>
      <c r="D125" s="94">
        <v>11.487135</v>
      </c>
      <c r="E125" s="86">
        <f t="shared" si="11"/>
        <v>0</v>
      </c>
      <c r="F125" s="86">
        <f>Таблица224627910121314572[[#This Row],[Столбец8]]/Таблица224627910121314572[[#This Row],[Столбец4]]*100-100</f>
        <v>0</v>
      </c>
      <c r="G125" s="86">
        <f>Таблица224627910121314572[[#This Row],[Столбец4]]/$B$6*100</f>
        <v>1.2399690200290371E-2</v>
      </c>
      <c r="H125" s="87">
        <f t="shared" si="10"/>
        <v>1.1047021657178028E-2</v>
      </c>
      <c r="I125" s="159"/>
      <c r="J125" s="159"/>
    </row>
    <row r="126" spans="1:10" s="4" customFormat="1" ht="21">
      <c r="A126" s="90" t="s">
        <v>31</v>
      </c>
      <c r="B126" s="88">
        <v>63.328899</v>
      </c>
      <c r="C126" s="88">
        <f>63.328899+14</f>
        <v>77.328899000000007</v>
      </c>
      <c r="D126" s="88">
        <f>63.328899+14</f>
        <v>77.328899000000007</v>
      </c>
      <c r="E126" s="91">
        <f t="shared" si="11"/>
        <v>14.000000000000007</v>
      </c>
      <c r="F126" s="91">
        <f>Таблица224627910121314572[[#This Row],[Столбец8]]/Таблица224627910121314572[[#This Row],[Столбец4]]*100-100</f>
        <v>22.106810983718518</v>
      </c>
      <c r="G126" s="91">
        <f>Таблица224627910121314572[[#This Row],[Столбец4]]/$B$6*100</f>
        <v>6.8359841537988242E-2</v>
      </c>
      <c r="H126" s="92">
        <f t="shared" si="10"/>
        <v>7.4366151523311289E-2</v>
      </c>
      <c r="I126" s="159"/>
      <c r="J126" s="159"/>
    </row>
    <row r="127" spans="1:10" s="4" customFormat="1" ht="21">
      <c r="A127" s="95" t="s">
        <v>35</v>
      </c>
      <c r="B127" s="94">
        <v>3.78315</v>
      </c>
      <c r="C127" s="94">
        <v>3.78315</v>
      </c>
      <c r="D127" s="94">
        <v>3.78315</v>
      </c>
      <c r="E127" s="86">
        <f t="shared" si="11"/>
        <v>0</v>
      </c>
      <c r="F127" s="86">
        <f>Таблица224627910121314572[[#This Row],[Столбец8]]/Таблица224627910121314572[[#This Row],[Столбец4]]*100-100</f>
        <v>0</v>
      </c>
      <c r="G127" s="86">
        <f>Таблица224627910121314572[[#This Row],[Столбец4]]/$B$6*100</f>
        <v>4.0836890992600426E-3</v>
      </c>
      <c r="H127" s="87">
        <f t="shared" si="10"/>
        <v>3.6382039544545315E-3</v>
      </c>
      <c r="I127" s="159"/>
      <c r="J127" s="159"/>
    </row>
    <row r="128" spans="1:10" s="4" customFormat="1" ht="21">
      <c r="A128" s="93" t="s">
        <v>51</v>
      </c>
      <c r="B128" s="81">
        <f>SUM(B129,)</f>
        <v>3088</v>
      </c>
      <c r="C128" s="81">
        <f>SUM(C129)</f>
        <v>3780.7</v>
      </c>
      <c r="D128" s="81">
        <f>SUM(D129)</f>
        <v>4230.7</v>
      </c>
      <c r="E128" s="81">
        <f t="shared" si="11"/>
        <v>1142.6999999999998</v>
      </c>
      <c r="F128" s="81">
        <f>Таблица224627910121314572[[#This Row],[Столбец8]]/Таблица224627910121314572[[#This Row],[Столбец4]]*100-100</f>
        <v>37.004533678756474</v>
      </c>
      <c r="G128" s="81">
        <f>Таблица224627910121314572[[#This Row],[Столбец4]]/$B$6*100</f>
        <v>3.333315342641717</v>
      </c>
      <c r="H128" s="82">
        <f t="shared" si="10"/>
        <v>4.0686067087244187</v>
      </c>
      <c r="I128" s="159"/>
      <c r="J128" s="159"/>
    </row>
    <row r="129" spans="1:10" s="4" customFormat="1" ht="21">
      <c r="A129" s="95" t="s">
        <v>28</v>
      </c>
      <c r="B129" s="94">
        <v>3088</v>
      </c>
      <c r="C129" s="86">
        <f>3644.6+30+102.1-1+5</f>
        <v>3780.7</v>
      </c>
      <c r="D129" s="86">
        <f>3644.6+30+102.1-22+21-40+495</f>
        <v>4230.7</v>
      </c>
      <c r="E129" s="86">
        <f t="shared" si="11"/>
        <v>1142.6999999999998</v>
      </c>
      <c r="F129" s="86">
        <f>Таблица224627910121314572[[#This Row],[Столбец8]]/Таблица224627910121314572[[#This Row],[Столбец4]]*100-100</f>
        <v>37.004533678756474</v>
      </c>
      <c r="G129" s="86">
        <f>Таблица224627910121314572[[#This Row],[Столбец4]]/$B$6*100</f>
        <v>3.333315342641717</v>
      </c>
      <c r="H129" s="87">
        <f t="shared" si="10"/>
        <v>4.0686067087244187</v>
      </c>
      <c r="I129" s="159"/>
      <c r="J129" s="159"/>
    </row>
    <row r="130" spans="1:10" s="4" customFormat="1" ht="21">
      <c r="A130" s="85" t="s">
        <v>52</v>
      </c>
      <c r="B130" s="94">
        <v>5</v>
      </c>
      <c r="C130" s="86">
        <v>5</v>
      </c>
      <c r="D130" s="86">
        <f>5+495</f>
        <v>500</v>
      </c>
      <c r="E130" s="86">
        <f t="shared" si="11"/>
        <v>495</v>
      </c>
      <c r="F130" s="86" t="s">
        <v>11</v>
      </c>
      <c r="G130" s="86">
        <f>Таблица224627910121314572[[#This Row],[Столбец4]]/$B$6*100</f>
        <v>5.3972074848473396E-3</v>
      </c>
      <c r="H130" s="87">
        <f t="shared" si="10"/>
        <v>0.4808432066471765</v>
      </c>
      <c r="I130" s="159"/>
      <c r="J130" s="159"/>
    </row>
    <row r="131" spans="1:10" s="4" customFormat="1" ht="21">
      <c r="A131" s="96" t="s">
        <v>53</v>
      </c>
      <c r="B131" s="88">
        <v>1045</v>
      </c>
      <c r="C131" s="91">
        <f>1086.958+200</f>
        <v>1286.9580000000001</v>
      </c>
      <c r="D131" s="91">
        <f>1086.958+200</f>
        <v>1286.9580000000001</v>
      </c>
      <c r="E131" s="91">
        <f t="shared" si="11"/>
        <v>241.95800000000008</v>
      </c>
      <c r="F131" s="91">
        <f>Таблица224627910121314572[[#This Row],[Столбец8]]/Таблица224627910121314572[[#This Row],[Столбец4]]*100-100</f>
        <v>23.153875598086131</v>
      </c>
      <c r="G131" s="91">
        <f>Таблица224627910121314572[[#This Row],[Столбец4]]/$B$6*100</f>
        <v>1.128016364333094</v>
      </c>
      <c r="H131" s="92">
        <f t="shared" si="10"/>
        <v>1.2376500230804741</v>
      </c>
      <c r="I131" s="159"/>
      <c r="J131" s="159"/>
    </row>
    <row r="132" spans="1:10" s="4" customFormat="1" ht="21">
      <c r="A132" s="96" t="s">
        <v>54</v>
      </c>
      <c r="B132" s="91">
        <v>153.79</v>
      </c>
      <c r="C132" s="91">
        <v>168</v>
      </c>
      <c r="D132" s="91">
        <v>168</v>
      </c>
      <c r="E132" s="91">
        <f t="shared" si="11"/>
        <v>14.210000000000008</v>
      </c>
      <c r="F132" s="91">
        <f>Таблица224627910121314572[[#This Row],[Столбец8]]/Таблица224627910121314572[[#This Row],[Столбец4]]*100-100</f>
        <v>9.2398725534820159</v>
      </c>
      <c r="G132" s="91">
        <f>Таблица224627910121314572[[#This Row],[Столбец4]]/$B$6*100</f>
        <v>0.16600730781893447</v>
      </c>
      <c r="H132" s="92">
        <f t="shared" si="10"/>
        <v>0.16156331743345129</v>
      </c>
      <c r="I132" s="159"/>
      <c r="J132" s="159"/>
    </row>
    <row r="133" spans="1:10" s="4" customFormat="1" ht="21">
      <c r="A133" s="96" t="s">
        <v>55</v>
      </c>
      <c r="B133" s="91">
        <f>B134+B135</f>
        <v>901.13</v>
      </c>
      <c r="C133" s="91">
        <f t="shared" ref="C133" si="18">C134+C135</f>
        <v>1168.961</v>
      </c>
      <c r="D133" s="91">
        <f>D134+D135</f>
        <v>1169.761</v>
      </c>
      <c r="E133" s="91">
        <f t="shared" si="11"/>
        <v>268.63099999999997</v>
      </c>
      <c r="F133" s="91">
        <f>Таблица224627910121314572[[#This Row],[Столбец8]]/Таблица224627910121314572[[#This Row],[Столбец4]]*100-100</f>
        <v>29.810460199971146</v>
      </c>
      <c r="G133" s="91">
        <f>Таблица224627910121314572[[#This Row],[Столбец4]]/$B$6*100</f>
        <v>0.97271711616409673</v>
      </c>
      <c r="H133" s="92">
        <f t="shared" si="10"/>
        <v>1.1249432605016156</v>
      </c>
      <c r="I133" s="159"/>
      <c r="J133" s="159"/>
    </row>
    <row r="134" spans="1:10" s="4" customFormat="1" ht="21">
      <c r="A134" s="96" t="s">
        <v>56</v>
      </c>
      <c r="B134" s="91">
        <v>40.03</v>
      </c>
      <c r="C134" s="91">
        <v>109</v>
      </c>
      <c r="D134" s="91">
        <v>109.8</v>
      </c>
      <c r="E134" s="91">
        <f t="shared" si="11"/>
        <v>69.77</v>
      </c>
      <c r="F134" s="91">
        <f>Таблица224627910121314572[[#This Row],[Столбец8]]/Таблица224627910121314572[[#This Row],[Столбец4]]*100-100</f>
        <v>174.29427929053207</v>
      </c>
      <c r="G134" s="91">
        <f>Таблица224627910121314572[[#This Row],[Столбец4]]/$B$6*100</f>
        <v>4.3210043123687807E-2</v>
      </c>
      <c r="H134" s="92">
        <f t="shared" si="10"/>
        <v>0.10559316817971996</v>
      </c>
      <c r="I134" s="159"/>
      <c r="J134" s="159"/>
    </row>
    <row r="135" spans="1:10" s="4" customFormat="1" ht="21">
      <c r="A135" s="96" t="s">
        <v>57</v>
      </c>
      <c r="B135" s="91">
        <v>861.1</v>
      </c>
      <c r="C135" s="91">
        <v>1059.961</v>
      </c>
      <c r="D135" s="91">
        <v>1059.961</v>
      </c>
      <c r="E135" s="91">
        <f t="shared" si="11"/>
        <v>198.86099999999999</v>
      </c>
      <c r="F135" s="91">
        <f>Таблица224627910121314572[[#This Row],[Столбец8]]/Таблица224627910121314572[[#This Row],[Столбец4]]*100-100</f>
        <v>23.093833468818943</v>
      </c>
      <c r="G135" s="91">
        <f>Таблица224627910121314572[[#This Row],[Столбец4]]/$B$6*100</f>
        <v>0.92950707304040892</v>
      </c>
      <c r="H135" s="92">
        <f t="shared" si="10"/>
        <v>1.0193500923218957</v>
      </c>
      <c r="I135" s="159"/>
      <c r="J135" s="159"/>
    </row>
    <row r="136" spans="1:10" s="6" customFormat="1" ht="21">
      <c r="A136" s="97" t="s">
        <v>58</v>
      </c>
      <c r="B136" s="98">
        <f>B12-B24</f>
        <v>-463.16144299999723</v>
      </c>
      <c r="C136" s="98">
        <f>C12-C24</f>
        <v>-247.50766900000235</v>
      </c>
      <c r="D136" s="98">
        <f>D12-D24</f>
        <v>-552.8269309999996</v>
      </c>
      <c r="E136" s="98">
        <f t="shared" si="11"/>
        <v>-89.66548800000237</v>
      </c>
      <c r="F136" s="98">
        <f>Таблица224627910121314572[[#This Row],[Столбец8]]/Таблица224627910121314572[[#This Row],[Столбец4]]*100-100</f>
        <v>19.359445686847238</v>
      </c>
      <c r="G136" s="98">
        <f>Таблица224627910121314572[[#This Row],[Столбец4]]/$B$6*100</f>
        <v>-0.49995568137045593</v>
      </c>
      <c r="H136" s="99">
        <f>D136/$D$6*100</f>
        <v>-0.5316461484459144</v>
      </c>
      <c r="I136" s="161"/>
      <c r="J136" s="161"/>
    </row>
    <row r="137" spans="1:10" ht="22.5" hidden="1">
      <c r="A137" s="64"/>
      <c r="B137" s="156"/>
      <c r="C137" s="60"/>
      <c r="D137" s="60">
        <f>D6*0.5%</f>
        <v>519.91999999999996</v>
      </c>
      <c r="E137" s="65"/>
      <c r="F137" s="66"/>
      <c r="G137" s="67"/>
      <c r="H137" s="68"/>
      <c r="I137"/>
      <c r="J137"/>
    </row>
    <row r="138" spans="1:10" ht="42" hidden="1">
      <c r="A138" s="36" t="s">
        <v>59</v>
      </c>
      <c r="B138" s="44">
        <f>B136-B140-B142</f>
        <v>-1104.1614429999972</v>
      </c>
      <c r="C138" s="44">
        <f t="shared" ref="C138:D138" si="19">C136-C140-C142</f>
        <v>-1451.9076690000024</v>
      </c>
      <c r="D138" s="44">
        <f t="shared" si="19"/>
        <v>-1757.2269309999997</v>
      </c>
      <c r="E138" s="44">
        <f>D138-B138</f>
        <v>-653.06548800000246</v>
      </c>
      <c r="F138" s="37"/>
      <c r="G138" s="37"/>
      <c r="H138" s="37"/>
    </row>
    <row r="139" spans="1:10" ht="13.5" hidden="1" customHeight="1">
      <c r="B139" s="45"/>
      <c r="C139" s="46"/>
      <c r="D139" s="47"/>
      <c r="E139" s="48"/>
    </row>
    <row r="140" spans="1:10" ht="18.95" hidden="1" customHeight="1">
      <c r="A140" s="38" t="s">
        <v>60</v>
      </c>
      <c r="B140" s="49">
        <v>442</v>
      </c>
      <c r="C140" s="50">
        <v>884</v>
      </c>
      <c r="D140" s="50">
        <v>884</v>
      </c>
      <c r="E140" s="44">
        <f>D140-B140</f>
        <v>442</v>
      </c>
      <c r="F140" s="37"/>
      <c r="G140" s="37"/>
      <c r="H140" s="37"/>
    </row>
    <row r="141" spans="1:10" ht="13.5" hidden="1" customHeight="1">
      <c r="A141" s="39"/>
      <c r="B141" s="51"/>
      <c r="C141" s="52"/>
      <c r="D141" s="51"/>
      <c r="E141" s="53"/>
    </row>
    <row r="142" spans="1:10" ht="22.5" hidden="1">
      <c r="A142" s="38" t="s">
        <v>61</v>
      </c>
      <c r="B142" s="49">
        <v>199</v>
      </c>
      <c r="C142" s="49">
        <v>320.39999999999998</v>
      </c>
      <c r="D142" s="49">
        <v>320.39999999999998</v>
      </c>
      <c r="E142" s="44">
        <f>D142-B142</f>
        <v>121.39999999999998</v>
      </c>
      <c r="F142" s="37"/>
      <c r="G142" s="37"/>
      <c r="H142" s="37"/>
    </row>
    <row r="143" spans="1:10" ht="22.5" hidden="1">
      <c r="A143" s="40"/>
      <c r="B143" s="54"/>
      <c r="C143" s="55"/>
      <c r="D143" s="55"/>
      <c r="E143" s="55"/>
    </row>
    <row r="144" spans="1:10" ht="22.5" hidden="1">
      <c r="A144" s="41"/>
      <c r="B144" s="56">
        <f>B12-B22</f>
        <v>25305.604319999999</v>
      </c>
      <c r="C144" s="56">
        <f t="shared" ref="C144:E144" si="20">C12-C22</f>
        <v>27257.162150000004</v>
      </c>
      <c r="D144" s="56">
        <f t="shared" si="20"/>
        <v>28300.873149999999</v>
      </c>
      <c r="E144" s="56">
        <f t="shared" si="20"/>
        <v>2995.2688299999982</v>
      </c>
    </row>
    <row r="145" spans="1:8" ht="22.5" hidden="1">
      <c r="B145" s="57">
        <f>B24-B131</f>
        <v>27063.956545999998</v>
      </c>
      <c r="C145" s="57">
        <f t="shared" ref="C145:E145" si="21">C24-C131-C132</f>
        <v>29050.367819000006</v>
      </c>
      <c r="D145" s="57">
        <f t="shared" si="21"/>
        <v>30399.398080999999</v>
      </c>
      <c r="E145" s="57">
        <f t="shared" si="21"/>
        <v>3489.2315350000003</v>
      </c>
    </row>
    <row r="146" spans="1:8" ht="42" hidden="1">
      <c r="A146" s="36" t="s">
        <v>62</v>
      </c>
      <c r="B146" s="58">
        <f>B144-B145</f>
        <v>-1758.3522259999991</v>
      </c>
      <c r="C146" s="58">
        <f t="shared" ref="C146" si="22">C144-C145</f>
        <v>-1793.2056690000027</v>
      </c>
      <c r="D146" s="58">
        <f>D144-D145</f>
        <v>-2098.5249309999999</v>
      </c>
      <c r="E146" s="58">
        <f>D146-B146</f>
        <v>-340.17270500000086</v>
      </c>
      <c r="F146" s="37"/>
      <c r="G146" s="37"/>
      <c r="H146" s="37"/>
    </row>
    <row r="147" spans="1:8" ht="22.5" hidden="1">
      <c r="A147" s="42" t="s">
        <v>63</v>
      </c>
      <c r="B147" s="59">
        <f>B146*100/B6</f>
        <v>-1.8980383590330354</v>
      </c>
      <c r="C147" s="59">
        <f t="shared" ref="C147:D147" si="23">C146*100/C6</f>
        <v>-1.7248332778654176</v>
      </c>
      <c r="D147" s="59">
        <f t="shared" si="23"/>
        <v>-2.0181229141021695</v>
      </c>
      <c r="E147" s="59"/>
    </row>
    <row r="148" spans="1:8" ht="22.5" hidden="1">
      <c r="B148" s="45"/>
      <c r="C148" s="46"/>
      <c r="D148" s="60"/>
      <c r="E148" s="48"/>
    </row>
    <row r="149" spans="1:8" ht="22.5" hidden="1">
      <c r="A149" s="43" t="s">
        <v>64</v>
      </c>
      <c r="B149" s="153" t="s">
        <v>65</v>
      </c>
      <c r="C149" s="153"/>
      <c r="D149" s="153"/>
      <c r="E149" s="153"/>
    </row>
    <row r="150" spans="1:8" ht="22.5" hidden="1">
      <c r="B150" s="45"/>
      <c r="C150" s="46"/>
      <c r="D150" s="62">
        <f>D136+Таблица224627910121314572[[#Totals],[Столбец8]]</f>
        <v>-32.906930999999645</v>
      </c>
      <c r="E150" s="61"/>
    </row>
    <row r="151" spans="1:8" hidden="1"/>
    <row r="152" spans="1:8">
      <c r="D152" s="2">
        <v>-519</v>
      </c>
    </row>
    <row r="153" spans="1:8">
      <c r="D153" s="120">
        <f>D136-D152</f>
        <v>-33.826930999999604</v>
      </c>
    </row>
  </sheetData>
  <mergeCells count="3">
    <mergeCell ref="F1:G1"/>
    <mergeCell ref="A3:H3"/>
    <mergeCell ref="B149:E149"/>
  </mergeCells>
  <pageMargins left="0.39" right="0.27559055118110237" top="0.39" bottom="0.67" header="0.31496062992125984" footer="0.31496062992125984"/>
  <pageSetup paperSize="9" scale="85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0F47E6-51C9-405D-99C5-B9EC46BED2EC}"/>
</file>

<file path=customXml/itemProps2.xml><?xml version="1.0" encoding="utf-8"?>
<ds:datastoreItem xmlns:ds="http://schemas.openxmlformats.org/officeDocument/2006/customXml" ds:itemID="{3C8C0085-8B78-44E0-A0EF-8644C4A594AD}"/>
</file>

<file path=customXml/itemProps3.xml><?xml version="1.0" encoding="utf-8"?>
<ds:datastoreItem xmlns:ds="http://schemas.openxmlformats.org/officeDocument/2006/customXml" ds:itemID="{8C84AC60-2513-4DEC-8E5D-8582638C93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MinFin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Acronis</dc:creator>
  <cp:keywords/>
  <dc:description/>
  <cp:lastModifiedBy>Julio Cesar Mieses Ramirez</cp:lastModifiedBy>
  <cp:revision/>
  <dcterms:created xsi:type="dcterms:W3CDTF">2011-08-20T05:54:07Z</dcterms:created>
  <dcterms:modified xsi:type="dcterms:W3CDTF">2023-04-24T21:13:15Z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  <property fmtid="{D5CDD505-2E9C-101B-9397-08002B2CF9AE}" pid="3" name="MediaServiceImageTags">
    <vt:lpwstr/>
  </property>
</Properties>
</file>