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ilion 23\Desktop\Suivi exécution LF\2021\"/>
    </mc:Choice>
  </mc:AlternateContent>
  <xr:revisionPtr revIDLastSave="0" documentId="13_ncr:1_{A41AF623-08F3-412A-B529-C64E0C186CB0}" xr6:coauthVersionLast="47" xr6:coauthVersionMax="47" xr10:uidLastSave="{00000000-0000-0000-0000-000000000000}"/>
  <workbookProtection workbookAlgorithmName="SHA-512" workbookHashValue="vJnEExmQI2wliSAfIwPy7s4iUir/+zBLsMiqaguTuviPjyR5OGdmO7d7M/dUjK7X1jLhgbXhqZou9mwqEBT16w==" workbookSaltValue="xbde3rlFuZDgOBbmac4vtQ==" workbookSpinCount="100000" lockStructure="1"/>
  <bookViews>
    <workbookView xWindow="-120" yWindow="-120" windowWidth="29040" windowHeight="15840" tabRatio="6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6" i="1" l="1"/>
  <c r="U136" i="1"/>
  <c r="AB119" i="1"/>
  <c r="Y90" i="1"/>
  <c r="AC69" i="1"/>
  <c r="AC70" i="1"/>
  <c r="BD144" i="1" l="1"/>
  <c r="AL144" i="1"/>
  <c r="AT68" i="1"/>
  <c r="AT69" i="1"/>
  <c r="BC69" i="1"/>
  <c r="BC68" i="1"/>
  <c r="BC70" i="1"/>
  <c r="BC67" i="1"/>
  <c r="BA66" i="1"/>
  <c r="BB66" i="1"/>
  <c r="AS66" i="1"/>
  <c r="AR66" i="1"/>
  <c r="AQ66" i="1"/>
  <c r="AT70" i="1"/>
  <c r="AY70" i="1"/>
  <c r="BD70" i="1" s="1"/>
  <c r="AY69" i="1"/>
  <c r="BD69" i="1" s="1"/>
  <c r="AY68" i="1"/>
  <c r="AY67" i="1"/>
  <c r="AP70" i="1"/>
  <c r="AP69" i="1"/>
  <c r="AP68" i="1"/>
  <c r="AP67" i="1"/>
  <c r="AU70" i="1" l="1"/>
  <c r="AU69" i="1"/>
  <c r="BC66" i="1"/>
  <c r="AG63" i="1"/>
  <c r="AG64" i="1"/>
  <c r="AG65" i="1"/>
  <c r="AG67" i="1"/>
  <c r="AG68" i="1"/>
  <c r="AG69" i="1"/>
  <c r="AG70" i="1"/>
  <c r="AK70" i="1"/>
  <c r="AE66" i="1"/>
  <c r="AF66" i="1"/>
  <c r="AD66" i="1"/>
  <c r="AG66" i="1" l="1"/>
  <c r="AI66" i="1"/>
  <c r="AL145" i="1"/>
  <c r="AL124" i="1"/>
  <c r="AL142" i="1"/>
  <c r="AL42" i="1"/>
  <c r="AL98" i="1"/>
  <c r="AL99" i="1"/>
  <c r="AL122" i="1"/>
  <c r="BC18" i="1"/>
  <c r="BC20" i="1"/>
  <c r="AG113" i="1"/>
  <c r="AG112" i="1"/>
  <c r="AG111" i="1"/>
  <c r="AG110" i="1"/>
  <c r="BC86" i="1"/>
  <c r="AY38" i="1" l="1"/>
  <c r="AY37" i="1"/>
  <c r="AY36" i="1"/>
  <c r="AY35" i="1"/>
  <c r="AP38" i="1"/>
  <c r="AP37" i="1"/>
  <c r="AP36" i="1"/>
  <c r="AP35" i="1"/>
  <c r="AK140" i="1" l="1"/>
  <c r="AY140" i="1"/>
  <c r="AY33" i="1" l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Y121" i="1"/>
  <c r="AY120" i="1"/>
  <c r="AY119" i="1"/>
  <c r="BB118" i="1"/>
  <c r="BA118" i="1"/>
  <c r="AZ118" i="1"/>
  <c r="AX118" i="1"/>
  <c r="AW118" i="1"/>
  <c r="AV118" i="1"/>
  <c r="AY117" i="1"/>
  <c r="AY114" i="1" s="1"/>
  <c r="AY116" i="1"/>
  <c r="AY115" i="1"/>
  <c r="BB114" i="1"/>
  <c r="BA114" i="1"/>
  <c r="AZ114" i="1"/>
  <c r="AX114" i="1"/>
  <c r="AW114" i="1"/>
  <c r="AV114" i="1"/>
  <c r="AY113" i="1"/>
  <c r="AY112" i="1"/>
  <c r="AY111" i="1"/>
  <c r="AY110" i="1"/>
  <c r="BB109" i="1"/>
  <c r="BA109" i="1"/>
  <c r="AZ109" i="1"/>
  <c r="AX109" i="1"/>
  <c r="AW109" i="1"/>
  <c r="AV109" i="1"/>
  <c r="AY108" i="1"/>
  <c r="AY107" i="1"/>
  <c r="AY106" i="1"/>
  <c r="BB105" i="1"/>
  <c r="BA105" i="1"/>
  <c r="AZ105" i="1"/>
  <c r="AX105" i="1"/>
  <c r="AW105" i="1"/>
  <c r="AV105" i="1"/>
  <c r="AY104" i="1"/>
  <c r="AY103" i="1"/>
  <c r="AY102" i="1"/>
  <c r="AY101" i="1"/>
  <c r="BB100" i="1"/>
  <c r="BA100" i="1"/>
  <c r="AZ100" i="1"/>
  <c r="AX100" i="1"/>
  <c r="AW100" i="1"/>
  <c r="AV100" i="1"/>
  <c r="AY97" i="1"/>
  <c r="AY96" i="1"/>
  <c r="AY95" i="1"/>
  <c r="BB94" i="1"/>
  <c r="BA94" i="1"/>
  <c r="AZ94" i="1"/>
  <c r="AX94" i="1"/>
  <c r="AW94" i="1"/>
  <c r="AV94" i="1"/>
  <c r="AY93" i="1"/>
  <c r="AY92" i="1"/>
  <c r="AY91" i="1"/>
  <c r="AY90" i="1"/>
  <c r="AY89" i="1"/>
  <c r="BB88" i="1"/>
  <c r="BA88" i="1"/>
  <c r="AZ88" i="1"/>
  <c r="AX88" i="1"/>
  <c r="AW88" i="1"/>
  <c r="AV88" i="1"/>
  <c r="AY87" i="1"/>
  <c r="BB85" i="1"/>
  <c r="BA85" i="1"/>
  <c r="AZ85" i="1"/>
  <c r="AX85" i="1"/>
  <c r="AW85" i="1"/>
  <c r="AV85" i="1"/>
  <c r="AY84" i="1"/>
  <c r="AY83" i="1"/>
  <c r="AY82" i="1"/>
  <c r="AY81" i="1"/>
  <c r="BB80" i="1"/>
  <c r="BA80" i="1"/>
  <c r="AZ80" i="1"/>
  <c r="AX80" i="1"/>
  <c r="AW80" i="1"/>
  <c r="AV80" i="1"/>
  <c r="AY79" i="1"/>
  <c r="AY78" i="1"/>
  <c r="AY77" i="1"/>
  <c r="AY76" i="1"/>
  <c r="AY75" i="1"/>
  <c r="BB74" i="1"/>
  <c r="BA74" i="1"/>
  <c r="AZ74" i="1"/>
  <c r="AX74" i="1"/>
  <c r="AW74" i="1"/>
  <c r="AV74" i="1"/>
  <c r="AY73" i="1"/>
  <c r="AY72" i="1"/>
  <c r="BA71" i="1"/>
  <c r="AZ71" i="1"/>
  <c r="AX71" i="1"/>
  <c r="AW71" i="1"/>
  <c r="AV71" i="1"/>
  <c r="AZ66" i="1"/>
  <c r="AX66" i="1"/>
  <c r="AW66" i="1"/>
  <c r="AV66" i="1"/>
  <c r="AY65" i="1"/>
  <c r="AY64" i="1"/>
  <c r="AY63" i="1"/>
  <c r="BB62" i="1"/>
  <c r="BA62" i="1"/>
  <c r="AZ62" i="1"/>
  <c r="AX62" i="1"/>
  <c r="AW62" i="1"/>
  <c r="AV62" i="1"/>
  <c r="AY61" i="1"/>
  <c r="AY60" i="1"/>
  <c r="AY59" i="1"/>
  <c r="AY58" i="1"/>
  <c r="AP121" i="1"/>
  <c r="AP120" i="1"/>
  <c r="AP119" i="1"/>
  <c r="AS118" i="1"/>
  <c r="AR118" i="1"/>
  <c r="AQ118" i="1"/>
  <c r="AO118" i="1"/>
  <c r="AN118" i="1"/>
  <c r="AM118" i="1"/>
  <c r="AP117" i="1"/>
  <c r="AP116" i="1"/>
  <c r="AP115" i="1"/>
  <c r="AP114" i="1" s="1"/>
  <c r="AS114" i="1"/>
  <c r="AR114" i="1"/>
  <c r="AQ114" i="1"/>
  <c r="AO114" i="1"/>
  <c r="AN114" i="1"/>
  <c r="AM114" i="1"/>
  <c r="AP113" i="1"/>
  <c r="AP112" i="1"/>
  <c r="AP111" i="1"/>
  <c r="AP110" i="1"/>
  <c r="AS109" i="1"/>
  <c r="AR109" i="1"/>
  <c r="AQ109" i="1"/>
  <c r="AO109" i="1"/>
  <c r="AN109" i="1"/>
  <c r="AM109" i="1"/>
  <c r="AP108" i="1"/>
  <c r="AP107" i="1"/>
  <c r="AP106" i="1"/>
  <c r="AP105" i="1" s="1"/>
  <c r="AS105" i="1"/>
  <c r="AR105" i="1"/>
  <c r="AQ105" i="1"/>
  <c r="AO105" i="1"/>
  <c r="AN105" i="1"/>
  <c r="AM105" i="1"/>
  <c r="AP104" i="1"/>
  <c r="AP103" i="1"/>
  <c r="AP102" i="1"/>
  <c r="AP101" i="1"/>
  <c r="AS100" i="1"/>
  <c r="AR100" i="1"/>
  <c r="AQ100" i="1"/>
  <c r="AO100" i="1"/>
  <c r="AN100" i="1"/>
  <c r="AM100" i="1"/>
  <c r="AP97" i="1"/>
  <c r="AP96" i="1"/>
  <c r="AP95" i="1"/>
  <c r="AS94" i="1"/>
  <c r="AR94" i="1"/>
  <c r="AQ94" i="1"/>
  <c r="AO94" i="1"/>
  <c r="AN94" i="1"/>
  <c r="AM94" i="1"/>
  <c r="AP93" i="1"/>
  <c r="AP92" i="1"/>
  <c r="AP91" i="1"/>
  <c r="AP90" i="1"/>
  <c r="AP89" i="1"/>
  <c r="AS88" i="1"/>
  <c r="AR88" i="1"/>
  <c r="AQ88" i="1"/>
  <c r="AO88" i="1"/>
  <c r="AN88" i="1"/>
  <c r="AM88" i="1"/>
  <c r="AP87" i="1"/>
  <c r="AP86" i="1"/>
  <c r="AS85" i="1"/>
  <c r="AR85" i="1"/>
  <c r="AQ85" i="1"/>
  <c r="AP85" i="1"/>
  <c r="AO85" i="1"/>
  <c r="AN85" i="1"/>
  <c r="AM85" i="1"/>
  <c r="AP84" i="1"/>
  <c r="AP83" i="1"/>
  <c r="AP82" i="1"/>
  <c r="AP81" i="1"/>
  <c r="AS80" i="1"/>
  <c r="AR80" i="1"/>
  <c r="AQ80" i="1"/>
  <c r="AO80" i="1"/>
  <c r="AN80" i="1"/>
  <c r="AM80" i="1"/>
  <c r="AP79" i="1"/>
  <c r="AP78" i="1"/>
  <c r="AP77" i="1"/>
  <c r="AP76" i="1"/>
  <c r="AP75" i="1"/>
  <c r="AS74" i="1"/>
  <c r="AR74" i="1"/>
  <c r="AQ74" i="1"/>
  <c r="AO74" i="1"/>
  <c r="AN74" i="1"/>
  <c r="AM74" i="1"/>
  <c r="AP73" i="1"/>
  <c r="AP72" i="1"/>
  <c r="AR71" i="1"/>
  <c r="AQ71" i="1"/>
  <c r="AO71" i="1"/>
  <c r="AN71" i="1"/>
  <c r="AM71" i="1"/>
  <c r="AP66" i="1"/>
  <c r="AO66" i="1"/>
  <c r="AN66" i="1"/>
  <c r="AM66" i="1"/>
  <c r="AP65" i="1"/>
  <c r="AP64" i="1"/>
  <c r="AP63" i="1"/>
  <c r="AS62" i="1"/>
  <c r="AR62" i="1"/>
  <c r="AQ62" i="1"/>
  <c r="AO62" i="1"/>
  <c r="AN62" i="1"/>
  <c r="AM62" i="1"/>
  <c r="AP61" i="1"/>
  <c r="AP60" i="1"/>
  <c r="AP59" i="1"/>
  <c r="AP58" i="1"/>
  <c r="AY56" i="1"/>
  <c r="AY55" i="1"/>
  <c r="AY54" i="1"/>
  <c r="AY53" i="1"/>
  <c r="AP56" i="1"/>
  <c r="AP55" i="1"/>
  <c r="AP54" i="1"/>
  <c r="AP53" i="1"/>
  <c r="AY51" i="1"/>
  <c r="AY50" i="1"/>
  <c r="AY49" i="1"/>
  <c r="AP51" i="1"/>
  <c r="AP50" i="1"/>
  <c r="AP49" i="1"/>
  <c r="AY47" i="1"/>
  <c r="AY46" i="1"/>
  <c r="AY45" i="1"/>
  <c r="AP47" i="1"/>
  <c r="AP46" i="1"/>
  <c r="AP45" i="1"/>
  <c r="AY43" i="1"/>
  <c r="AY41" i="1"/>
  <c r="AY40" i="1"/>
  <c r="AP43" i="1"/>
  <c r="AP41" i="1"/>
  <c r="AP40" i="1"/>
  <c r="AY32" i="1"/>
  <c r="AY31" i="1"/>
  <c r="AY30" i="1"/>
  <c r="AY29" i="1"/>
  <c r="AP33" i="1"/>
  <c r="AP32" i="1"/>
  <c r="AP31" i="1"/>
  <c r="AP30" i="1"/>
  <c r="AP29" i="1"/>
  <c r="AY27" i="1"/>
  <c r="AY26" i="1"/>
  <c r="AY25" i="1"/>
  <c r="AY24" i="1"/>
  <c r="AY23" i="1"/>
  <c r="AP27" i="1"/>
  <c r="AP26" i="1"/>
  <c r="AP25" i="1"/>
  <c r="AP24" i="1"/>
  <c r="AP23" i="1"/>
  <c r="AY21" i="1"/>
  <c r="AY20" i="1"/>
  <c r="AY19" i="1"/>
  <c r="AY18" i="1"/>
  <c r="AP21" i="1"/>
  <c r="AP20" i="1"/>
  <c r="AP19" i="1"/>
  <c r="AP18" i="1"/>
  <c r="AY16" i="1"/>
  <c r="AY15" i="1"/>
  <c r="AY14" i="1"/>
  <c r="AY13" i="1"/>
  <c r="AY12" i="1"/>
  <c r="AP16" i="1"/>
  <c r="AP15" i="1"/>
  <c r="AP14" i="1"/>
  <c r="AP13" i="1"/>
  <c r="AP12" i="1"/>
  <c r="AY10" i="1"/>
  <c r="AY9" i="1"/>
  <c r="AY8" i="1"/>
  <c r="AP10" i="1"/>
  <c r="AP9" i="1"/>
  <c r="AP8" i="1"/>
  <c r="AJ66" i="1"/>
  <c r="AL70" i="1"/>
  <c r="AY118" i="1" l="1"/>
  <c r="AY105" i="1"/>
  <c r="AY85" i="1"/>
  <c r="AY88" i="1"/>
  <c r="AP80" i="1"/>
  <c r="AP109" i="1"/>
  <c r="AP118" i="1"/>
  <c r="AY66" i="1"/>
  <c r="BD66" i="1" s="1"/>
  <c r="AY71" i="1"/>
  <c r="AP74" i="1"/>
  <c r="AP94" i="1"/>
  <c r="AP100" i="1"/>
  <c r="AY74" i="1"/>
  <c r="AY62" i="1"/>
  <c r="AY80" i="1"/>
  <c r="AY109" i="1"/>
  <c r="AP62" i="1"/>
  <c r="AP71" i="1"/>
  <c r="AP88" i="1"/>
  <c r="AY94" i="1"/>
  <c r="AY100" i="1"/>
  <c r="AB68" i="1"/>
  <c r="AK67" i="1" l="1"/>
  <c r="AL67" i="1" s="1"/>
  <c r="AK68" i="1"/>
  <c r="AL68" i="1" s="1"/>
  <c r="AK69" i="1"/>
  <c r="AL69" i="1" s="1"/>
  <c r="AK66" i="1"/>
  <c r="AH66" i="1"/>
  <c r="AL66" i="1" l="1"/>
  <c r="AT141" i="1"/>
  <c r="AT140" i="1"/>
  <c r="AT139" i="1"/>
  <c r="AT138" i="1"/>
  <c r="AT137" i="1"/>
  <c r="AT136" i="1"/>
  <c r="AT133" i="1"/>
  <c r="AT132" i="1"/>
  <c r="AT131" i="1"/>
  <c r="AT130" i="1"/>
  <c r="AT129" i="1"/>
  <c r="AT128" i="1"/>
  <c r="AT127" i="1"/>
  <c r="AT126" i="1"/>
  <c r="AS125" i="1"/>
  <c r="AR125" i="1"/>
  <c r="AQ125" i="1"/>
  <c r="AO125" i="1"/>
  <c r="AT124" i="1"/>
  <c r="AT122" i="1"/>
  <c r="AT121" i="1"/>
  <c r="AT120" i="1"/>
  <c r="AT119" i="1"/>
  <c r="AT117" i="1"/>
  <c r="AT116" i="1"/>
  <c r="AT115" i="1"/>
  <c r="AT113" i="1"/>
  <c r="AT112" i="1"/>
  <c r="AT111" i="1"/>
  <c r="AT110" i="1"/>
  <c r="AT109" i="1"/>
  <c r="AT108" i="1"/>
  <c r="AT107" i="1"/>
  <c r="AT106" i="1"/>
  <c r="AT104" i="1"/>
  <c r="AT103" i="1"/>
  <c r="AT102" i="1"/>
  <c r="AT101" i="1"/>
  <c r="AT97" i="1"/>
  <c r="AT96" i="1"/>
  <c r="AT95" i="1"/>
  <c r="AT94" i="1"/>
  <c r="AT93" i="1"/>
  <c r="AT92" i="1"/>
  <c r="AT91" i="1"/>
  <c r="AT90" i="1"/>
  <c r="AT89" i="1"/>
  <c r="AT87" i="1"/>
  <c r="AT86" i="1"/>
  <c r="AT84" i="1"/>
  <c r="AT83" i="1"/>
  <c r="AT82" i="1"/>
  <c r="AT81" i="1"/>
  <c r="AT79" i="1"/>
  <c r="AT78" i="1"/>
  <c r="AT77" i="1"/>
  <c r="AT76" i="1"/>
  <c r="AT75" i="1"/>
  <c r="AT74" i="1"/>
  <c r="AT71" i="1"/>
  <c r="AT67" i="1"/>
  <c r="AT66" i="1" s="1"/>
  <c r="AU66" i="1" s="1"/>
  <c r="AT65" i="1"/>
  <c r="AT64" i="1"/>
  <c r="AT63" i="1"/>
  <c r="AT61" i="1"/>
  <c r="AT60" i="1"/>
  <c r="AQ57" i="1"/>
  <c r="AT58" i="1"/>
  <c r="AN57" i="1"/>
  <c r="AS57" i="1"/>
  <c r="AR57" i="1"/>
  <c r="AM57" i="1"/>
  <c r="AT56" i="1"/>
  <c r="AT55" i="1"/>
  <c r="AT54" i="1"/>
  <c r="AT53" i="1"/>
  <c r="AO52" i="1"/>
  <c r="AS52" i="1"/>
  <c r="AR52" i="1"/>
  <c r="AN52" i="1"/>
  <c r="AM52" i="1"/>
  <c r="AT51" i="1"/>
  <c r="AQ48" i="1"/>
  <c r="AT49" i="1"/>
  <c r="AR48" i="1"/>
  <c r="AO48" i="1"/>
  <c r="AS48" i="1"/>
  <c r="AM48" i="1"/>
  <c r="AT47" i="1"/>
  <c r="AT46" i="1"/>
  <c r="AQ44" i="1"/>
  <c r="AS44" i="1"/>
  <c r="AR44" i="1"/>
  <c r="AN44" i="1"/>
  <c r="AM44" i="1"/>
  <c r="AT43" i="1"/>
  <c r="AT41" i="1"/>
  <c r="AT40" i="1"/>
  <c r="AP39" i="1"/>
  <c r="AS39" i="1"/>
  <c r="AR39" i="1"/>
  <c r="AQ39" i="1"/>
  <c r="AO39" i="1"/>
  <c r="AN39" i="1"/>
  <c r="AM39" i="1"/>
  <c r="AT38" i="1"/>
  <c r="AT37" i="1"/>
  <c r="AT36" i="1"/>
  <c r="AT35" i="1"/>
  <c r="AS34" i="1"/>
  <c r="AR34" i="1"/>
  <c r="AO34" i="1"/>
  <c r="AN34" i="1"/>
  <c r="AM34" i="1"/>
  <c r="AT33" i="1"/>
  <c r="AT32" i="1"/>
  <c r="AT31" i="1"/>
  <c r="AT30" i="1"/>
  <c r="AT29" i="1"/>
  <c r="AP28" i="1"/>
  <c r="AS28" i="1"/>
  <c r="AR28" i="1"/>
  <c r="AQ28" i="1"/>
  <c r="AO28" i="1"/>
  <c r="AN28" i="1"/>
  <c r="AM28" i="1"/>
  <c r="AT27" i="1"/>
  <c r="AT26" i="1"/>
  <c r="AT25" i="1"/>
  <c r="AT24" i="1"/>
  <c r="AT23" i="1"/>
  <c r="AP22" i="1"/>
  <c r="AS22" i="1"/>
  <c r="AR22" i="1"/>
  <c r="AQ22" i="1"/>
  <c r="AO22" i="1"/>
  <c r="AN22" i="1"/>
  <c r="AM22" i="1"/>
  <c r="AT21" i="1"/>
  <c r="AT20" i="1"/>
  <c r="AT19" i="1"/>
  <c r="AO17" i="1"/>
  <c r="AT18" i="1"/>
  <c r="AS17" i="1"/>
  <c r="AR17" i="1"/>
  <c r="AQ17" i="1"/>
  <c r="AN17" i="1"/>
  <c r="AT16" i="1"/>
  <c r="AT15" i="1"/>
  <c r="AT14" i="1"/>
  <c r="AT13" i="1"/>
  <c r="AP11" i="1"/>
  <c r="AT12" i="1"/>
  <c r="AS11" i="1"/>
  <c r="AR11" i="1"/>
  <c r="AQ11" i="1"/>
  <c r="AO11" i="1"/>
  <c r="AN11" i="1"/>
  <c r="AM11" i="1"/>
  <c r="AT10" i="1"/>
  <c r="AT9" i="1"/>
  <c r="AT8" i="1"/>
  <c r="AK141" i="1"/>
  <c r="AL141" i="1" s="1"/>
  <c r="AG140" i="1"/>
  <c r="AL140" i="1" s="1"/>
  <c r="AK139" i="1"/>
  <c r="AF125" i="1"/>
  <c r="AK138" i="1"/>
  <c r="AG138" i="1"/>
  <c r="AK137" i="1"/>
  <c r="AG137" i="1"/>
  <c r="AL137" i="1" s="1"/>
  <c r="AK136" i="1"/>
  <c r="AG136" i="1"/>
  <c r="AK135" i="1"/>
  <c r="AG135" i="1"/>
  <c r="AL135" i="1" s="1"/>
  <c r="AK134" i="1"/>
  <c r="AG134" i="1"/>
  <c r="AL134" i="1" s="1"/>
  <c r="AK133" i="1"/>
  <c r="AG133" i="1"/>
  <c r="AL133" i="1" s="1"/>
  <c r="AK132" i="1"/>
  <c r="AG132" i="1"/>
  <c r="AL132" i="1" s="1"/>
  <c r="AK131" i="1"/>
  <c r="AG131" i="1"/>
  <c r="AL131" i="1" s="1"/>
  <c r="AK130" i="1"/>
  <c r="AG130" i="1"/>
  <c r="AL130" i="1" s="1"/>
  <c r="AK129" i="1"/>
  <c r="AG129" i="1"/>
  <c r="AL129" i="1" s="1"/>
  <c r="AK128" i="1"/>
  <c r="AG128" i="1"/>
  <c r="AL128" i="1" s="1"/>
  <c r="AK127" i="1"/>
  <c r="AG127" i="1"/>
  <c r="AL127" i="1" s="1"/>
  <c r="AK126" i="1"/>
  <c r="AG126" i="1"/>
  <c r="AL126" i="1" s="1"/>
  <c r="AJ125" i="1"/>
  <c r="AI125" i="1"/>
  <c r="AH125" i="1"/>
  <c r="AD125" i="1"/>
  <c r="AK121" i="1"/>
  <c r="AK120" i="1"/>
  <c r="AE118" i="1"/>
  <c r="AK119" i="1"/>
  <c r="AG119" i="1"/>
  <c r="AJ118" i="1"/>
  <c r="AI118" i="1"/>
  <c r="AH118" i="1"/>
  <c r="AF118" i="1"/>
  <c r="AK117" i="1"/>
  <c r="AG117" i="1"/>
  <c r="AK116" i="1"/>
  <c r="AG116" i="1"/>
  <c r="AK115" i="1"/>
  <c r="AG115" i="1"/>
  <c r="AJ114" i="1"/>
  <c r="AI114" i="1"/>
  <c r="AH114" i="1"/>
  <c r="AF114" i="1"/>
  <c r="AE114" i="1"/>
  <c r="AD114" i="1"/>
  <c r="AK113" i="1"/>
  <c r="AL113" i="1" s="1"/>
  <c r="AK112" i="1"/>
  <c r="AL112" i="1" s="1"/>
  <c r="AK111" i="1"/>
  <c r="AL111" i="1" s="1"/>
  <c r="AK110" i="1"/>
  <c r="AL110" i="1" s="1"/>
  <c r="AJ109" i="1"/>
  <c r="AI109" i="1"/>
  <c r="AH109" i="1"/>
  <c r="AF109" i="1"/>
  <c r="AE109" i="1"/>
  <c r="AD109" i="1"/>
  <c r="AK108" i="1"/>
  <c r="AG108" i="1"/>
  <c r="AK107" i="1"/>
  <c r="AG107" i="1"/>
  <c r="AK106" i="1"/>
  <c r="AG106" i="1"/>
  <c r="AJ105" i="1"/>
  <c r="AI105" i="1"/>
  <c r="AH105" i="1"/>
  <c r="AF105" i="1"/>
  <c r="AE105" i="1"/>
  <c r="AD105" i="1"/>
  <c r="AK104" i="1"/>
  <c r="AG104" i="1"/>
  <c r="AK103" i="1"/>
  <c r="AG103" i="1"/>
  <c r="AK102" i="1"/>
  <c r="AG102" i="1"/>
  <c r="AK101" i="1"/>
  <c r="AG101" i="1"/>
  <c r="AJ100" i="1"/>
  <c r="AI100" i="1"/>
  <c r="AH100" i="1"/>
  <c r="AF100" i="1"/>
  <c r="AE100" i="1"/>
  <c r="AD100" i="1"/>
  <c r="AK97" i="1"/>
  <c r="AG97" i="1"/>
  <c r="AK96" i="1"/>
  <c r="AG96" i="1"/>
  <c r="AK95" i="1"/>
  <c r="AG95" i="1"/>
  <c r="AJ94" i="1"/>
  <c r="AI94" i="1"/>
  <c r="AH94" i="1"/>
  <c r="AF94" i="1"/>
  <c r="AE94" i="1"/>
  <c r="AD94" i="1"/>
  <c r="AK93" i="1"/>
  <c r="AG93" i="1"/>
  <c r="AL93" i="1" s="1"/>
  <c r="AK92" i="1"/>
  <c r="AG92" i="1"/>
  <c r="AJ88" i="1"/>
  <c r="AG91" i="1"/>
  <c r="AK90" i="1"/>
  <c r="AG90" i="1"/>
  <c r="AK89" i="1"/>
  <c r="AG89" i="1"/>
  <c r="AL89" i="1" s="1"/>
  <c r="AI88" i="1"/>
  <c r="AF88" i="1"/>
  <c r="AD88" i="1"/>
  <c r="AK87" i="1"/>
  <c r="AG87" i="1"/>
  <c r="AL87" i="1" s="1"/>
  <c r="AK86" i="1"/>
  <c r="AG86" i="1"/>
  <c r="AL86" i="1" s="1"/>
  <c r="AJ85" i="1"/>
  <c r="AI85" i="1"/>
  <c r="AH85" i="1"/>
  <c r="AF85" i="1"/>
  <c r="AE85" i="1"/>
  <c r="AD85" i="1"/>
  <c r="AK84" i="1"/>
  <c r="AG84" i="1"/>
  <c r="AL84" i="1" s="1"/>
  <c r="AK83" i="1"/>
  <c r="AG83" i="1"/>
  <c r="AL83" i="1" s="1"/>
  <c r="AK82" i="1"/>
  <c r="AG82" i="1"/>
  <c r="AL82" i="1" s="1"/>
  <c r="AK81" i="1"/>
  <c r="AG81" i="1"/>
  <c r="AL81" i="1" s="1"/>
  <c r="AJ80" i="1"/>
  <c r="AI80" i="1"/>
  <c r="AH80" i="1"/>
  <c r="AF80" i="1"/>
  <c r="AE80" i="1"/>
  <c r="AK79" i="1"/>
  <c r="AG79" i="1"/>
  <c r="AL79" i="1" s="1"/>
  <c r="AK78" i="1"/>
  <c r="AG78" i="1"/>
  <c r="AK77" i="1"/>
  <c r="AG77" i="1"/>
  <c r="AL77" i="1" s="1"/>
  <c r="AK76" i="1"/>
  <c r="AG76" i="1"/>
  <c r="AK75" i="1"/>
  <c r="AG75" i="1"/>
  <c r="AL75" i="1" s="1"/>
  <c r="AJ74" i="1"/>
  <c r="AI74" i="1"/>
  <c r="AH74" i="1"/>
  <c r="AF74" i="1"/>
  <c r="AE74" i="1"/>
  <c r="AD74" i="1"/>
  <c r="AK73" i="1"/>
  <c r="AG73" i="1"/>
  <c r="AL73" i="1" s="1"/>
  <c r="AK72" i="1"/>
  <c r="AG72" i="1"/>
  <c r="AI71" i="1"/>
  <c r="AH71" i="1"/>
  <c r="AF71" i="1"/>
  <c r="AE71" i="1"/>
  <c r="AD71" i="1"/>
  <c r="AK65" i="1"/>
  <c r="AL65" i="1" s="1"/>
  <c r="AK64" i="1"/>
  <c r="AL64" i="1" s="1"/>
  <c r="AK63" i="1"/>
  <c r="AL63" i="1" s="1"/>
  <c r="AJ62" i="1"/>
  <c r="AI62" i="1"/>
  <c r="AF62" i="1"/>
  <c r="AD62" i="1"/>
  <c r="AK61" i="1"/>
  <c r="AG61" i="1"/>
  <c r="AL61" i="1" s="1"/>
  <c r="AK60" i="1"/>
  <c r="AL60" i="1" s="1"/>
  <c r="AG60" i="1"/>
  <c r="AK59" i="1"/>
  <c r="AG59" i="1"/>
  <c r="AK58" i="1"/>
  <c r="AF57" i="1"/>
  <c r="AG58" i="1"/>
  <c r="AJ57" i="1"/>
  <c r="AI57" i="1"/>
  <c r="AH57" i="1"/>
  <c r="AD57" i="1"/>
  <c r="AK56" i="1"/>
  <c r="AG56" i="1"/>
  <c r="AL56" i="1" s="1"/>
  <c r="AK55" i="1"/>
  <c r="AG55" i="1"/>
  <c r="AL55" i="1" s="1"/>
  <c r="AK54" i="1"/>
  <c r="AG54" i="1"/>
  <c r="AL54" i="1" s="1"/>
  <c r="AK53" i="1"/>
  <c r="AG53" i="1"/>
  <c r="AL53" i="1" s="1"/>
  <c r="AJ52" i="1"/>
  <c r="AI52" i="1"/>
  <c r="AH52" i="1"/>
  <c r="AF52" i="1"/>
  <c r="AE52" i="1"/>
  <c r="AD52" i="1"/>
  <c r="AK51" i="1"/>
  <c r="AG51" i="1"/>
  <c r="AL51" i="1" s="1"/>
  <c r="AJ48" i="1"/>
  <c r="AK50" i="1"/>
  <c r="AL50" i="1" s="1"/>
  <c r="AG50" i="1"/>
  <c r="AI48" i="1"/>
  <c r="AK49" i="1"/>
  <c r="AL49" i="1" s="1"/>
  <c r="AF48" i="1"/>
  <c r="AG49" i="1"/>
  <c r="AH48" i="1"/>
  <c r="AD48" i="1"/>
  <c r="AK47" i="1"/>
  <c r="AG47" i="1"/>
  <c r="AK46" i="1"/>
  <c r="AG46" i="1"/>
  <c r="AL46" i="1" s="1"/>
  <c r="AH44" i="1"/>
  <c r="AG45" i="1"/>
  <c r="AJ44" i="1"/>
  <c r="AI44" i="1"/>
  <c r="AF44" i="1"/>
  <c r="AE44" i="1"/>
  <c r="AD44" i="1"/>
  <c r="AK43" i="1"/>
  <c r="AG43" i="1"/>
  <c r="AL43" i="1" s="1"/>
  <c r="AK41" i="1"/>
  <c r="AG41" i="1"/>
  <c r="AK40" i="1"/>
  <c r="AG40" i="1"/>
  <c r="AJ39" i="1"/>
  <c r="AI39" i="1"/>
  <c r="AH39" i="1"/>
  <c r="AF39" i="1"/>
  <c r="AE39" i="1"/>
  <c r="AD39" i="1"/>
  <c r="AK38" i="1"/>
  <c r="AG38" i="1"/>
  <c r="AL38" i="1" s="1"/>
  <c r="AK37" i="1"/>
  <c r="AG37" i="1"/>
  <c r="AL37" i="1" s="1"/>
  <c r="AK36" i="1"/>
  <c r="AG36" i="1"/>
  <c r="AK35" i="1"/>
  <c r="AG35" i="1"/>
  <c r="AL35" i="1" s="1"/>
  <c r="AJ34" i="1"/>
  <c r="AI34" i="1"/>
  <c r="AH34" i="1"/>
  <c r="AF34" i="1"/>
  <c r="AE34" i="1"/>
  <c r="AD34" i="1"/>
  <c r="AK33" i="1"/>
  <c r="AG33" i="1"/>
  <c r="AL33" i="1" s="1"/>
  <c r="AK32" i="1"/>
  <c r="AG32" i="1"/>
  <c r="AL32" i="1" s="1"/>
  <c r="AK31" i="1"/>
  <c r="AG31" i="1"/>
  <c r="AL31" i="1" s="1"/>
  <c r="AK30" i="1"/>
  <c r="AG30" i="1"/>
  <c r="AL30" i="1" s="1"/>
  <c r="AK29" i="1"/>
  <c r="AG29" i="1"/>
  <c r="AL29" i="1" s="1"/>
  <c r="AJ28" i="1"/>
  <c r="AI28" i="1"/>
  <c r="AH28" i="1"/>
  <c r="AF28" i="1"/>
  <c r="AE28" i="1"/>
  <c r="AD28" i="1"/>
  <c r="AK27" i="1"/>
  <c r="AG27" i="1"/>
  <c r="AL27" i="1" s="1"/>
  <c r="AK26" i="1"/>
  <c r="AG26" i="1"/>
  <c r="AL26" i="1" s="1"/>
  <c r="AK25" i="1"/>
  <c r="AG25" i="1"/>
  <c r="AL25" i="1" s="1"/>
  <c r="AK24" i="1"/>
  <c r="AG24" i="1"/>
  <c r="AL24" i="1" s="1"/>
  <c r="AK23" i="1"/>
  <c r="AG23" i="1"/>
  <c r="AL23" i="1" s="1"/>
  <c r="AJ22" i="1"/>
  <c r="AI22" i="1"/>
  <c r="AH22" i="1"/>
  <c r="AF22" i="1"/>
  <c r="AE22" i="1"/>
  <c r="AD22" i="1"/>
  <c r="AK21" i="1"/>
  <c r="AG21" i="1"/>
  <c r="AL21" i="1" s="1"/>
  <c r="AK20" i="1"/>
  <c r="AG20" i="1"/>
  <c r="AL20" i="1" s="1"/>
  <c r="AK19" i="1"/>
  <c r="AG19" i="1"/>
  <c r="AL19" i="1" s="1"/>
  <c r="AK18" i="1"/>
  <c r="AG18" i="1"/>
  <c r="AL18" i="1" s="1"/>
  <c r="AJ17" i="1"/>
  <c r="AI17" i="1"/>
  <c r="AH17" i="1"/>
  <c r="AF17" i="1"/>
  <c r="AE17" i="1"/>
  <c r="AD17" i="1"/>
  <c r="AK16" i="1"/>
  <c r="AG16" i="1"/>
  <c r="AL16" i="1" s="1"/>
  <c r="AK15" i="1"/>
  <c r="AG15" i="1"/>
  <c r="AL15" i="1" s="1"/>
  <c r="AK14" i="1"/>
  <c r="AG14" i="1"/>
  <c r="AL14" i="1" s="1"/>
  <c r="AK13" i="1"/>
  <c r="AG13" i="1"/>
  <c r="AL13" i="1" s="1"/>
  <c r="AK12" i="1"/>
  <c r="AG12" i="1"/>
  <c r="AL12" i="1" s="1"/>
  <c r="AJ11" i="1"/>
  <c r="AI11" i="1"/>
  <c r="AH11" i="1"/>
  <c r="AF11" i="1"/>
  <c r="AE11" i="1"/>
  <c r="AD11" i="1"/>
  <c r="AK10" i="1"/>
  <c r="AG10" i="1"/>
  <c r="AL10" i="1" s="1"/>
  <c r="AK9" i="1"/>
  <c r="AG9" i="1"/>
  <c r="AL9" i="1" s="1"/>
  <c r="AK8" i="1"/>
  <c r="AG8" i="1"/>
  <c r="AL8" i="1" s="1"/>
  <c r="AB141" i="1"/>
  <c r="AB140" i="1"/>
  <c r="X140" i="1"/>
  <c r="AB139" i="1"/>
  <c r="W125" i="1"/>
  <c r="AB138" i="1"/>
  <c r="X138" i="1"/>
  <c r="AB137" i="1"/>
  <c r="X137" i="1"/>
  <c r="AB136" i="1"/>
  <c r="AB135" i="1"/>
  <c r="X135" i="1"/>
  <c r="AB134" i="1"/>
  <c r="X134" i="1"/>
  <c r="AC134" i="1" s="1"/>
  <c r="AB133" i="1"/>
  <c r="X133" i="1"/>
  <c r="AB132" i="1"/>
  <c r="V132" i="1"/>
  <c r="X132" i="1" s="1"/>
  <c r="AB131" i="1"/>
  <c r="X131" i="1"/>
  <c r="AB130" i="1"/>
  <c r="X130" i="1"/>
  <c r="AB129" i="1"/>
  <c r="X129" i="1"/>
  <c r="AB128" i="1"/>
  <c r="X128" i="1"/>
  <c r="AB127" i="1"/>
  <c r="X127" i="1"/>
  <c r="AB126" i="1"/>
  <c r="X126" i="1"/>
  <c r="AA125" i="1"/>
  <c r="Z125" i="1"/>
  <c r="Y125" i="1"/>
  <c r="AB121" i="1"/>
  <c r="V121" i="1"/>
  <c r="Y118" i="1"/>
  <c r="U120" i="1"/>
  <c r="X119" i="1"/>
  <c r="AC119" i="1" s="1"/>
  <c r="W119" i="1"/>
  <c r="W118" i="1" s="1"/>
  <c r="AA118" i="1"/>
  <c r="Z118" i="1"/>
  <c r="AB117" i="1"/>
  <c r="X117" i="1"/>
  <c r="AB116" i="1"/>
  <c r="X116" i="1"/>
  <c r="AB115" i="1"/>
  <c r="X115" i="1"/>
  <c r="AA114" i="1"/>
  <c r="Z114" i="1"/>
  <c r="Y114" i="1"/>
  <c r="W114" i="1"/>
  <c r="V114" i="1"/>
  <c r="U114" i="1"/>
  <c r="AB113" i="1"/>
  <c r="X113" i="1"/>
  <c r="AB112" i="1"/>
  <c r="X112" i="1"/>
  <c r="AB111" i="1"/>
  <c r="X111" i="1"/>
  <c r="AB110" i="1"/>
  <c r="X110" i="1"/>
  <c r="AA109" i="1"/>
  <c r="Z109" i="1"/>
  <c r="Y109" i="1"/>
  <c r="W109" i="1"/>
  <c r="V109" i="1"/>
  <c r="U109" i="1"/>
  <c r="AB108" i="1"/>
  <c r="X108" i="1"/>
  <c r="AB107" i="1"/>
  <c r="X107" i="1"/>
  <c r="AB106" i="1"/>
  <c r="X106" i="1"/>
  <c r="AA105" i="1"/>
  <c r="Z105" i="1"/>
  <c r="Y105" i="1"/>
  <c r="W105" i="1"/>
  <c r="V105" i="1"/>
  <c r="U105" i="1"/>
  <c r="AB104" i="1"/>
  <c r="X104" i="1"/>
  <c r="AB103" i="1"/>
  <c r="X103" i="1"/>
  <c r="AB102" i="1"/>
  <c r="X102" i="1"/>
  <c r="AB101" i="1"/>
  <c r="X101" i="1"/>
  <c r="AA100" i="1"/>
  <c r="Z100" i="1"/>
  <c r="Y100" i="1"/>
  <c r="W100" i="1"/>
  <c r="V100" i="1"/>
  <c r="U100" i="1"/>
  <c r="AB98" i="1"/>
  <c r="X98" i="1"/>
  <c r="AB97" i="1"/>
  <c r="X97" i="1"/>
  <c r="AB96" i="1"/>
  <c r="X96" i="1"/>
  <c r="AB95" i="1"/>
  <c r="X95" i="1"/>
  <c r="AA94" i="1"/>
  <c r="Z94" i="1"/>
  <c r="Y94" i="1"/>
  <c r="W94" i="1"/>
  <c r="V94" i="1"/>
  <c r="U94" i="1"/>
  <c r="AB93" i="1"/>
  <c r="X93" i="1"/>
  <c r="AB92" i="1"/>
  <c r="X92" i="1"/>
  <c r="AA91" i="1"/>
  <c r="AB91" i="1" s="1"/>
  <c r="X91" i="1"/>
  <c r="AA90" i="1"/>
  <c r="X90" i="1"/>
  <c r="AB89" i="1"/>
  <c r="X89" i="1"/>
  <c r="Z88" i="1"/>
  <c r="W88" i="1"/>
  <c r="V88" i="1"/>
  <c r="U88" i="1"/>
  <c r="AB87" i="1"/>
  <c r="X87" i="1"/>
  <c r="AB86" i="1"/>
  <c r="X86" i="1"/>
  <c r="AA85" i="1"/>
  <c r="Z85" i="1"/>
  <c r="Y85" i="1"/>
  <c r="W85" i="1"/>
  <c r="V85" i="1"/>
  <c r="U85" i="1"/>
  <c r="AB84" i="1"/>
  <c r="X84" i="1"/>
  <c r="AB83" i="1"/>
  <c r="X83" i="1"/>
  <c r="AB82" i="1"/>
  <c r="X82" i="1"/>
  <c r="AB81" i="1"/>
  <c r="W81" i="1"/>
  <c r="W80" i="1" s="1"/>
  <c r="AA80" i="1"/>
  <c r="Z80" i="1"/>
  <c r="Y80" i="1"/>
  <c r="U80" i="1"/>
  <c r="AB79" i="1"/>
  <c r="X79" i="1"/>
  <c r="AB78" i="1"/>
  <c r="X78" i="1"/>
  <c r="AB77" i="1"/>
  <c r="X77" i="1"/>
  <c r="AB76" i="1"/>
  <c r="X76" i="1"/>
  <c r="AB75" i="1"/>
  <c r="X75" i="1"/>
  <c r="AA74" i="1"/>
  <c r="Z74" i="1"/>
  <c r="Y74" i="1"/>
  <c r="W74" i="1"/>
  <c r="V74" i="1"/>
  <c r="U74" i="1"/>
  <c r="AB73" i="1"/>
  <c r="W71" i="1"/>
  <c r="U73" i="1"/>
  <c r="AB72" i="1"/>
  <c r="X72" i="1"/>
  <c r="AC72" i="1" s="1"/>
  <c r="AA71" i="1"/>
  <c r="Z71" i="1"/>
  <c r="Y71" i="1"/>
  <c r="V71" i="1"/>
  <c r="X68" i="1"/>
  <c r="AB67" i="1"/>
  <c r="X67" i="1"/>
  <c r="AA66" i="1"/>
  <c r="Z66" i="1"/>
  <c r="Y66" i="1"/>
  <c r="W66" i="1"/>
  <c r="V66" i="1"/>
  <c r="U66" i="1"/>
  <c r="AB65" i="1"/>
  <c r="X65" i="1"/>
  <c r="AB64" i="1"/>
  <c r="X64" i="1"/>
  <c r="AB63" i="1"/>
  <c r="X63" i="1"/>
  <c r="AA62" i="1"/>
  <c r="Z62" i="1"/>
  <c r="Y62" i="1"/>
  <c r="W62" i="1"/>
  <c r="V62" i="1"/>
  <c r="U62" i="1"/>
  <c r="AB61" i="1"/>
  <c r="X61" i="1"/>
  <c r="AB60" i="1"/>
  <c r="W60" i="1"/>
  <c r="X60" i="1" s="1"/>
  <c r="AB59" i="1"/>
  <c r="X59" i="1"/>
  <c r="AB58" i="1"/>
  <c r="V58" i="1"/>
  <c r="X58" i="1" s="1"/>
  <c r="AA57" i="1"/>
  <c r="Z57" i="1"/>
  <c r="Y57" i="1"/>
  <c r="V57" i="1"/>
  <c r="U57" i="1"/>
  <c r="AB56" i="1"/>
  <c r="X56" i="1"/>
  <c r="AB55" i="1"/>
  <c r="X55" i="1"/>
  <c r="AB54" i="1"/>
  <c r="X54" i="1"/>
  <c r="AB53" i="1"/>
  <c r="X53" i="1"/>
  <c r="AA52" i="1"/>
  <c r="Z52" i="1"/>
  <c r="Y52" i="1"/>
  <c r="W52" i="1"/>
  <c r="V52" i="1"/>
  <c r="U52" i="1"/>
  <c r="AB51" i="1"/>
  <c r="X51" i="1"/>
  <c r="AA48" i="1"/>
  <c r="Z50" i="1"/>
  <c r="AB50" i="1" s="1"/>
  <c r="X50" i="1"/>
  <c r="Z49" i="1"/>
  <c r="AB49" i="1" s="1"/>
  <c r="W49" i="1"/>
  <c r="W48" i="1" s="1"/>
  <c r="U48" i="1"/>
  <c r="AB47" i="1"/>
  <c r="X47" i="1"/>
  <c r="AB46" i="1"/>
  <c r="X46" i="1"/>
  <c r="AB45" i="1"/>
  <c r="X45" i="1"/>
  <c r="AA44" i="1"/>
  <c r="Z44" i="1"/>
  <c r="Y44" i="1"/>
  <c r="W44" i="1"/>
  <c r="V44" i="1"/>
  <c r="U44" i="1"/>
  <c r="AB43" i="1"/>
  <c r="X43" i="1"/>
  <c r="AB41" i="1"/>
  <c r="X41" i="1"/>
  <c r="AB40" i="1"/>
  <c r="X40" i="1"/>
  <c r="AA39" i="1"/>
  <c r="Z39" i="1"/>
  <c r="Y39" i="1"/>
  <c r="W39" i="1"/>
  <c r="V39" i="1"/>
  <c r="U39" i="1"/>
  <c r="AB38" i="1"/>
  <c r="X38" i="1"/>
  <c r="AB37" i="1"/>
  <c r="X37" i="1"/>
  <c r="AB36" i="1"/>
  <c r="X36" i="1"/>
  <c r="AB35" i="1"/>
  <c r="X35" i="1"/>
  <c r="AA34" i="1"/>
  <c r="Z34" i="1"/>
  <c r="Y34" i="1"/>
  <c r="W34" i="1"/>
  <c r="V34" i="1"/>
  <c r="U34" i="1"/>
  <c r="AB33" i="1"/>
  <c r="X33" i="1"/>
  <c r="AB32" i="1"/>
  <c r="X32" i="1"/>
  <c r="AB31" i="1"/>
  <c r="X31" i="1"/>
  <c r="AB30" i="1"/>
  <c r="X30" i="1"/>
  <c r="AB29" i="1"/>
  <c r="X29" i="1"/>
  <c r="AA28" i="1"/>
  <c r="Z28" i="1"/>
  <c r="W28" i="1"/>
  <c r="U28" i="1"/>
  <c r="AB27" i="1"/>
  <c r="X27" i="1"/>
  <c r="AB26" i="1"/>
  <c r="X26" i="1"/>
  <c r="AB25" i="1"/>
  <c r="X25" i="1"/>
  <c r="AB24" i="1"/>
  <c r="X24" i="1"/>
  <c r="AB23" i="1"/>
  <c r="X23" i="1"/>
  <c r="AA22" i="1"/>
  <c r="Z22" i="1"/>
  <c r="Y22" i="1"/>
  <c r="W22" i="1"/>
  <c r="V22" i="1"/>
  <c r="U22" i="1"/>
  <c r="AB21" i="1"/>
  <c r="X21" i="1"/>
  <c r="AB20" i="1"/>
  <c r="X20" i="1"/>
  <c r="Y19" i="1"/>
  <c r="AB19" i="1" s="1"/>
  <c r="V19" i="1"/>
  <c r="U17" i="1"/>
  <c r="AB18" i="1"/>
  <c r="W17" i="1"/>
  <c r="AA17" i="1"/>
  <c r="Z17" i="1"/>
  <c r="AB16" i="1"/>
  <c r="X16" i="1"/>
  <c r="AB15" i="1"/>
  <c r="X15" i="1"/>
  <c r="AB14" i="1"/>
  <c r="X14" i="1"/>
  <c r="AB13" i="1"/>
  <c r="X13" i="1"/>
  <c r="AB12" i="1"/>
  <c r="X12" i="1"/>
  <c r="AA11" i="1"/>
  <c r="Z11" i="1"/>
  <c r="Y11" i="1"/>
  <c r="W11" i="1"/>
  <c r="V11" i="1"/>
  <c r="U11" i="1"/>
  <c r="AB10" i="1"/>
  <c r="X10" i="1"/>
  <c r="AB9" i="1"/>
  <c r="X9" i="1"/>
  <c r="AB8" i="1"/>
  <c r="X8" i="1"/>
  <c r="S141" i="1"/>
  <c r="R140" i="1"/>
  <c r="S140" i="1" s="1"/>
  <c r="O140" i="1"/>
  <c r="P139" i="1"/>
  <c r="S139" i="1" s="1"/>
  <c r="N139" i="1"/>
  <c r="O139" i="1" s="1"/>
  <c r="S138" i="1"/>
  <c r="O138" i="1"/>
  <c r="S137" i="1"/>
  <c r="O137" i="1"/>
  <c r="S136" i="1"/>
  <c r="N136" i="1"/>
  <c r="M136" i="1"/>
  <c r="L136" i="1"/>
  <c r="S133" i="1"/>
  <c r="O133" i="1"/>
  <c r="S132" i="1"/>
  <c r="M132" i="1"/>
  <c r="O132" i="1" s="1"/>
  <c r="S131" i="1"/>
  <c r="M131" i="1"/>
  <c r="O131" i="1" s="1"/>
  <c r="S130" i="1"/>
  <c r="M130" i="1"/>
  <c r="O130" i="1" s="1"/>
  <c r="S129" i="1"/>
  <c r="M129" i="1"/>
  <c r="O129" i="1" s="1"/>
  <c r="S128" i="1"/>
  <c r="N128" i="1"/>
  <c r="M128" i="1"/>
  <c r="L128" i="1"/>
  <c r="S127" i="1"/>
  <c r="M127" i="1"/>
  <c r="O127" i="1" s="1"/>
  <c r="S126" i="1"/>
  <c r="M126" i="1"/>
  <c r="O126" i="1" s="1"/>
  <c r="S117" i="1"/>
  <c r="O117" i="1"/>
  <c r="S116" i="1"/>
  <c r="O116" i="1"/>
  <c r="S115" i="1"/>
  <c r="O115" i="1"/>
  <c r="O114" i="1" s="1"/>
  <c r="R114" i="1"/>
  <c r="Q114" i="1"/>
  <c r="P114" i="1"/>
  <c r="N114" i="1"/>
  <c r="M114" i="1"/>
  <c r="L114" i="1"/>
  <c r="S113" i="1"/>
  <c r="O113" i="1"/>
  <c r="S112" i="1"/>
  <c r="O112" i="1"/>
  <c r="S111" i="1"/>
  <c r="M111" i="1"/>
  <c r="O111" i="1" s="1"/>
  <c r="O109" i="1" s="1"/>
  <c r="S110" i="1"/>
  <c r="O110" i="1"/>
  <c r="R109" i="1"/>
  <c r="Q109" i="1"/>
  <c r="P109" i="1"/>
  <c r="N109" i="1"/>
  <c r="L109" i="1"/>
  <c r="S108" i="1"/>
  <c r="O108" i="1"/>
  <c r="S107" i="1"/>
  <c r="O107" i="1"/>
  <c r="S106" i="1"/>
  <c r="S105" i="1" s="1"/>
  <c r="L106" i="1"/>
  <c r="O106" i="1" s="1"/>
  <c r="R105" i="1"/>
  <c r="Q105" i="1"/>
  <c r="P105" i="1"/>
  <c r="N105" i="1"/>
  <c r="M105" i="1"/>
  <c r="S104" i="1"/>
  <c r="O104" i="1"/>
  <c r="S103" i="1"/>
  <c r="O103" i="1"/>
  <c r="S102" i="1"/>
  <c r="O102" i="1"/>
  <c r="S101" i="1"/>
  <c r="O101" i="1"/>
  <c r="R100" i="1"/>
  <c r="Q100" i="1"/>
  <c r="P100" i="1"/>
  <c r="N100" i="1"/>
  <c r="M100" i="1"/>
  <c r="L100" i="1"/>
  <c r="P99" i="1"/>
  <c r="S99" i="1" s="1"/>
  <c r="O99" i="1"/>
  <c r="S98" i="1"/>
  <c r="O98" i="1"/>
  <c r="S97" i="1"/>
  <c r="O97" i="1"/>
  <c r="P96" i="1"/>
  <c r="M96" i="1"/>
  <c r="M94" i="1" s="1"/>
  <c r="S95" i="1"/>
  <c r="N95" i="1"/>
  <c r="O95" i="1" s="1"/>
  <c r="R94" i="1"/>
  <c r="Q94" i="1"/>
  <c r="L94" i="1"/>
  <c r="S93" i="1"/>
  <c r="O93" i="1"/>
  <c r="S92" i="1"/>
  <c r="O92" i="1"/>
  <c r="S91" i="1"/>
  <c r="O91" i="1"/>
  <c r="S90" i="1"/>
  <c r="O90" i="1"/>
  <c r="S89" i="1"/>
  <c r="O89" i="1"/>
  <c r="R88" i="1"/>
  <c r="Q88" i="1"/>
  <c r="P88" i="1"/>
  <c r="N88" i="1"/>
  <c r="M88" i="1"/>
  <c r="L88" i="1"/>
  <c r="R87" i="1"/>
  <c r="R85" i="1" s="1"/>
  <c r="Q87" i="1"/>
  <c r="Q85" i="1" s="1"/>
  <c r="P87" i="1"/>
  <c r="O87" i="1"/>
  <c r="S86" i="1"/>
  <c r="O86" i="1"/>
  <c r="N85" i="1"/>
  <c r="M85" i="1"/>
  <c r="L85" i="1"/>
  <c r="S84" i="1"/>
  <c r="O84" i="1"/>
  <c r="S83" i="1"/>
  <c r="O83" i="1"/>
  <c r="S82" i="1"/>
  <c r="O82" i="1"/>
  <c r="S81" i="1"/>
  <c r="M81" i="1"/>
  <c r="O81" i="1" s="1"/>
  <c r="R80" i="1"/>
  <c r="Q80" i="1"/>
  <c r="P80" i="1"/>
  <c r="N80" i="1"/>
  <c r="L80" i="1"/>
  <c r="S79" i="1"/>
  <c r="O79" i="1"/>
  <c r="S78" i="1"/>
  <c r="O78" i="1"/>
  <c r="S77" i="1"/>
  <c r="O77" i="1"/>
  <c r="R76" i="1"/>
  <c r="P76" i="1"/>
  <c r="O76" i="1"/>
  <c r="P75" i="1"/>
  <c r="O75" i="1"/>
  <c r="Q74" i="1"/>
  <c r="N74" i="1"/>
  <c r="M74" i="1"/>
  <c r="L74" i="1"/>
  <c r="P73" i="1"/>
  <c r="S73" i="1" s="1"/>
  <c r="O73" i="1"/>
  <c r="S68" i="1"/>
  <c r="O68" i="1"/>
  <c r="P67" i="1"/>
  <c r="P66" i="1" s="1"/>
  <c r="O67" i="1"/>
  <c r="R66" i="1"/>
  <c r="Q66" i="1"/>
  <c r="N66" i="1"/>
  <c r="M66" i="1"/>
  <c r="L66" i="1"/>
  <c r="S65" i="1"/>
  <c r="O65" i="1"/>
  <c r="S64" i="1"/>
  <c r="O64" i="1"/>
  <c r="P63" i="1"/>
  <c r="S63" i="1" s="1"/>
  <c r="O63" i="1"/>
  <c r="R62" i="1"/>
  <c r="Q62" i="1"/>
  <c r="P62" i="1"/>
  <c r="N62" i="1"/>
  <c r="M62" i="1"/>
  <c r="L62" i="1"/>
  <c r="S61" i="1"/>
  <c r="O61" i="1"/>
  <c r="Q60" i="1"/>
  <c r="S60" i="1" s="1"/>
  <c r="O60" i="1"/>
  <c r="Q59" i="1"/>
  <c r="S59" i="1" s="1"/>
  <c r="N59" i="1"/>
  <c r="O59" i="1" s="1"/>
  <c r="S58" i="1"/>
  <c r="O58" i="1"/>
  <c r="R57" i="1"/>
  <c r="P57" i="1"/>
  <c r="M57" i="1"/>
  <c r="L57" i="1"/>
  <c r="R56" i="1"/>
  <c r="R52" i="1" s="1"/>
  <c r="P56" i="1"/>
  <c r="O56" i="1"/>
  <c r="S55" i="1"/>
  <c r="O55" i="1"/>
  <c r="S54" i="1"/>
  <c r="O54" i="1"/>
  <c r="P53" i="1"/>
  <c r="S53" i="1" s="1"/>
  <c r="O53" i="1"/>
  <c r="Q52" i="1"/>
  <c r="N52" i="1"/>
  <c r="M52" i="1"/>
  <c r="L52" i="1"/>
  <c r="S51" i="1"/>
  <c r="O51" i="1"/>
  <c r="S50" i="1"/>
  <c r="O50" i="1"/>
  <c r="S49" i="1"/>
  <c r="L49" i="1"/>
  <c r="L48" i="1" s="1"/>
  <c r="R48" i="1"/>
  <c r="Q48" i="1"/>
  <c r="P48" i="1"/>
  <c r="N48" i="1"/>
  <c r="M48" i="1"/>
  <c r="S47" i="1"/>
  <c r="O47" i="1"/>
  <c r="S46" i="1"/>
  <c r="O46" i="1"/>
  <c r="P45" i="1"/>
  <c r="P44" i="1" s="1"/>
  <c r="M45" i="1"/>
  <c r="O45" i="1" s="1"/>
  <c r="R44" i="1"/>
  <c r="Q44" i="1"/>
  <c r="N44" i="1"/>
  <c r="M44" i="1"/>
  <c r="L44" i="1"/>
  <c r="S43" i="1"/>
  <c r="L43" i="1"/>
  <c r="O43" i="1" s="1"/>
  <c r="P42" i="1"/>
  <c r="S42" i="1" s="1"/>
  <c r="L42" i="1"/>
  <c r="O42" i="1" s="1"/>
  <c r="S41" i="1"/>
  <c r="N41" i="1"/>
  <c r="N39" i="1" s="1"/>
  <c r="L41" i="1"/>
  <c r="S40" i="1"/>
  <c r="M40" i="1"/>
  <c r="M39" i="1" s="1"/>
  <c r="L40" i="1"/>
  <c r="R39" i="1"/>
  <c r="Q39" i="1"/>
  <c r="S38" i="1"/>
  <c r="O38" i="1"/>
  <c r="S37" i="1"/>
  <c r="O37" i="1"/>
  <c r="R36" i="1"/>
  <c r="R34" i="1" s="1"/>
  <c r="Q36" i="1"/>
  <c r="M36" i="1"/>
  <c r="M34" i="1" s="1"/>
  <c r="L36" i="1"/>
  <c r="P35" i="1"/>
  <c r="P34" i="1" s="1"/>
  <c r="N35" i="1"/>
  <c r="O35" i="1" s="1"/>
  <c r="S33" i="1"/>
  <c r="L33" i="1"/>
  <c r="L28" i="1" s="1"/>
  <c r="S32" i="1"/>
  <c r="O32" i="1"/>
  <c r="S31" i="1"/>
  <c r="M31" i="1"/>
  <c r="O31" i="1" s="1"/>
  <c r="S30" i="1"/>
  <c r="N30" i="1"/>
  <c r="N28" i="1" s="1"/>
  <c r="M30" i="1"/>
  <c r="O30" i="1" s="1"/>
  <c r="S29" i="1"/>
  <c r="M29" i="1"/>
  <c r="R28" i="1"/>
  <c r="Q28" i="1"/>
  <c r="P28" i="1"/>
  <c r="S27" i="1"/>
  <c r="O27" i="1"/>
  <c r="S26" i="1"/>
  <c r="O26" i="1"/>
  <c r="S25" i="1"/>
  <c r="O25" i="1"/>
  <c r="S24" i="1"/>
  <c r="L24" i="1"/>
  <c r="O24" i="1" s="1"/>
  <c r="S23" i="1"/>
  <c r="L23" i="1"/>
  <c r="O23" i="1" s="1"/>
  <c r="R22" i="1"/>
  <c r="Q22" i="1"/>
  <c r="P22" i="1"/>
  <c r="N22" i="1"/>
  <c r="M22" i="1"/>
  <c r="S21" i="1"/>
  <c r="O21" i="1"/>
  <c r="S20" i="1"/>
  <c r="O20" i="1"/>
  <c r="S19" i="1"/>
  <c r="N19" i="1"/>
  <c r="N17" i="1" s="1"/>
  <c r="L19" i="1"/>
  <c r="L17" i="1" s="1"/>
  <c r="S18" i="1"/>
  <c r="O18" i="1"/>
  <c r="R17" i="1"/>
  <c r="Q17" i="1"/>
  <c r="P17" i="1"/>
  <c r="M17" i="1"/>
  <c r="S16" i="1"/>
  <c r="O16" i="1"/>
  <c r="S15" i="1"/>
  <c r="O15" i="1"/>
  <c r="S14" i="1"/>
  <c r="O14" i="1"/>
  <c r="S13" i="1"/>
  <c r="O13" i="1"/>
  <c r="S12" i="1"/>
  <c r="O12" i="1"/>
  <c r="R11" i="1"/>
  <c r="Q11" i="1"/>
  <c r="P11" i="1"/>
  <c r="N11" i="1"/>
  <c r="M11" i="1"/>
  <c r="L11" i="1"/>
  <c r="S10" i="1"/>
  <c r="O10" i="1"/>
  <c r="P9" i="1"/>
  <c r="S9" i="1" s="1"/>
  <c r="O9" i="1"/>
  <c r="S8" i="1"/>
  <c r="M8" i="1"/>
  <c r="L8" i="1"/>
  <c r="J141" i="1"/>
  <c r="J140" i="1"/>
  <c r="F140" i="1"/>
  <c r="J139" i="1"/>
  <c r="E139" i="1"/>
  <c r="D139" i="1"/>
  <c r="J138" i="1"/>
  <c r="F138" i="1"/>
  <c r="J137" i="1"/>
  <c r="E137" i="1"/>
  <c r="D137" i="1"/>
  <c r="J136" i="1"/>
  <c r="E136" i="1"/>
  <c r="D136" i="1"/>
  <c r="C136" i="1"/>
  <c r="J133" i="1"/>
  <c r="F133" i="1"/>
  <c r="J132" i="1"/>
  <c r="D132" i="1"/>
  <c r="F132" i="1" s="1"/>
  <c r="J131" i="1"/>
  <c r="D131" i="1"/>
  <c r="F131" i="1" s="1"/>
  <c r="J130" i="1"/>
  <c r="D130" i="1"/>
  <c r="F130" i="1" s="1"/>
  <c r="J129" i="1"/>
  <c r="E129" i="1"/>
  <c r="D129" i="1"/>
  <c r="J128" i="1"/>
  <c r="E128" i="1"/>
  <c r="D128" i="1"/>
  <c r="C128" i="1"/>
  <c r="J127" i="1"/>
  <c r="D127" i="1"/>
  <c r="F127" i="1" s="1"/>
  <c r="J126" i="1"/>
  <c r="D126" i="1"/>
  <c r="F126" i="1" s="1"/>
  <c r="J117" i="1"/>
  <c r="F117" i="1"/>
  <c r="J116" i="1"/>
  <c r="F116" i="1"/>
  <c r="J115" i="1"/>
  <c r="F115" i="1"/>
  <c r="J113" i="1"/>
  <c r="F113" i="1"/>
  <c r="J112" i="1"/>
  <c r="F112" i="1"/>
  <c r="J111" i="1"/>
  <c r="F111" i="1"/>
  <c r="J110" i="1"/>
  <c r="D110" i="1"/>
  <c r="F110" i="1" s="1"/>
  <c r="J108" i="1"/>
  <c r="F108" i="1"/>
  <c r="J107" i="1"/>
  <c r="F107" i="1"/>
  <c r="J106" i="1"/>
  <c r="E106" i="1"/>
  <c r="F106" i="1" s="1"/>
  <c r="G104" i="1"/>
  <c r="J104" i="1" s="1"/>
  <c r="D104" i="1"/>
  <c r="F104" i="1" s="1"/>
  <c r="J103" i="1"/>
  <c r="F103" i="1"/>
  <c r="J102" i="1"/>
  <c r="D102" i="1"/>
  <c r="F102" i="1" s="1"/>
  <c r="J101" i="1"/>
  <c r="F101" i="1"/>
  <c r="G99" i="1"/>
  <c r="J99" i="1" s="1"/>
  <c r="F99" i="1"/>
  <c r="J98" i="1"/>
  <c r="F98" i="1"/>
  <c r="J97" i="1"/>
  <c r="F97" i="1"/>
  <c r="G96" i="1"/>
  <c r="J96" i="1" s="1"/>
  <c r="D96" i="1"/>
  <c r="F96" i="1" s="1"/>
  <c r="G95" i="1"/>
  <c r="J95" i="1" s="1"/>
  <c r="F95" i="1"/>
  <c r="J93" i="1"/>
  <c r="F93" i="1"/>
  <c r="G92" i="1"/>
  <c r="J92" i="1" s="1"/>
  <c r="F92" i="1"/>
  <c r="H91" i="1"/>
  <c r="J91" i="1" s="1"/>
  <c r="F91" i="1"/>
  <c r="G90" i="1"/>
  <c r="J90" i="1" s="1"/>
  <c r="F90" i="1"/>
  <c r="G89" i="1"/>
  <c r="J89" i="1" s="1"/>
  <c r="F89" i="1"/>
  <c r="J87" i="1"/>
  <c r="F87" i="1"/>
  <c r="G86" i="1"/>
  <c r="J86" i="1" s="1"/>
  <c r="F86" i="1"/>
  <c r="J84" i="1"/>
  <c r="E84" i="1"/>
  <c r="F84" i="1" s="1"/>
  <c r="J83" i="1"/>
  <c r="F83" i="1"/>
  <c r="J82" i="1"/>
  <c r="F82" i="1"/>
  <c r="J81" i="1"/>
  <c r="F81" i="1"/>
  <c r="J79" i="1"/>
  <c r="F79" i="1"/>
  <c r="J78" i="1"/>
  <c r="F78" i="1"/>
  <c r="I77" i="1"/>
  <c r="J77" i="1" s="1"/>
  <c r="F77" i="1"/>
  <c r="I76" i="1"/>
  <c r="J76" i="1" s="1"/>
  <c r="F76" i="1"/>
  <c r="J75" i="1"/>
  <c r="F75" i="1"/>
  <c r="G73" i="1"/>
  <c r="J73" i="1" s="1"/>
  <c r="F73" i="1"/>
  <c r="J68" i="1"/>
  <c r="F68" i="1"/>
  <c r="G67" i="1"/>
  <c r="J67" i="1" s="1"/>
  <c r="F67" i="1"/>
  <c r="F63" i="1"/>
  <c r="G63" i="1"/>
  <c r="J63" i="1" s="1"/>
  <c r="F64" i="1"/>
  <c r="J64" i="1"/>
  <c r="F65" i="1"/>
  <c r="G65" i="1"/>
  <c r="J65" i="1" s="1"/>
  <c r="J61" i="1"/>
  <c r="F61" i="1"/>
  <c r="J60" i="1"/>
  <c r="F60" i="1"/>
  <c r="J59" i="1"/>
  <c r="E59" i="1"/>
  <c r="D59" i="1"/>
  <c r="G58" i="1"/>
  <c r="J58" i="1" s="1"/>
  <c r="F58" i="1"/>
  <c r="I56" i="1"/>
  <c r="G56" i="1"/>
  <c r="J56" i="1" s="1"/>
  <c r="F56" i="1"/>
  <c r="I55" i="1"/>
  <c r="G55" i="1"/>
  <c r="F55" i="1"/>
  <c r="I54" i="1"/>
  <c r="G54" i="1"/>
  <c r="F54" i="1"/>
  <c r="G53" i="1"/>
  <c r="J53" i="1" s="1"/>
  <c r="F53" i="1"/>
  <c r="J51" i="1"/>
  <c r="C51" i="1"/>
  <c r="F51" i="1" s="1"/>
  <c r="H50" i="1"/>
  <c r="G50" i="1"/>
  <c r="E50" i="1"/>
  <c r="F50" i="1" s="1"/>
  <c r="H49" i="1"/>
  <c r="J49" i="1" s="1"/>
  <c r="D49" i="1"/>
  <c r="F49" i="1" s="1"/>
  <c r="J47" i="1"/>
  <c r="F47" i="1"/>
  <c r="J46" i="1"/>
  <c r="E46" i="1"/>
  <c r="F46" i="1" s="1"/>
  <c r="G45" i="1"/>
  <c r="J45" i="1" s="1"/>
  <c r="E45" i="1"/>
  <c r="D45" i="1"/>
  <c r="J43" i="1"/>
  <c r="C43" i="1"/>
  <c r="F43" i="1" s="1"/>
  <c r="G42" i="1"/>
  <c r="J42" i="1" s="1"/>
  <c r="E42" i="1"/>
  <c r="C42" i="1"/>
  <c r="G41" i="1"/>
  <c r="J41" i="1" s="1"/>
  <c r="F41" i="1"/>
  <c r="J40" i="1"/>
  <c r="D40" i="1"/>
  <c r="C40" i="1"/>
  <c r="J38" i="1"/>
  <c r="F38" i="1"/>
  <c r="J37" i="1"/>
  <c r="F37" i="1"/>
  <c r="H36" i="1"/>
  <c r="G36" i="1"/>
  <c r="D36" i="1"/>
  <c r="F36" i="1" s="1"/>
  <c r="H35" i="1"/>
  <c r="G35" i="1"/>
  <c r="E35" i="1"/>
  <c r="D35" i="1"/>
  <c r="C35" i="1"/>
  <c r="J33" i="1"/>
  <c r="F33" i="1"/>
  <c r="J32" i="1"/>
  <c r="F32" i="1"/>
  <c r="J31" i="1"/>
  <c r="D31" i="1"/>
  <c r="F31" i="1" s="1"/>
  <c r="G30" i="1"/>
  <c r="J30" i="1" s="1"/>
  <c r="E30" i="1"/>
  <c r="F30" i="1" s="1"/>
  <c r="J29" i="1"/>
  <c r="D29" i="1"/>
  <c r="F29" i="1" s="1"/>
  <c r="J27" i="1"/>
  <c r="D27" i="1"/>
  <c r="F27" i="1" s="1"/>
  <c r="J26" i="1"/>
  <c r="F26" i="1"/>
  <c r="J25" i="1"/>
  <c r="D25" i="1"/>
  <c r="F25" i="1" s="1"/>
  <c r="J24" i="1"/>
  <c r="F24" i="1"/>
  <c r="J23" i="1"/>
  <c r="E23" i="1"/>
  <c r="D23" i="1"/>
  <c r="C23" i="1"/>
  <c r="J21" i="1"/>
  <c r="F21" i="1"/>
  <c r="J20" i="1"/>
  <c r="F20" i="1"/>
  <c r="J19" i="1"/>
  <c r="C19" i="1"/>
  <c r="F19" i="1" s="1"/>
  <c r="J18" i="1"/>
  <c r="C18" i="1"/>
  <c r="F18" i="1" s="1"/>
  <c r="H16" i="1"/>
  <c r="J16" i="1" s="1"/>
  <c r="F16" i="1"/>
  <c r="J15" i="1"/>
  <c r="F15" i="1"/>
  <c r="J14" i="1"/>
  <c r="F14" i="1"/>
  <c r="J13" i="1"/>
  <c r="E13" i="1"/>
  <c r="F13" i="1" s="1"/>
  <c r="J12" i="1"/>
  <c r="F12" i="1"/>
  <c r="J10" i="1"/>
  <c r="F10" i="1"/>
  <c r="G9" i="1"/>
  <c r="J9" i="1" s="1"/>
  <c r="F9" i="1"/>
  <c r="G8" i="1"/>
  <c r="J8" i="1" s="1"/>
  <c r="D8" i="1"/>
  <c r="F8" i="1" s="1"/>
  <c r="O8" i="1" l="1"/>
  <c r="V125" i="1"/>
  <c r="AL95" i="1"/>
  <c r="AL97" i="1"/>
  <c r="AL101" i="1"/>
  <c r="AL103" i="1"/>
  <c r="AL107" i="1"/>
  <c r="AL115" i="1"/>
  <c r="AL117" i="1"/>
  <c r="AT28" i="1"/>
  <c r="Y17" i="1"/>
  <c r="AL58" i="1"/>
  <c r="J50" i="1"/>
  <c r="J54" i="1"/>
  <c r="X52" i="1"/>
  <c r="AB80" i="1"/>
  <c r="AC135" i="1"/>
  <c r="AL47" i="1"/>
  <c r="AL72" i="1"/>
  <c r="AL76" i="1"/>
  <c r="AL78" i="1"/>
  <c r="AL90" i="1"/>
  <c r="AL92" i="1"/>
  <c r="AL96" i="1"/>
  <c r="AL102" i="1"/>
  <c r="AL104" i="1"/>
  <c r="AL106" i="1"/>
  <c r="AL108" i="1"/>
  <c r="AL116" i="1"/>
  <c r="AL119" i="1"/>
  <c r="P94" i="1"/>
  <c r="AL136" i="1"/>
  <c r="AL138" i="1"/>
  <c r="AB85" i="1"/>
  <c r="X74" i="1"/>
  <c r="X39" i="1"/>
  <c r="AL59" i="1"/>
  <c r="AL41" i="1"/>
  <c r="AL40" i="1"/>
  <c r="AL36" i="1"/>
  <c r="F40" i="1"/>
  <c r="F137" i="1"/>
  <c r="L39" i="1"/>
  <c r="X81" i="1"/>
  <c r="X80" i="1" s="1"/>
  <c r="Y28" i="1"/>
  <c r="J35" i="1"/>
  <c r="F45" i="1"/>
  <c r="N94" i="1"/>
  <c r="AB28" i="1"/>
  <c r="J36" i="1"/>
  <c r="J55" i="1"/>
  <c r="X28" i="1"/>
  <c r="V28" i="1"/>
  <c r="X49" i="1"/>
  <c r="V80" i="1"/>
  <c r="AB109" i="1"/>
  <c r="U118" i="1"/>
  <c r="AK100" i="1"/>
  <c r="O41" i="1"/>
  <c r="O44" i="1"/>
  <c r="S56" i="1"/>
  <c r="S52" i="1" s="1"/>
  <c r="N57" i="1"/>
  <c r="S109" i="1"/>
  <c r="AB44" i="1"/>
  <c r="X85" i="1"/>
  <c r="X88" i="1"/>
  <c r="AA88" i="1"/>
  <c r="X105" i="1"/>
  <c r="X114" i="1"/>
  <c r="AG11" i="1"/>
  <c r="AL11" i="1" s="1"/>
  <c r="AT48" i="1"/>
  <c r="AK125" i="1"/>
  <c r="S17" i="1"/>
  <c r="S22" i="1"/>
  <c r="AB48" i="1"/>
  <c r="M28" i="1"/>
  <c r="O33" i="1"/>
  <c r="S39" i="1"/>
  <c r="O52" i="1"/>
  <c r="S96" i="1"/>
  <c r="S94" i="1" s="1"/>
  <c r="X109" i="1"/>
  <c r="V118" i="1"/>
  <c r="AK11" i="1"/>
  <c r="AK22" i="1"/>
  <c r="AK28" i="1"/>
  <c r="AK52" i="1"/>
  <c r="AT17" i="1"/>
  <c r="AT39" i="1"/>
  <c r="AT118" i="1"/>
  <c r="F35" i="1"/>
  <c r="F136" i="1"/>
  <c r="O29" i="1"/>
  <c r="O49" i="1"/>
  <c r="O48" i="1" s="1"/>
  <c r="O62" i="1"/>
  <c r="O85" i="1"/>
  <c r="O88" i="1"/>
  <c r="L105" i="1"/>
  <c r="O136" i="1"/>
  <c r="X22" i="1"/>
  <c r="AB34" i="1"/>
  <c r="Z48" i="1"/>
  <c r="AB66" i="1"/>
  <c r="AB71" i="1"/>
  <c r="AB74" i="1"/>
  <c r="AB100" i="1"/>
  <c r="AB114" i="1"/>
  <c r="X139" i="1"/>
  <c r="AT50" i="1"/>
  <c r="AT80" i="1"/>
  <c r="AT114" i="1"/>
  <c r="AK74" i="1"/>
  <c r="F23" i="1"/>
  <c r="F128" i="1"/>
  <c r="F129" i="1"/>
  <c r="N34" i="1"/>
  <c r="O36" i="1"/>
  <c r="O34" i="1" s="1"/>
  <c r="S48" i="1"/>
  <c r="P52" i="1"/>
  <c r="O57" i="1"/>
  <c r="S57" i="1"/>
  <c r="S62" i="1"/>
  <c r="S76" i="1"/>
  <c r="O80" i="1"/>
  <c r="AB22" i="1"/>
  <c r="X34" i="1"/>
  <c r="X44" i="1"/>
  <c r="Y88" i="1"/>
  <c r="X94" i="1"/>
  <c r="AB120" i="1"/>
  <c r="AT62" i="1"/>
  <c r="AG114" i="1"/>
  <c r="AK109" i="1"/>
  <c r="AK105" i="1"/>
  <c r="AG105" i="1"/>
  <c r="AG94" i="1"/>
  <c r="AK85" i="1"/>
  <c r="AG85" i="1"/>
  <c r="AG80" i="1"/>
  <c r="AG74" i="1"/>
  <c r="AL74" i="1" s="1"/>
  <c r="AP125" i="1"/>
  <c r="F42" i="1"/>
  <c r="S11" i="1"/>
  <c r="S28" i="1"/>
  <c r="L34" i="1"/>
  <c r="O40" i="1"/>
  <c r="S66" i="1"/>
  <c r="P74" i="1"/>
  <c r="S80" i="1"/>
  <c r="S88" i="1"/>
  <c r="S100" i="1"/>
  <c r="M109" i="1"/>
  <c r="S114" i="1"/>
  <c r="O128" i="1"/>
  <c r="X11" i="1"/>
  <c r="AB52" i="1"/>
  <c r="AB57" i="1"/>
  <c r="X62" i="1"/>
  <c r="X73" i="1"/>
  <c r="AB94" i="1"/>
  <c r="X100" i="1"/>
  <c r="X121" i="1"/>
  <c r="AB125" i="1"/>
  <c r="U125" i="1"/>
  <c r="AG17" i="1"/>
  <c r="AK80" i="1"/>
  <c r="AH88" i="1"/>
  <c r="AK114" i="1"/>
  <c r="AG121" i="1"/>
  <c r="AL121" i="1" s="1"/>
  <c r="AP34" i="1"/>
  <c r="AP48" i="1"/>
  <c r="AO57" i="1"/>
  <c r="AT57" i="1"/>
  <c r="AT105" i="1"/>
  <c r="AT125" i="1"/>
  <c r="F59" i="1"/>
  <c r="O11" i="1"/>
  <c r="S36" i="1"/>
  <c r="P39" i="1"/>
  <c r="O66" i="1"/>
  <c r="O100" i="1"/>
  <c r="O105" i="1"/>
  <c r="AB11" i="1"/>
  <c r="X19" i="1"/>
  <c r="AB39" i="1"/>
  <c r="X57" i="1"/>
  <c r="AB62" i="1"/>
  <c r="X66" i="1"/>
  <c r="U71" i="1"/>
  <c r="X71" i="1" s="1"/>
  <c r="AC71" i="1" s="1"/>
  <c r="AB105" i="1"/>
  <c r="X120" i="1"/>
  <c r="AC120" i="1" s="1"/>
  <c r="AK17" i="1"/>
  <c r="AD80" i="1"/>
  <c r="AK94" i="1"/>
  <c r="AG100" i="1"/>
  <c r="AL100" i="1" s="1"/>
  <c r="AG109" i="1"/>
  <c r="AK118" i="1"/>
  <c r="AG120" i="1"/>
  <c r="AL120" i="1" s="1"/>
  <c r="AP17" i="1"/>
  <c r="AT22" i="1"/>
  <c r="AP44" i="1"/>
  <c r="AP57" i="1"/>
  <c r="AB17" i="1"/>
  <c r="F139" i="1"/>
  <c r="O74" i="1"/>
  <c r="S87" i="1"/>
  <c r="S85" i="1" s="1"/>
  <c r="AB90" i="1"/>
  <c r="AB88" i="1" s="1"/>
  <c r="AB118" i="1"/>
  <c r="AG88" i="1"/>
  <c r="AT11" i="1"/>
  <c r="AO44" i="1"/>
  <c r="AT44" i="1"/>
  <c r="AT85" i="1"/>
  <c r="AT100" i="1"/>
  <c r="AM125" i="1"/>
  <c r="AK71" i="1"/>
  <c r="AG71" i="1"/>
  <c r="AK62" i="1"/>
  <c r="AG62" i="1"/>
  <c r="AK57" i="1"/>
  <c r="AG52" i="1"/>
  <c r="AL52" i="1" s="1"/>
  <c r="AG48" i="1"/>
  <c r="AG44" i="1"/>
  <c r="AK39" i="1"/>
  <c r="AG39" i="1"/>
  <c r="AK34" i="1"/>
  <c r="AG34" i="1"/>
  <c r="AG28" i="1"/>
  <c r="AL28" i="1" s="1"/>
  <c r="AG22" i="1"/>
  <c r="AT88" i="1"/>
  <c r="AQ52" i="1"/>
  <c r="AT52" i="1" s="1"/>
  <c r="AM17" i="1"/>
  <c r="AT45" i="1"/>
  <c r="AN48" i="1"/>
  <c r="AP52" i="1"/>
  <c r="AT59" i="1"/>
  <c r="AN125" i="1"/>
  <c r="AQ34" i="1"/>
  <c r="AK48" i="1"/>
  <c r="AL48" i="1" s="1"/>
  <c r="AK45" i="1"/>
  <c r="AK44" i="1" s="1"/>
  <c r="AE48" i="1"/>
  <c r="AE57" i="1"/>
  <c r="AG57" i="1" s="1"/>
  <c r="AH62" i="1"/>
  <c r="AE88" i="1"/>
  <c r="AK91" i="1"/>
  <c r="AK88" i="1" s="1"/>
  <c r="AG139" i="1"/>
  <c r="AE62" i="1"/>
  <c r="AD118" i="1"/>
  <c r="AG118" i="1" s="1"/>
  <c r="AE125" i="1"/>
  <c r="X48" i="1"/>
  <c r="V48" i="1"/>
  <c r="V17" i="1"/>
  <c r="X18" i="1"/>
  <c r="W57" i="1"/>
  <c r="X136" i="1"/>
  <c r="X125" i="1" s="1"/>
  <c r="Y48" i="1"/>
  <c r="O22" i="1"/>
  <c r="O19" i="1"/>
  <c r="O17" i="1" s="1"/>
  <c r="S35" i="1"/>
  <c r="R74" i="1"/>
  <c r="S75" i="1"/>
  <c r="P85" i="1"/>
  <c r="S45" i="1"/>
  <c r="S44" i="1" s="1"/>
  <c r="Q57" i="1"/>
  <c r="O96" i="1"/>
  <c r="O94" i="1" s="1"/>
  <c r="S67" i="1"/>
  <c r="M80" i="1"/>
  <c r="L22" i="1"/>
  <c r="Q34" i="1"/>
  <c r="AL44" i="1" l="1"/>
  <c r="AL94" i="1"/>
  <c r="AL114" i="1"/>
  <c r="O28" i="1"/>
  <c r="AL45" i="1"/>
  <c r="AL91" i="1"/>
  <c r="AL80" i="1"/>
  <c r="AL105" i="1"/>
  <c r="AL17" i="1"/>
  <c r="X17" i="1"/>
  <c r="AL71" i="1"/>
  <c r="AL88" i="1"/>
  <c r="AL85" i="1"/>
  <c r="X118" i="1"/>
  <c r="AC118" i="1" s="1"/>
  <c r="AL118" i="1"/>
  <c r="AL57" i="1"/>
  <c r="AL39" i="1"/>
  <c r="AL34" i="1"/>
  <c r="AL22" i="1"/>
  <c r="AL109" i="1"/>
  <c r="AG125" i="1"/>
  <c r="AL125" i="1" s="1"/>
  <c r="AL139" i="1"/>
  <c r="AL62" i="1"/>
  <c r="O39" i="1"/>
  <c r="S74" i="1"/>
  <c r="AT34" i="1"/>
  <c r="S34" i="1"/>
  <c r="AV57" i="1" l="1"/>
  <c r="AV52" i="1"/>
  <c r="AV48" i="1"/>
  <c r="AV44" i="1"/>
  <c r="AV39" i="1"/>
  <c r="AV34" i="1"/>
  <c r="AV28" i="1"/>
  <c r="AV22" i="1"/>
  <c r="AV17" i="1"/>
  <c r="AV11" i="1"/>
  <c r="AV7" i="1"/>
  <c r="AM7" i="1"/>
  <c r="AM123" i="1" s="1"/>
  <c r="AM143" i="1" s="1"/>
  <c r="AV123" i="1" l="1"/>
  <c r="AV125" i="1"/>
  <c r="BD135" i="1" l="1"/>
  <c r="BD134" i="1" l="1"/>
  <c r="AU135" i="1"/>
  <c r="AU134" i="1"/>
  <c r="BC136" i="1"/>
  <c r="BC141" i="1"/>
  <c r="BC140" i="1"/>
  <c r="BC139" i="1"/>
  <c r="BC119" i="1"/>
  <c r="BC120" i="1"/>
  <c r="BC121" i="1"/>
  <c r="BD72" i="1" l="1"/>
  <c r="BD73" i="1"/>
  <c r="BD120" i="1"/>
  <c r="BC71" i="1"/>
  <c r="AU73" i="1"/>
  <c r="AU72" i="1"/>
  <c r="BD119" i="1"/>
  <c r="BD121" i="1"/>
  <c r="AU121" i="1"/>
  <c r="BD71" i="1" l="1"/>
  <c r="AU120" i="1"/>
  <c r="AU119" i="1"/>
  <c r="AU71" i="1"/>
  <c r="BC118" i="1"/>
  <c r="AU118" i="1" l="1"/>
  <c r="BD118" i="1"/>
  <c r="BC54" i="1" l="1"/>
  <c r="BC56" i="1"/>
  <c r="BC55" i="1"/>
  <c r="BC53" i="1"/>
  <c r="BC106" i="1" l="1"/>
  <c r="BC107" i="1"/>
  <c r="BC108" i="1"/>
  <c r="AC141" i="1" l="1"/>
  <c r="AC124" i="1"/>
  <c r="AC122" i="1"/>
  <c r="U7" i="1"/>
  <c r="U123" i="1" s="1"/>
  <c r="AA7" i="1"/>
  <c r="AA123" i="1" s="1"/>
  <c r="Z7" i="1"/>
  <c r="Z123" i="1" s="1"/>
  <c r="W7" i="1"/>
  <c r="W123" i="1" s="1"/>
  <c r="T141" i="1"/>
  <c r="R125" i="1"/>
  <c r="Q125" i="1"/>
  <c r="P125" i="1"/>
  <c r="S122" i="1"/>
  <c r="T122" i="1" s="1"/>
  <c r="R7" i="1"/>
  <c r="Q7" i="1"/>
  <c r="N7" i="1"/>
  <c r="L7" i="1"/>
  <c r="K141" i="1"/>
  <c r="K140" i="1"/>
  <c r="K139" i="1"/>
  <c r="I125" i="1"/>
  <c r="H125" i="1"/>
  <c r="G125" i="1"/>
  <c r="K124" i="1"/>
  <c r="K122" i="1"/>
  <c r="K115" i="1"/>
  <c r="I114" i="1"/>
  <c r="H114" i="1"/>
  <c r="G114" i="1"/>
  <c r="E114" i="1"/>
  <c r="D114" i="1"/>
  <c r="C114" i="1"/>
  <c r="I109" i="1"/>
  <c r="H109" i="1"/>
  <c r="G109" i="1"/>
  <c r="E109" i="1"/>
  <c r="D109" i="1"/>
  <c r="C109" i="1"/>
  <c r="I105" i="1"/>
  <c r="H105" i="1"/>
  <c r="G105" i="1"/>
  <c r="E105" i="1"/>
  <c r="D105" i="1"/>
  <c r="C105" i="1"/>
  <c r="I100" i="1"/>
  <c r="H100" i="1"/>
  <c r="C100" i="1"/>
  <c r="H94" i="1"/>
  <c r="G88" i="1"/>
  <c r="E88" i="1"/>
  <c r="D88" i="1"/>
  <c r="C88" i="1"/>
  <c r="C85" i="1"/>
  <c r="I85" i="1"/>
  <c r="H85" i="1"/>
  <c r="G85" i="1"/>
  <c r="E85" i="1"/>
  <c r="D85" i="1"/>
  <c r="C80" i="1"/>
  <c r="I80" i="1"/>
  <c r="H80" i="1"/>
  <c r="H74" i="1"/>
  <c r="E74" i="1"/>
  <c r="E66" i="1"/>
  <c r="I66" i="1"/>
  <c r="H66" i="1"/>
  <c r="C66" i="1"/>
  <c r="I62" i="1"/>
  <c r="H62" i="1"/>
  <c r="E62" i="1"/>
  <c r="D62" i="1"/>
  <c r="C62" i="1"/>
  <c r="I57" i="1"/>
  <c r="H57" i="1"/>
  <c r="G57" i="1"/>
  <c r="D57" i="1"/>
  <c r="C57" i="1"/>
  <c r="H52" i="1"/>
  <c r="E52" i="1"/>
  <c r="D52" i="1"/>
  <c r="H48" i="1"/>
  <c r="E48" i="1"/>
  <c r="G48" i="1"/>
  <c r="I44" i="1"/>
  <c r="G44" i="1"/>
  <c r="E44" i="1"/>
  <c r="H44" i="1"/>
  <c r="C39" i="1"/>
  <c r="I39" i="1"/>
  <c r="H39" i="1"/>
  <c r="I34" i="1"/>
  <c r="H34" i="1"/>
  <c r="E34" i="1"/>
  <c r="D34" i="1"/>
  <c r="C34" i="1"/>
  <c r="I28" i="1"/>
  <c r="H28" i="1"/>
  <c r="G28" i="1"/>
  <c r="E28" i="1"/>
  <c r="I22" i="1"/>
  <c r="H22" i="1"/>
  <c r="G22" i="1"/>
  <c r="C22" i="1"/>
  <c r="I17" i="1"/>
  <c r="H17" i="1"/>
  <c r="G17" i="1"/>
  <c r="G11" i="1"/>
  <c r="I11" i="1"/>
  <c r="H11" i="1"/>
  <c r="E11" i="1"/>
  <c r="D11" i="1"/>
  <c r="D7" i="1"/>
  <c r="I7" i="1"/>
  <c r="C7" i="1"/>
  <c r="K95" i="1" l="1"/>
  <c r="K13" i="1"/>
  <c r="AC84" i="1"/>
  <c r="G80" i="1"/>
  <c r="K99" i="1"/>
  <c r="K108" i="1"/>
  <c r="K112" i="1"/>
  <c r="T25" i="1"/>
  <c r="T77" i="1"/>
  <c r="T107" i="1"/>
  <c r="T132" i="1"/>
  <c r="T137" i="1"/>
  <c r="AC37" i="1"/>
  <c r="K27" i="1"/>
  <c r="K54" i="1"/>
  <c r="T47" i="1"/>
  <c r="T61" i="1"/>
  <c r="T63" i="1"/>
  <c r="T65" i="1"/>
  <c r="AC55" i="1"/>
  <c r="AC138" i="1"/>
  <c r="AC140" i="1"/>
  <c r="E39" i="1"/>
  <c r="K42" i="1"/>
  <c r="D48" i="1"/>
  <c r="K89" i="1"/>
  <c r="K107" i="1"/>
  <c r="T32" i="1"/>
  <c r="T38" i="1"/>
  <c r="T81" i="1"/>
  <c r="T113" i="1"/>
  <c r="T115" i="1"/>
  <c r="T117" i="1"/>
  <c r="AC20" i="1"/>
  <c r="AC58" i="1"/>
  <c r="AC83" i="1"/>
  <c r="I74" i="1"/>
  <c r="K64" i="1"/>
  <c r="K67" i="1"/>
  <c r="T15" i="1"/>
  <c r="T93" i="1"/>
  <c r="T101" i="1"/>
  <c r="AC47" i="1"/>
  <c r="AC54" i="1"/>
  <c r="AC127" i="1"/>
  <c r="AC130" i="1"/>
  <c r="AC132" i="1"/>
  <c r="AC137" i="1"/>
  <c r="AC61" i="1"/>
  <c r="AC65" i="1"/>
  <c r="AC73" i="1"/>
  <c r="D74" i="1"/>
  <c r="T99" i="1"/>
  <c r="D22" i="1"/>
  <c r="K29" i="1"/>
  <c r="T24" i="1"/>
  <c r="K36" i="1"/>
  <c r="J80" i="1"/>
  <c r="K90" i="1"/>
  <c r="AC10" i="1"/>
  <c r="AC12" i="1"/>
  <c r="AC86" i="1"/>
  <c r="AC106" i="1"/>
  <c r="K60" i="1"/>
  <c r="M7" i="1"/>
  <c r="T58" i="1"/>
  <c r="E22" i="1"/>
  <c r="G74" i="1"/>
  <c r="D28" i="1"/>
  <c r="G39" i="1"/>
  <c r="H7" i="1"/>
  <c r="E17" i="1"/>
  <c r="K32" i="1"/>
  <c r="K61" i="1"/>
  <c r="J62" i="1"/>
  <c r="K77" i="1"/>
  <c r="F88" i="1"/>
  <c r="I94" i="1"/>
  <c r="T19" i="1"/>
  <c r="T73" i="1"/>
  <c r="T82" i="1"/>
  <c r="AC26" i="1"/>
  <c r="AC51" i="1"/>
  <c r="Z143" i="1"/>
  <c r="Z146" i="1" s="1"/>
  <c r="AC111" i="1"/>
  <c r="AC117" i="1"/>
  <c r="K14" i="1"/>
  <c r="F11" i="1"/>
  <c r="I48" i="1"/>
  <c r="T84" i="1"/>
  <c r="AC45" i="1"/>
  <c r="AC103" i="1"/>
  <c r="K31" i="1"/>
  <c r="G34" i="1"/>
  <c r="J39" i="1"/>
  <c r="K53" i="1"/>
  <c r="J57" i="1"/>
  <c r="K79" i="1"/>
  <c r="F85" i="1"/>
  <c r="E94" i="1"/>
  <c r="T21" i="1"/>
  <c r="T51" i="1"/>
  <c r="T56" i="1"/>
  <c r="T68" i="1"/>
  <c r="T110" i="1"/>
  <c r="T112" i="1"/>
  <c r="T116" i="1"/>
  <c r="AC13" i="1"/>
  <c r="AC15" i="1"/>
  <c r="AC17" i="1"/>
  <c r="AC41" i="1"/>
  <c r="AC50" i="1"/>
  <c r="AC77" i="1"/>
  <c r="AC82" i="1"/>
  <c r="AC89" i="1"/>
  <c r="AC91" i="1"/>
  <c r="AC93" i="1"/>
  <c r="AC98" i="1"/>
  <c r="AC102" i="1"/>
  <c r="AC113" i="1"/>
  <c r="K43" i="1"/>
  <c r="C11" i="1"/>
  <c r="K87" i="1"/>
  <c r="K91" i="1"/>
  <c r="K93" i="1"/>
  <c r="AC16" i="1"/>
  <c r="K19" i="1"/>
  <c r="K33" i="1"/>
  <c r="F34" i="1"/>
  <c r="K47" i="1"/>
  <c r="K51" i="1"/>
  <c r="K59" i="1"/>
  <c r="K65" i="1"/>
  <c r="J66" i="1"/>
  <c r="K81" i="1"/>
  <c r="K82" i="1"/>
  <c r="G94" i="1"/>
  <c r="K97" i="1"/>
  <c r="K113" i="1"/>
  <c r="K127" i="1"/>
  <c r="E125" i="1"/>
  <c r="K130" i="1"/>
  <c r="K132" i="1"/>
  <c r="K137" i="1"/>
  <c r="T37" i="1"/>
  <c r="T43" i="1"/>
  <c r="T60" i="1"/>
  <c r="T78" i="1"/>
  <c r="T97" i="1"/>
  <c r="T102" i="1"/>
  <c r="T131" i="1"/>
  <c r="T139" i="1"/>
  <c r="AC18" i="1"/>
  <c r="AC21" i="1"/>
  <c r="AC30" i="1"/>
  <c r="AC40" i="1"/>
  <c r="AC64" i="1"/>
  <c r="AC68" i="1"/>
  <c r="AC78" i="1"/>
  <c r="AC110" i="1"/>
  <c r="T127" i="1"/>
  <c r="T138" i="1"/>
  <c r="T130" i="1"/>
  <c r="T133" i="1"/>
  <c r="AC131" i="1"/>
  <c r="AC139" i="1"/>
  <c r="J11" i="1"/>
  <c r="K15" i="1"/>
  <c r="D17" i="1"/>
  <c r="K26" i="1"/>
  <c r="J48" i="1"/>
  <c r="G52" i="1"/>
  <c r="K55" i="1"/>
  <c r="F62" i="1"/>
  <c r="K63" i="1"/>
  <c r="C74" i="1"/>
  <c r="K76" i="1"/>
  <c r="D80" i="1"/>
  <c r="K84" i="1"/>
  <c r="I88" i="1"/>
  <c r="E100" i="1"/>
  <c r="O7" i="1"/>
  <c r="T9" i="1"/>
  <c r="T50" i="1"/>
  <c r="T79" i="1"/>
  <c r="T98" i="1"/>
  <c r="AA143" i="1"/>
  <c r="AA146" i="1" s="1"/>
  <c r="AC33" i="1"/>
  <c r="AC42" i="1"/>
  <c r="T40" i="1"/>
  <c r="C28" i="1"/>
  <c r="J28" i="1"/>
  <c r="K73" i="1"/>
  <c r="K83" i="1"/>
  <c r="C94" i="1"/>
  <c r="K136" i="1"/>
  <c r="C125" i="1"/>
  <c r="T83" i="1"/>
  <c r="T89" i="1"/>
  <c r="N125" i="1"/>
  <c r="S125" i="1"/>
  <c r="AC9" i="1"/>
  <c r="Y7" i="1"/>
  <c r="Y123" i="1" s="1"/>
  <c r="AC76" i="1"/>
  <c r="AC115" i="1"/>
  <c r="K104" i="1"/>
  <c r="G100" i="1"/>
  <c r="T87" i="1"/>
  <c r="K9" i="1"/>
  <c r="K16" i="1"/>
  <c r="K21" i="1"/>
  <c r="K37" i="1"/>
  <c r="C44" i="1"/>
  <c r="D44" i="1"/>
  <c r="I52" i="1"/>
  <c r="F57" i="1"/>
  <c r="K78" i="1"/>
  <c r="E80" i="1"/>
  <c r="K92" i="1"/>
  <c r="K102" i="1"/>
  <c r="K116" i="1"/>
  <c r="F114" i="1"/>
  <c r="T30" i="1"/>
  <c r="T59" i="1"/>
  <c r="AC60" i="1"/>
  <c r="AC67" i="1"/>
  <c r="F94" i="1"/>
  <c r="K101" i="1"/>
  <c r="J105" i="1"/>
  <c r="J114" i="1"/>
  <c r="K117" i="1"/>
  <c r="K128" i="1"/>
  <c r="D125" i="1"/>
  <c r="K131" i="1"/>
  <c r="K133" i="1"/>
  <c r="T20" i="1"/>
  <c r="T33" i="1"/>
  <c r="T53" i="1"/>
  <c r="T54" i="1"/>
  <c r="T67" i="1"/>
  <c r="T128" i="1"/>
  <c r="T129" i="1"/>
  <c r="X7" i="1"/>
  <c r="X123" i="1" s="1"/>
  <c r="AC24" i="1"/>
  <c r="AC32" i="1"/>
  <c r="AC49" i="1"/>
  <c r="AC62" i="1"/>
  <c r="AC63" i="1"/>
  <c r="AC90" i="1"/>
  <c r="AC104" i="1"/>
  <c r="AC112" i="1"/>
  <c r="AC116" i="1"/>
  <c r="AC128" i="1"/>
  <c r="F105" i="1"/>
  <c r="K110" i="1"/>
  <c r="J125" i="1"/>
  <c r="K138" i="1"/>
  <c r="T10" i="1"/>
  <c r="T12" i="1"/>
  <c r="T14" i="1"/>
  <c r="T27" i="1"/>
  <c r="T36" i="1"/>
  <c r="Q123" i="1"/>
  <c r="Q143" i="1" s="1"/>
  <c r="Q146" i="1" s="1"/>
  <c r="T64" i="1"/>
  <c r="T75" i="1"/>
  <c r="T111" i="1"/>
  <c r="T136" i="1"/>
  <c r="AC14" i="1"/>
  <c r="AC29" i="1"/>
  <c r="AC38" i="1"/>
  <c r="AC43" i="1"/>
  <c r="AC46" i="1"/>
  <c r="AC92" i="1"/>
  <c r="AC97" i="1"/>
  <c r="AC101" i="1"/>
  <c r="AC107" i="1"/>
  <c r="AC129" i="1"/>
  <c r="AC126" i="1"/>
  <c r="T140" i="1"/>
  <c r="AC133" i="1"/>
  <c r="AC27" i="1"/>
  <c r="AC25" i="1"/>
  <c r="J22" i="1"/>
  <c r="K24" i="1"/>
  <c r="K25" i="1"/>
  <c r="AC96" i="1"/>
  <c r="AC75" i="1"/>
  <c r="AC35" i="1"/>
  <c r="AC56" i="1"/>
  <c r="AC95" i="1"/>
  <c r="V7" i="1"/>
  <c r="V123" i="1" s="1"/>
  <c r="AC31" i="1"/>
  <c r="AC79" i="1"/>
  <c r="AC108" i="1"/>
  <c r="AC109" i="1"/>
  <c r="T49" i="1"/>
  <c r="T92" i="1"/>
  <c r="T104" i="1"/>
  <c r="T31" i="1"/>
  <c r="T16" i="1"/>
  <c r="T26" i="1"/>
  <c r="T42" i="1"/>
  <c r="T46" i="1"/>
  <c r="T86" i="1"/>
  <c r="T91" i="1"/>
  <c r="T95" i="1"/>
  <c r="T96" i="1"/>
  <c r="T103" i="1"/>
  <c r="T126" i="1"/>
  <c r="P7" i="1"/>
  <c r="T29" i="1"/>
  <c r="T108" i="1"/>
  <c r="L125" i="1"/>
  <c r="M125" i="1"/>
  <c r="T114" i="1"/>
  <c r="E7" i="1"/>
  <c r="C52" i="1"/>
  <c r="K56" i="1"/>
  <c r="D66" i="1"/>
  <c r="K23" i="1"/>
  <c r="F22" i="1"/>
  <c r="K45" i="1"/>
  <c r="C48" i="1"/>
  <c r="K126" i="1"/>
  <c r="J17" i="1"/>
  <c r="K58" i="1"/>
  <c r="K75" i="1"/>
  <c r="F74" i="1"/>
  <c r="K106" i="1"/>
  <c r="F109" i="1"/>
  <c r="K111" i="1"/>
  <c r="C17" i="1"/>
  <c r="K20" i="1"/>
  <c r="K38" i="1"/>
  <c r="D39" i="1"/>
  <c r="K41" i="1"/>
  <c r="J44" i="1"/>
  <c r="J88" i="1"/>
  <c r="K88" i="1" s="1"/>
  <c r="J94" i="1"/>
  <c r="K103" i="1"/>
  <c r="G62" i="1"/>
  <c r="G66" i="1"/>
  <c r="H88" i="1"/>
  <c r="D94" i="1"/>
  <c r="D100" i="1"/>
  <c r="K129" i="1"/>
  <c r="G7" i="1"/>
  <c r="E57" i="1"/>
  <c r="J85" i="1"/>
  <c r="J109" i="1"/>
  <c r="AZ125" i="1"/>
  <c r="BA125" i="1"/>
  <c r="BB125" i="1"/>
  <c r="K35" i="1" l="1"/>
  <c r="T90" i="1"/>
  <c r="AC22" i="1"/>
  <c r="F44" i="1"/>
  <c r="K44" i="1" s="1"/>
  <c r="AC11" i="1"/>
  <c r="L123" i="1"/>
  <c r="L143" i="1" s="1"/>
  <c r="L146" i="1" s="1"/>
  <c r="K57" i="1"/>
  <c r="J52" i="1"/>
  <c r="AB7" i="1"/>
  <c r="T62" i="1"/>
  <c r="AC74" i="1"/>
  <c r="AC52" i="1"/>
  <c r="AC23" i="1"/>
  <c r="J34" i="1"/>
  <c r="K34" i="1" s="1"/>
  <c r="AC39" i="1"/>
  <c r="AC57" i="1"/>
  <c r="T85" i="1"/>
  <c r="K11" i="1"/>
  <c r="AC59" i="1"/>
  <c r="AC66" i="1"/>
  <c r="K96" i="1"/>
  <c r="AC105" i="1"/>
  <c r="H123" i="1"/>
  <c r="H143" i="1" s="1"/>
  <c r="H146" i="1" s="1"/>
  <c r="F100" i="1"/>
  <c r="R123" i="1"/>
  <c r="R143" i="1" s="1"/>
  <c r="R146" i="1" s="1"/>
  <c r="C123" i="1"/>
  <c r="C143" i="1" s="1"/>
  <c r="C146" i="1" s="1"/>
  <c r="K10" i="1"/>
  <c r="T11" i="1"/>
  <c r="K98" i="1"/>
  <c r="T45" i="1"/>
  <c r="AC19" i="1"/>
  <c r="T80" i="1"/>
  <c r="AC114" i="1"/>
  <c r="K86" i="1"/>
  <c r="W143" i="1"/>
  <c r="W146" i="1" s="1"/>
  <c r="AC81" i="1"/>
  <c r="AC85" i="1"/>
  <c r="AC100" i="1"/>
  <c r="T109" i="1"/>
  <c r="AC88" i="1"/>
  <c r="K85" i="1"/>
  <c r="K12" i="1"/>
  <c r="AC48" i="1"/>
  <c r="AC87" i="1"/>
  <c r="K50" i="1"/>
  <c r="K62" i="1"/>
  <c r="N123" i="1"/>
  <c r="N143" i="1" s="1"/>
  <c r="N146" i="1" s="1"/>
  <c r="K105" i="1"/>
  <c r="T13" i="1"/>
  <c r="T17" i="1"/>
  <c r="I123" i="1"/>
  <c r="I143" i="1" s="1"/>
  <c r="I146" i="1" s="1"/>
  <c r="J74" i="1"/>
  <c r="K74" i="1" s="1"/>
  <c r="AC136" i="1"/>
  <c r="AC125" i="1" s="1"/>
  <c r="AC36" i="1"/>
  <c r="J7" i="1"/>
  <c r="AC8" i="1"/>
  <c r="G123" i="1"/>
  <c r="G143" i="1" s="1"/>
  <c r="G146" i="1" s="1"/>
  <c r="T52" i="1"/>
  <c r="AC44" i="1"/>
  <c r="AC34" i="1"/>
  <c r="K114" i="1"/>
  <c r="O125" i="1"/>
  <c r="T125" i="1"/>
  <c r="AC80" i="1"/>
  <c r="J100" i="1"/>
  <c r="D123" i="1"/>
  <c r="D143" i="1" s="1"/>
  <c r="D146" i="1" s="1"/>
  <c r="F52" i="1"/>
  <c r="T88" i="1"/>
  <c r="P123" i="1"/>
  <c r="M123" i="1"/>
  <c r="M143" i="1" s="1"/>
  <c r="M146" i="1" s="1"/>
  <c r="U143" i="1"/>
  <c r="U146" i="1" s="1"/>
  <c r="AC28" i="1"/>
  <c r="AC53" i="1"/>
  <c r="K30" i="1"/>
  <c r="F28" i="1"/>
  <c r="K28" i="1" s="1"/>
  <c r="F80" i="1"/>
  <c r="K80" i="1" s="1"/>
  <c r="T100" i="1"/>
  <c r="K46" i="1"/>
  <c r="T57" i="1"/>
  <c r="T18" i="1"/>
  <c r="T66" i="1"/>
  <c r="Y143" i="1"/>
  <c r="Y146" i="1" s="1"/>
  <c r="V143" i="1"/>
  <c r="V146" i="1" s="1"/>
  <c r="F125" i="1"/>
  <c r="K22" i="1"/>
  <c r="AC94" i="1"/>
  <c r="AC99" i="1"/>
  <c r="T74" i="1"/>
  <c r="T76" i="1"/>
  <c r="T94" i="1"/>
  <c r="T35" i="1"/>
  <c r="T23" i="1"/>
  <c r="T22" i="1"/>
  <c r="T106" i="1"/>
  <c r="T105" i="1"/>
  <c r="T8" i="1"/>
  <c r="S7" i="1"/>
  <c r="T7" i="1" s="1"/>
  <c r="T41" i="1"/>
  <c r="T55" i="1"/>
  <c r="T44" i="1"/>
  <c r="T28" i="1"/>
  <c r="K125" i="1"/>
  <c r="F48" i="1"/>
  <c r="K48" i="1" s="1"/>
  <c r="K49" i="1"/>
  <c r="F66" i="1"/>
  <c r="K66" i="1" s="1"/>
  <c r="K68" i="1"/>
  <c r="F17" i="1"/>
  <c r="K17" i="1" s="1"/>
  <c r="K18" i="1"/>
  <c r="K109" i="1"/>
  <c r="K94" i="1"/>
  <c r="E123" i="1"/>
  <c r="E143" i="1" s="1"/>
  <c r="E146" i="1" s="1"/>
  <c r="K40" i="1"/>
  <c r="F39" i="1"/>
  <c r="K39" i="1" s="1"/>
  <c r="F7" i="1"/>
  <c r="K8" i="1"/>
  <c r="AC7" i="1" l="1"/>
  <c r="AB123" i="1"/>
  <c r="AB143" i="1" s="1"/>
  <c r="AB146" i="1" s="1"/>
  <c r="K52" i="1"/>
  <c r="S123" i="1"/>
  <c r="S143" i="1" s="1"/>
  <c r="S146" i="1" s="1"/>
  <c r="T34" i="1"/>
  <c r="T48" i="1"/>
  <c r="K100" i="1"/>
  <c r="X143" i="1"/>
  <c r="J123" i="1"/>
  <c r="J143" i="1" s="1"/>
  <c r="J146" i="1" s="1"/>
  <c r="T39" i="1"/>
  <c r="P143" i="1"/>
  <c r="P146" i="1" s="1"/>
  <c r="O123" i="1"/>
  <c r="K7" i="1"/>
  <c r="F123" i="1"/>
  <c r="AC143" i="1" l="1"/>
  <c r="AC146" i="1" s="1"/>
  <c r="X146" i="1"/>
  <c r="AC123" i="1"/>
  <c r="O143" i="1"/>
  <c r="T123" i="1"/>
  <c r="K123" i="1"/>
  <c r="F143" i="1"/>
  <c r="AX125" i="1"/>
  <c r="BC90" i="1"/>
  <c r="BC91" i="1"/>
  <c r="BC93" i="1"/>
  <c r="BC92" i="1"/>
  <c r="BC89" i="1"/>
  <c r="BC117" i="1"/>
  <c r="BC116" i="1"/>
  <c r="BC115" i="1"/>
  <c r="T143" i="1" l="1"/>
  <c r="T146" i="1" s="1"/>
  <c r="O146" i="1"/>
  <c r="K143" i="1"/>
  <c r="K146" i="1" s="1"/>
  <c r="F146" i="1"/>
  <c r="AW125" i="1"/>
  <c r="BC75" i="1"/>
  <c r="BC77" i="1"/>
  <c r="BC79" i="1"/>
  <c r="BC78" i="1"/>
  <c r="BC76" i="1"/>
  <c r="BC65" i="1"/>
  <c r="BC64" i="1"/>
  <c r="BC63" i="1"/>
  <c r="AY125" i="1" l="1"/>
  <c r="BC38" i="1"/>
  <c r="BC37" i="1"/>
  <c r="BC32" i="1"/>
  <c r="BC33" i="1"/>
  <c r="BC31" i="1"/>
  <c r="BC30" i="1"/>
  <c r="BC29" i="1"/>
  <c r="BC35" i="1" l="1"/>
  <c r="BC36" i="1"/>
  <c r="BC21" i="1" l="1"/>
  <c r="BC19" i="1"/>
  <c r="BC8" i="1" l="1"/>
  <c r="BC9" i="1"/>
  <c r="BC10" i="1"/>
  <c r="BC12" i="1"/>
  <c r="BC13" i="1"/>
  <c r="BC14" i="1"/>
  <c r="BC15" i="1"/>
  <c r="BC16" i="1"/>
  <c r="BC23" i="1"/>
  <c r="BC24" i="1"/>
  <c r="BC25" i="1"/>
  <c r="BC26" i="1"/>
  <c r="BC27" i="1"/>
  <c r="BC40" i="1"/>
  <c r="BC41" i="1"/>
  <c r="BD41" i="1" s="1"/>
  <c r="BC43" i="1"/>
  <c r="BC45" i="1"/>
  <c r="BC46" i="1"/>
  <c r="BC47" i="1"/>
  <c r="BC49" i="1"/>
  <c r="BC50" i="1"/>
  <c r="BC51" i="1"/>
  <c r="BC58" i="1"/>
  <c r="BC59" i="1"/>
  <c r="BC60" i="1"/>
  <c r="BC61" i="1"/>
  <c r="BC81" i="1"/>
  <c r="BC82" i="1"/>
  <c r="BC83" i="1"/>
  <c r="BC84" i="1"/>
  <c r="BC87" i="1"/>
  <c r="BC95" i="1"/>
  <c r="BC96" i="1"/>
  <c r="BC97" i="1"/>
  <c r="BC101" i="1"/>
  <c r="BC102" i="1"/>
  <c r="BC103" i="1"/>
  <c r="BC104" i="1"/>
  <c r="BC110" i="1"/>
  <c r="BC111" i="1"/>
  <c r="BC112" i="1"/>
  <c r="BC113" i="1"/>
  <c r="BC122" i="1"/>
  <c r="BC124" i="1"/>
  <c r="BC126" i="1"/>
  <c r="BC127" i="1"/>
  <c r="BC128" i="1"/>
  <c r="BC129" i="1"/>
  <c r="BC130" i="1"/>
  <c r="BC131" i="1"/>
  <c r="BC132" i="1"/>
  <c r="BC133" i="1"/>
  <c r="BC137" i="1"/>
  <c r="BC138" i="1"/>
  <c r="BC125" i="1" l="1"/>
  <c r="BD67" i="1" l="1"/>
  <c r="BD122" i="1"/>
  <c r="BD124" i="1"/>
  <c r="AU53" i="1" l="1"/>
  <c r="AU67" i="1"/>
  <c r="AU122" i="1"/>
  <c r="AU124" i="1"/>
  <c r="BD68" i="1" l="1"/>
  <c r="AU68" i="1" l="1"/>
  <c r="BD97" i="1"/>
  <c r="BD96" i="1"/>
  <c r="BD95" i="1"/>
  <c r="BD141" i="1"/>
  <c r="BD140" i="1"/>
  <c r="BD139" i="1"/>
  <c r="BD138" i="1"/>
  <c r="BD137" i="1"/>
  <c r="BD136" i="1"/>
  <c r="BD133" i="1"/>
  <c r="BD132" i="1"/>
  <c r="BD131" i="1"/>
  <c r="BD130" i="1"/>
  <c r="BD129" i="1"/>
  <c r="BD128" i="1"/>
  <c r="BD127" i="1"/>
  <c r="BD126" i="1"/>
  <c r="BD117" i="1"/>
  <c r="BD116" i="1"/>
  <c r="BD115" i="1"/>
  <c r="BD113" i="1"/>
  <c r="BD112" i="1"/>
  <c r="BD111" i="1"/>
  <c r="BD110" i="1"/>
  <c r="BD108" i="1"/>
  <c r="BD107" i="1"/>
  <c r="BD106" i="1"/>
  <c r="BD104" i="1"/>
  <c r="BD103" i="1"/>
  <c r="BD102" i="1"/>
  <c r="BD101" i="1"/>
  <c r="BD98" i="1"/>
  <c r="BD93" i="1"/>
  <c r="BD92" i="1"/>
  <c r="BD91" i="1"/>
  <c r="BD90" i="1"/>
  <c r="BD89" i="1"/>
  <c r="BD87" i="1"/>
  <c r="BD86" i="1"/>
  <c r="BD84" i="1"/>
  <c r="BD83" i="1"/>
  <c r="BD82" i="1"/>
  <c r="BD81" i="1"/>
  <c r="BD79" i="1"/>
  <c r="BD78" i="1"/>
  <c r="BD77" i="1"/>
  <c r="BD76" i="1"/>
  <c r="BD75" i="1"/>
  <c r="BD65" i="1"/>
  <c r="BD64" i="1"/>
  <c r="BD63" i="1"/>
  <c r="BD61" i="1"/>
  <c r="BD60" i="1"/>
  <c r="BD59" i="1"/>
  <c r="BD58" i="1"/>
  <c r="BB57" i="1"/>
  <c r="BA57" i="1"/>
  <c r="AZ57" i="1"/>
  <c r="AX57" i="1"/>
  <c r="AW57" i="1"/>
  <c r="BD56" i="1"/>
  <c r="BD55" i="1"/>
  <c r="BD54" i="1"/>
  <c r="BD53" i="1"/>
  <c r="BB52" i="1"/>
  <c r="BA52" i="1"/>
  <c r="AZ52" i="1"/>
  <c r="AX52" i="1"/>
  <c r="AW52" i="1"/>
  <c r="BD51" i="1"/>
  <c r="BD50" i="1"/>
  <c r="BD49" i="1"/>
  <c r="BB48" i="1"/>
  <c r="BA48" i="1"/>
  <c r="AZ48" i="1"/>
  <c r="AX48" i="1"/>
  <c r="AW48" i="1"/>
  <c r="BD47" i="1"/>
  <c r="BD46" i="1"/>
  <c r="BD45" i="1"/>
  <c r="BB44" i="1"/>
  <c r="BA44" i="1"/>
  <c r="AZ44" i="1"/>
  <c r="AX44" i="1"/>
  <c r="AT2" i="1" s="1"/>
  <c r="AW44" i="1"/>
  <c r="AO2" i="1" s="1"/>
  <c r="BD43" i="1"/>
  <c r="BD40" i="1"/>
  <c r="BB39" i="1"/>
  <c r="BA39" i="1"/>
  <c r="AZ39" i="1"/>
  <c r="AX39" i="1"/>
  <c r="AW39" i="1"/>
  <c r="BD38" i="1"/>
  <c r="BD37" i="1"/>
  <c r="BD36" i="1"/>
  <c r="BD35" i="1"/>
  <c r="BB34" i="1"/>
  <c r="BA34" i="1"/>
  <c r="AZ34" i="1"/>
  <c r="AX34" i="1"/>
  <c r="AW34" i="1"/>
  <c r="BD33" i="1"/>
  <c r="BD32" i="1"/>
  <c r="BD31" i="1"/>
  <c r="BD30" i="1"/>
  <c r="BD29" i="1"/>
  <c r="BB28" i="1"/>
  <c r="BA28" i="1"/>
  <c r="AZ28" i="1"/>
  <c r="AX28" i="1"/>
  <c r="AW28" i="1"/>
  <c r="BD27" i="1"/>
  <c r="BD26" i="1"/>
  <c r="BD25" i="1"/>
  <c r="BD24" i="1"/>
  <c r="BD23" i="1"/>
  <c r="BB22" i="1"/>
  <c r="BA22" i="1"/>
  <c r="AZ22" i="1"/>
  <c r="AX22" i="1"/>
  <c r="AW22" i="1"/>
  <c r="BD21" i="1"/>
  <c r="BD20" i="1"/>
  <c r="BD19" i="1"/>
  <c r="BD18" i="1"/>
  <c r="BB17" i="1"/>
  <c r="BA17" i="1"/>
  <c r="AZ17" i="1"/>
  <c r="AX17" i="1"/>
  <c r="AW17" i="1"/>
  <c r="BD16" i="1"/>
  <c r="BD15" i="1"/>
  <c r="BD14" i="1"/>
  <c r="BD13" i="1"/>
  <c r="BD12" i="1"/>
  <c r="BB11" i="1"/>
  <c r="BA11" i="1"/>
  <c r="AZ11" i="1"/>
  <c r="AX11" i="1"/>
  <c r="AW11" i="1"/>
  <c r="BD10" i="1"/>
  <c r="BD9" i="1"/>
  <c r="BD8" i="1"/>
  <c r="BB7" i="1"/>
  <c r="BA7" i="1"/>
  <c r="AZ7" i="1"/>
  <c r="AX7" i="1"/>
  <c r="AW7" i="1"/>
  <c r="AU126" i="1"/>
  <c r="AU107" i="1"/>
  <c r="AU55" i="1"/>
  <c r="AU27" i="1"/>
  <c r="AU26" i="1"/>
  <c r="AU25" i="1"/>
  <c r="AU24" i="1"/>
  <c r="AS7" i="1"/>
  <c r="AS123" i="1" s="1"/>
  <c r="AS143" i="1" s="1"/>
  <c r="AR7" i="1"/>
  <c r="AQ7" i="1"/>
  <c r="AQ123" i="1" s="1"/>
  <c r="AQ143" i="1" s="1"/>
  <c r="AO7" i="1"/>
  <c r="AO123" i="1" s="1"/>
  <c r="AO143" i="1" s="1"/>
  <c r="AN7" i="1"/>
  <c r="AN123" i="1" s="1"/>
  <c r="AJ7" i="1"/>
  <c r="AJ123" i="1" s="1"/>
  <c r="AI7" i="1"/>
  <c r="AI123" i="1" s="1"/>
  <c r="AH7" i="1"/>
  <c r="AH123" i="1" s="1"/>
  <c r="AF7" i="1"/>
  <c r="AF123" i="1" s="1"/>
  <c r="AE7" i="1"/>
  <c r="AE123" i="1" s="1"/>
  <c r="AD7" i="1"/>
  <c r="AD123" i="1" s="1"/>
  <c r="AR123" i="1" l="1"/>
  <c r="AR143" i="1" s="1"/>
  <c r="AM2" i="1"/>
  <c r="AN143" i="1"/>
  <c r="AT143" i="1"/>
  <c r="BA123" i="1"/>
  <c r="BA143" i="1" s="1"/>
  <c r="BA146" i="1" s="1"/>
  <c r="AJ143" i="1"/>
  <c r="AJ146" i="1" s="1"/>
  <c r="BB123" i="1"/>
  <c r="AZ123" i="1"/>
  <c r="AQ146" i="1"/>
  <c r="AX123" i="1"/>
  <c r="AX143" i="1" s="1"/>
  <c r="AX146" i="1" s="1"/>
  <c r="AF143" i="1"/>
  <c r="AF146" i="1" s="1"/>
  <c r="AM146" i="1"/>
  <c r="AH143" i="1"/>
  <c r="AH146" i="1" s="1"/>
  <c r="AS146" i="1"/>
  <c r="BD125" i="1"/>
  <c r="BC85" i="1"/>
  <c r="BC105" i="1"/>
  <c r="AU59" i="1"/>
  <c r="AU61" i="1"/>
  <c r="AU63" i="1"/>
  <c r="AU65" i="1"/>
  <c r="AU75" i="1"/>
  <c r="AU77" i="1"/>
  <c r="AU79" i="1"/>
  <c r="AU81" i="1"/>
  <c r="AU83" i="1"/>
  <c r="AU89" i="1"/>
  <c r="AU91" i="1"/>
  <c r="AU93" i="1"/>
  <c r="BC22" i="1"/>
  <c r="BC39" i="1"/>
  <c r="BC62" i="1"/>
  <c r="AU46" i="1"/>
  <c r="AU50" i="1"/>
  <c r="BC114" i="1"/>
  <c r="AU87" i="1"/>
  <c r="BC52" i="1"/>
  <c r="BC88" i="1"/>
  <c r="BC7" i="1"/>
  <c r="BC17" i="1"/>
  <c r="BC34" i="1"/>
  <c r="BC44" i="1"/>
  <c r="BC57" i="1"/>
  <c r="BC109" i="1"/>
  <c r="BC11" i="1"/>
  <c r="BC28" i="1"/>
  <c r="BC80" i="1"/>
  <c r="BC94" i="1"/>
  <c r="BC100" i="1"/>
  <c r="BC74" i="1"/>
  <c r="BC48" i="1"/>
  <c r="AU99" i="1"/>
  <c r="AU101" i="1"/>
  <c r="AU103" i="1"/>
  <c r="AU45" i="1"/>
  <c r="AU47" i="1"/>
  <c r="AU49" i="1"/>
  <c r="AU51" i="1"/>
  <c r="AU54" i="1"/>
  <c r="AU56" i="1"/>
  <c r="AU58" i="1"/>
  <c r="AU60" i="1"/>
  <c r="AU64" i="1"/>
  <c r="AU76" i="1"/>
  <c r="AU78" i="1"/>
  <c r="AU82" i="1"/>
  <c r="AU84" i="1"/>
  <c r="AU86" i="1"/>
  <c r="AU90" i="1"/>
  <c r="AU92" i="1"/>
  <c r="AU102" i="1"/>
  <c r="AU104" i="1"/>
  <c r="AU106" i="1"/>
  <c r="AY48" i="1"/>
  <c r="AU9" i="1"/>
  <c r="AU13" i="1"/>
  <c r="AU15" i="1"/>
  <c r="AU19" i="1"/>
  <c r="AU21" i="1"/>
  <c r="AU23" i="1"/>
  <c r="AU29" i="1"/>
  <c r="AU31" i="1"/>
  <c r="AU33" i="1"/>
  <c r="AU35" i="1"/>
  <c r="AU37" i="1"/>
  <c r="AU41" i="1"/>
  <c r="AU43" i="1"/>
  <c r="AU111" i="1"/>
  <c r="AU113" i="1"/>
  <c r="AU115" i="1"/>
  <c r="AU117" i="1"/>
  <c r="AU128" i="1"/>
  <c r="AU130" i="1"/>
  <c r="AU132" i="1"/>
  <c r="AU136" i="1"/>
  <c r="AU138" i="1"/>
  <c r="AU140" i="1"/>
  <c r="AU95" i="1"/>
  <c r="AU97" i="1"/>
  <c r="AU8" i="1"/>
  <c r="AU10" i="1"/>
  <c r="AU12" i="1"/>
  <c r="AU14" i="1"/>
  <c r="AU16" i="1"/>
  <c r="AU18" i="1"/>
  <c r="AU20" i="1"/>
  <c r="AU30" i="1"/>
  <c r="AU32" i="1"/>
  <c r="AU36" i="1"/>
  <c r="AU38" i="1"/>
  <c r="AU40" i="1"/>
  <c r="AU108" i="1"/>
  <c r="AU112" i="1"/>
  <c r="AU116" i="1"/>
  <c r="AU127" i="1"/>
  <c r="AU129" i="1"/>
  <c r="AU131" i="1"/>
  <c r="AU133" i="1"/>
  <c r="AU137" i="1"/>
  <c r="AU139" i="1"/>
  <c r="AU141" i="1"/>
  <c r="AW123" i="1"/>
  <c r="AQ2" i="1" s="1"/>
  <c r="AU96" i="1"/>
  <c r="AY44" i="1"/>
  <c r="AY39" i="1"/>
  <c r="AY22" i="1"/>
  <c r="AT7" i="1"/>
  <c r="AT123" i="1" s="1"/>
  <c r="AK7" i="1"/>
  <c r="AK123" i="1" s="1"/>
  <c r="AP7" i="1"/>
  <c r="AP123" i="1" s="1"/>
  <c r="AP143" i="1" s="1"/>
  <c r="AY7" i="1"/>
  <c r="AY34" i="1"/>
  <c r="AG7" i="1"/>
  <c r="AG123" i="1" s="1"/>
  <c r="AY17" i="1"/>
  <c r="AY52" i="1"/>
  <c r="AY28" i="1"/>
  <c r="AY57" i="1"/>
  <c r="AY11" i="1"/>
  <c r="AV143" i="1"/>
  <c r="AV146" i="1" s="1"/>
  <c r="AI143" i="1"/>
  <c r="AI146" i="1" s="1"/>
  <c r="AL123" i="1" l="1"/>
  <c r="BC123" i="1"/>
  <c r="AT146" i="1"/>
  <c r="AR146" i="1"/>
  <c r="AY123" i="1"/>
  <c r="AE143" i="1"/>
  <c r="AE146" i="1" s="1"/>
  <c r="AW143" i="1"/>
  <c r="AW146" i="1" s="1"/>
  <c r="BD62" i="1"/>
  <c r="AK143" i="1"/>
  <c r="BD57" i="1"/>
  <c r="BD39" i="1"/>
  <c r="BD80" i="1"/>
  <c r="AU100" i="1"/>
  <c r="BD85" i="1"/>
  <c r="BD44" i="1"/>
  <c r="BD100" i="1"/>
  <c r="AU125" i="1"/>
  <c r="AU48" i="1"/>
  <c r="BD22" i="1"/>
  <c r="BD11" i="1"/>
  <c r="BD7" i="1"/>
  <c r="BD88" i="1"/>
  <c r="AU88" i="1"/>
  <c r="BD105" i="1"/>
  <c r="AU74" i="1"/>
  <c r="BD48" i="1"/>
  <c r="BD94" i="1"/>
  <c r="BD17" i="1"/>
  <c r="BD28" i="1"/>
  <c r="BD109" i="1"/>
  <c r="AU44" i="1"/>
  <c r="BD114" i="1"/>
  <c r="AU114" i="1"/>
  <c r="AU85" i="1"/>
  <c r="BD52" i="1"/>
  <c r="BD34" i="1"/>
  <c r="BD74" i="1"/>
  <c r="AZ143" i="1"/>
  <c r="AZ146" i="1" s="1"/>
  <c r="BB143" i="1"/>
  <c r="BB146" i="1" s="1"/>
  <c r="AL7" i="1"/>
  <c r="AU80" i="1"/>
  <c r="AU105" i="1"/>
  <c r="AU7" i="1"/>
  <c r="AU94" i="1"/>
  <c r="AU22" i="1"/>
  <c r="AU57" i="1"/>
  <c r="AU39" i="1"/>
  <c r="AU34" i="1"/>
  <c r="AU62" i="1"/>
  <c r="AU28" i="1"/>
  <c r="AU11" i="1"/>
  <c r="AU17" i="1"/>
  <c r="AU52" i="1"/>
  <c r="AK146" i="1" l="1"/>
  <c r="AN146" i="1"/>
  <c r="BD123" i="1"/>
  <c r="BC143" i="1"/>
  <c r="BC146" i="1" s="1"/>
  <c r="AY143" i="1"/>
  <c r="AY146" i="1" s="1"/>
  <c r="BD143" i="1" l="1"/>
  <c r="BD146" i="1" s="1"/>
  <c r="AD143" i="1" l="1"/>
  <c r="AD146" i="1" s="1"/>
  <c r="AG143" i="1"/>
  <c r="AL143" i="1" s="1"/>
  <c r="AG146" i="1" l="1"/>
  <c r="AL146" i="1" s="1"/>
  <c r="AU110" i="1" l="1"/>
  <c r="AO146" i="1"/>
  <c r="AU109" i="1" l="1"/>
  <c r="AU123" i="1" s="1"/>
  <c r="AP146" i="1" l="1"/>
  <c r="AU143" i="1"/>
  <c r="AU146" i="1" s="1"/>
</calcChain>
</file>

<file path=xl/sharedStrings.xml><?xml version="1.0" encoding="utf-8"?>
<sst xmlns="http://schemas.openxmlformats.org/spreadsheetml/2006/main" count="313" uniqueCount="251">
  <si>
    <t xml:space="preserve"> </t>
  </si>
  <si>
    <t>(en milliers de francs CFA)</t>
  </si>
  <si>
    <t>DEPENSES ORDINAIRES</t>
  </si>
  <si>
    <t>DEPENSES EN CAPITAL</t>
  </si>
  <si>
    <t>Code Prog.</t>
  </si>
  <si>
    <t>Ministère /Programme/Dotation</t>
  </si>
  <si>
    <t>Dépenses de personnel</t>
  </si>
  <si>
    <t>Dépenses d'acquisitions de biens et services</t>
  </si>
  <si>
    <t>Dépenses de transfert</t>
  </si>
  <si>
    <t>Total dépenses ordinaires (a)</t>
  </si>
  <si>
    <t>Ressources Intérieures</t>
  </si>
  <si>
    <t>Ressources extérieures (dons)</t>
  </si>
  <si>
    <t>Ressources extérieures (prêts)</t>
  </si>
  <si>
    <t>Total dépenses en capital (b)</t>
  </si>
  <si>
    <t>Total des prévisions</t>
  </si>
  <si>
    <t>Total des Prévisions</t>
  </si>
  <si>
    <t>MINISTERE DU PLAN ET DU DEVELOPPEMENT</t>
  </si>
  <si>
    <t>014</t>
  </si>
  <si>
    <t>Pilotage et soutien aux services du MPD</t>
  </si>
  <si>
    <t>015</t>
  </si>
  <si>
    <t>Orientation du développement</t>
  </si>
  <si>
    <t>016</t>
  </si>
  <si>
    <t>Financement du développement et suivi-évaluation</t>
  </si>
  <si>
    <t>MINISTERE DE LA JUSTICE ET DE LA LEGISLATION</t>
  </si>
  <si>
    <t>017</t>
  </si>
  <si>
    <t>Pilotage et soutien aux services du MJL</t>
  </si>
  <si>
    <t>018</t>
  </si>
  <si>
    <t>Cadre législatif normatif et institutionnel</t>
  </si>
  <si>
    <t>019</t>
  </si>
  <si>
    <t>Services judiciaires</t>
  </si>
  <si>
    <t>020</t>
  </si>
  <si>
    <t>Système pénitentiaire</t>
  </si>
  <si>
    <t>021</t>
  </si>
  <si>
    <t>Promotion des Droits de l’Homme et Protection de l’Enfance et l'Adolescence</t>
  </si>
  <si>
    <t>MINISTERE DES AFFAIRES ETRANGERES ET DE LA COOPERATION</t>
  </si>
  <si>
    <t>022</t>
  </si>
  <si>
    <t>Pilotage et soutiens aux services du MAEC</t>
  </si>
  <si>
    <t>023</t>
  </si>
  <si>
    <t>Diplomatie et coopération internationale</t>
  </si>
  <si>
    <t>024</t>
  </si>
  <si>
    <t xml:space="preserve">Béninois de la diaspora et affaires consulaires </t>
  </si>
  <si>
    <t>025</t>
  </si>
  <si>
    <t xml:space="preserve">Système d'information et communication stratégiques (Diplomatie stratégique) </t>
  </si>
  <si>
    <t>MINISTERE DE L'ECONOMIE ET DES FINANCES</t>
  </si>
  <si>
    <t>026</t>
  </si>
  <si>
    <t>Pilotage et soutien aux services du MEF</t>
  </si>
  <si>
    <t>027</t>
  </si>
  <si>
    <t xml:space="preserve">Gestion du cadre macroéconomique </t>
  </si>
  <si>
    <t>028</t>
  </si>
  <si>
    <t>Mobilisation des ressources financières et gestion de la trésorerie de l'Etat</t>
  </si>
  <si>
    <t>029</t>
  </si>
  <si>
    <t xml:space="preserve">Gestion des dépenses publiques </t>
  </si>
  <si>
    <t>030</t>
  </si>
  <si>
    <t xml:space="preserve">Gestion des biens de l'Etat et du foncier </t>
  </si>
  <si>
    <t>MINISTERE DE L'INTERIEUR ET DE LA SECURITE PUBLIQUE</t>
  </si>
  <si>
    <t>031</t>
  </si>
  <si>
    <t>Pilotage et soutien aux services du MISP</t>
  </si>
  <si>
    <t>032</t>
  </si>
  <si>
    <t xml:space="preserve">Sécurité publique </t>
  </si>
  <si>
    <t>033</t>
  </si>
  <si>
    <t xml:space="preserve">Prévention et gestion des sinistres et catastrophes </t>
  </si>
  <si>
    <t>034</t>
  </si>
  <si>
    <t xml:space="preserve">Gestion intégrée des espaces frontaliers </t>
  </si>
  <si>
    <t>035</t>
  </si>
  <si>
    <t xml:space="preserve">Gestion des affaires interieures </t>
  </si>
  <si>
    <t>MINISTERE DE L'AGRICULTURE, DE L'ELEVAGE ET DE LA PECHE</t>
  </si>
  <si>
    <t>036</t>
  </si>
  <si>
    <t xml:space="preserve">Pilotage et soutiens aux services  du MAEP </t>
  </si>
  <si>
    <t>037</t>
  </si>
  <si>
    <t>Agriculture</t>
  </si>
  <si>
    <t>038</t>
  </si>
  <si>
    <t xml:space="preserve">Elevage </t>
  </si>
  <si>
    <t>039</t>
  </si>
  <si>
    <t xml:space="preserve">Pêche et aquaculture </t>
  </si>
  <si>
    <t>MINISTERE DE LA DECENTRALISATION ET DE LA GOUVERNANCE LOCALE</t>
  </si>
  <si>
    <t>040</t>
  </si>
  <si>
    <t>Pilotage et soutien aux services du MDGL</t>
  </si>
  <si>
    <t>041</t>
  </si>
  <si>
    <t>Promotion de la bonne gouvernance locale</t>
  </si>
  <si>
    <t>042</t>
  </si>
  <si>
    <t xml:space="preserve">Promotion de l’économie locale et de l’intercommunalité </t>
  </si>
  <si>
    <t>043</t>
  </si>
  <si>
    <t xml:space="preserve">Appui à la déconcentration </t>
  </si>
  <si>
    <t>MINISTERE DU TRAVAIL ET DE LA FONCTION PUBLIQUE</t>
  </si>
  <si>
    <t>044</t>
  </si>
  <si>
    <t>Pilotage et soutien aux services du MTFP</t>
  </si>
  <si>
    <t>045</t>
  </si>
  <si>
    <t>Travail et Sécurité Sociale</t>
  </si>
  <si>
    <t>048</t>
  </si>
  <si>
    <t>Modernisation de l'administration publique</t>
  </si>
  <si>
    <t>MINISTERE DE LA SANTE</t>
  </si>
  <si>
    <t>049</t>
  </si>
  <si>
    <t>Prévention et Sécurité sanitaire</t>
  </si>
  <si>
    <t>050</t>
  </si>
  <si>
    <t>Offre et accès aux soins de santé</t>
  </si>
  <si>
    <t>051</t>
  </si>
  <si>
    <t>Pilotage et Soutien aux services du MS</t>
  </si>
  <si>
    <t>MINISTERE DE L'ENSEIGNEMENT SUPERIEUR ET DE LA RECHERCHE SCIENTIFIQUE</t>
  </si>
  <si>
    <t>054</t>
  </si>
  <si>
    <t>Pilotage et soutien aux services du MESRS</t>
  </si>
  <si>
    <t>055</t>
  </si>
  <si>
    <t>Enseignement supérieur</t>
  </si>
  <si>
    <t>056</t>
  </si>
  <si>
    <t>Recherche scientifique et innovation technologique</t>
  </si>
  <si>
    <t>057</t>
  </si>
  <si>
    <t>Vie de l'étudiant</t>
  </si>
  <si>
    <t>MINISTERE DES ENSEIGNEMENTS SECONDAIRE, TECHNIQUE, ET DE LA FORMATION PROFESSIONNELLE</t>
  </si>
  <si>
    <t>058</t>
  </si>
  <si>
    <t>Pilotage et soutien aux services  du MESTFP</t>
  </si>
  <si>
    <t>059</t>
  </si>
  <si>
    <t xml:space="preserve">Enseignement secondaire général </t>
  </si>
  <si>
    <t>060</t>
  </si>
  <si>
    <t xml:space="preserve">Enseignement technique et formation professionnelle </t>
  </si>
  <si>
    <t>061</t>
  </si>
  <si>
    <t>Alphabétisation et formation des adultes</t>
  </si>
  <si>
    <t>MINISTERE DES ENSEIGNEMENTS MATERNEL ET PRIMAIRE</t>
  </si>
  <si>
    <t>062</t>
  </si>
  <si>
    <t>Pilotage et soutiens aux services du MEMP</t>
  </si>
  <si>
    <t>063</t>
  </si>
  <si>
    <t>Accès, équité et rétention</t>
  </si>
  <si>
    <t>064</t>
  </si>
  <si>
    <t>Qualité de l'enseignement</t>
  </si>
  <si>
    <t>MINISTERE DU NUMERIQUE ET DE LA DIGITALISATION</t>
  </si>
  <si>
    <t>065</t>
  </si>
  <si>
    <t>Pilotage et soutien aux services du MND</t>
  </si>
  <si>
    <t>066</t>
  </si>
  <si>
    <t>Sécurité Numérique</t>
  </si>
  <si>
    <t>Digitalisation de l'Administration, des entreprises et de la société</t>
  </si>
  <si>
    <t>Infrastructure et Usages Numériques</t>
  </si>
  <si>
    <t>MINISTERE DE LA COMMUNICATION ET DE LA POSTE</t>
  </si>
  <si>
    <t>Pilotage et soutien aux services du MCP</t>
  </si>
  <si>
    <t>067</t>
  </si>
  <si>
    <t xml:space="preserve">Information, Communication et poste </t>
  </si>
  <si>
    <t>MINISTERE DES INFRASTRUCTURES ET DES TRANSPORTS</t>
  </si>
  <si>
    <t>068</t>
  </si>
  <si>
    <t>Pilotage et soutien aux services du MIT</t>
  </si>
  <si>
    <t>069</t>
  </si>
  <si>
    <t>Entretien et construction de routes et infrastructures de transport rural</t>
  </si>
  <si>
    <t>070</t>
  </si>
  <si>
    <t>Transport Terrestre et securité routière</t>
  </si>
  <si>
    <t>071</t>
  </si>
  <si>
    <t>Transport maritime</t>
  </si>
  <si>
    <t>072</t>
  </si>
  <si>
    <t>Transport aérien</t>
  </si>
  <si>
    <t>MINISTERE DE L'INDUSTRIE ET DU COMMERCE</t>
  </si>
  <si>
    <t>073</t>
  </si>
  <si>
    <t>Pilotage et soutien aux services du MIC</t>
  </si>
  <si>
    <t>074</t>
  </si>
  <si>
    <t>Industrie</t>
  </si>
  <si>
    <t>075</t>
  </si>
  <si>
    <t>Commerce</t>
  </si>
  <si>
    <t>077</t>
  </si>
  <si>
    <t>Appui au secteur privé</t>
  </si>
  <si>
    <t>MINISTERE DE L'ENERGIE</t>
  </si>
  <si>
    <t>078</t>
  </si>
  <si>
    <t>Pilotage et soutiens aux services  du ME</t>
  </si>
  <si>
    <t>079</t>
  </si>
  <si>
    <t xml:space="preserve">Energie </t>
  </si>
  <si>
    <t>MINISTERE DU CADRE DE VIE ET DU DEVELOPPEMENT DURABLE</t>
  </si>
  <si>
    <t>082</t>
  </si>
  <si>
    <t>Pilotage et soutien aux services du MCVDD</t>
  </si>
  <si>
    <t>083</t>
  </si>
  <si>
    <t>Gestion de l'environnement et des changements climatiques</t>
  </si>
  <si>
    <t>084</t>
  </si>
  <si>
    <t>Gestion durable des forêts et des ressources naturelles</t>
  </si>
  <si>
    <t>085</t>
  </si>
  <si>
    <t>Gestion des territoires</t>
  </si>
  <si>
    <t>086</t>
  </si>
  <si>
    <t>Habitat</t>
  </si>
  <si>
    <t>MINISTERE  DES SPORTS</t>
  </si>
  <si>
    <t>090</t>
  </si>
  <si>
    <t>Pilotage et soutien aux services du Msports</t>
  </si>
  <si>
    <t>091</t>
  </si>
  <si>
    <t xml:space="preserve">Sport </t>
  </si>
  <si>
    <t>092</t>
  </si>
  <si>
    <t>Jeunesse et Loisirs</t>
  </si>
  <si>
    <t>088</t>
  </si>
  <si>
    <t>Tourisme</t>
  </si>
  <si>
    <t>089</t>
  </si>
  <si>
    <t>Culture</t>
  </si>
  <si>
    <t>MINISTERE DE LA DEFENSE NATIONALE</t>
  </si>
  <si>
    <t>094</t>
  </si>
  <si>
    <t>Pilotage et soutien aux services du MDN</t>
  </si>
  <si>
    <t>095</t>
  </si>
  <si>
    <t>Préparation des Forces</t>
  </si>
  <si>
    <t>096</t>
  </si>
  <si>
    <t>Protection du territoire national et participation aux opérations militaires</t>
  </si>
  <si>
    <t>097</t>
  </si>
  <si>
    <t>Equipements et infrastructures</t>
  </si>
  <si>
    <t>MINISTERE DES AFFAIRES SOCIALES ET DE LA MICROFINANCE</t>
  </si>
  <si>
    <t>098</t>
  </si>
  <si>
    <t>Pilotage et soutien aux services du MASM</t>
  </si>
  <si>
    <t>099</t>
  </si>
  <si>
    <t>PROMOTION SOCIO-ECONOMIQUE DES COUCHES VULNERABLES</t>
  </si>
  <si>
    <t>100</t>
  </si>
  <si>
    <t>PROMOTION DE L'INDUSTRIE DE LA MICROFINANCE</t>
  </si>
  <si>
    <t>MINISTERE DES PETITES ET MOYENNES ENTREPRISES ET DE LA PROMOTION DE L'EMPLOI</t>
  </si>
  <si>
    <t>0101</t>
  </si>
  <si>
    <t>Pilotage et soutien aux services du MPMEPE</t>
  </si>
  <si>
    <t>0102</t>
  </si>
  <si>
    <t>Emploi</t>
  </si>
  <si>
    <t xml:space="preserve">                                                                                            </t>
  </si>
  <si>
    <t>0103</t>
  </si>
  <si>
    <t>Artisanat</t>
  </si>
  <si>
    <t>0104</t>
  </si>
  <si>
    <t>PME</t>
  </si>
  <si>
    <t>MINISTERE DE L'EAU ET DES MINES</t>
  </si>
  <si>
    <t>0105</t>
  </si>
  <si>
    <t>Pilotage et soutiens aux services du MEM</t>
  </si>
  <si>
    <t>080</t>
  </si>
  <si>
    <t xml:space="preserve">Eau </t>
  </si>
  <si>
    <t>081</t>
  </si>
  <si>
    <t>Mines</t>
  </si>
  <si>
    <t>MINISTERE DU TOURISME, DE LA CULTURE ET DES ARTS</t>
  </si>
  <si>
    <t>Pilotage et soutiens aux services du MTCA</t>
  </si>
  <si>
    <t>093</t>
  </si>
  <si>
    <t>Culture et Art</t>
  </si>
  <si>
    <t>TOTAL PROGRAMMES BUDGETAIRES</t>
  </si>
  <si>
    <t>DOTATIONS BUDGETAIRES</t>
  </si>
  <si>
    <t>001</t>
  </si>
  <si>
    <t>Dotation pour l'Assemblée Nationale</t>
  </si>
  <si>
    <t>002</t>
  </si>
  <si>
    <t>Dotation pour la Cour Constitutionnelle</t>
  </si>
  <si>
    <t>003</t>
  </si>
  <si>
    <t>Dotation pour la Cour Suprême</t>
  </si>
  <si>
    <t>004</t>
  </si>
  <si>
    <t>Dotation pour le Conseil Economique et Social</t>
  </si>
  <si>
    <t>005</t>
  </si>
  <si>
    <t>Dotation pour la Haute Autorité de l’Audiovisuel et de la Communication</t>
  </si>
  <si>
    <t>006</t>
  </si>
  <si>
    <t>Dotation pour la Haute Cour de Justice</t>
  </si>
  <si>
    <t>007</t>
  </si>
  <si>
    <t>Dotation pour le Médiateur de la République</t>
  </si>
  <si>
    <t>008</t>
  </si>
  <si>
    <t xml:space="preserve">Dotation pour la Commission Electorale Nationale Autonome </t>
  </si>
  <si>
    <t>009</t>
  </si>
  <si>
    <t>Cour des Comptes</t>
  </si>
  <si>
    <t>010</t>
  </si>
  <si>
    <t xml:space="preserve">Commission Béninoise des Droits de l'Homme </t>
  </si>
  <si>
    <t>011</t>
  </si>
  <si>
    <t>Dotation pour le FNRB, la CAA et le Fonds Routier</t>
  </si>
  <si>
    <t>Dotation pour la Présidence de la République</t>
  </si>
  <si>
    <t>Autorité de Protection des Données à Caractère Personnel</t>
  </si>
  <si>
    <t>Dotation pour les dépenses d'intervention publique, accidentelles et imprévisibles</t>
  </si>
  <si>
    <t>012</t>
  </si>
  <si>
    <t>Dotations pour les crédits destinés à couvrir les défauts de remboursement ou les appels en garanties intervenues sur les comptes d'avances, de prêts, d'aval et de garanties</t>
  </si>
  <si>
    <t>013</t>
  </si>
  <si>
    <t>Dotation pour les Charges financières de la dette</t>
  </si>
  <si>
    <t>TOTAL BUDGET DE L'ETAT</t>
  </si>
  <si>
    <t xml:space="preserve">Opérations de Trésoreries </t>
  </si>
  <si>
    <t>TOTAL DE LA LOI DE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</si>
</sst>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C_F_A_-;\-* #,##0\ _C_F_A_-;_-* &quot;-&quot;\ _C_F_A_-;_-@_-"/>
    <numFmt numFmtId="165" formatCode="#,##0.0"/>
    <numFmt numFmtId="166" formatCode="_-* #,##0.0\ _C_F_A_-;\-* #,##0.0\ _C_F_A_-;_-* &quot;-&quot;?\ _C_F_A_-;_-@_-"/>
  </numFmts>
  <fonts count="13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002060"/>
      <name val="Segoe UI"/>
      <family val="2"/>
    </font>
    <font>
      <sz val="11"/>
      <color theme="1"/>
      <name val="Segu"/>
    </font>
    <font>
      <sz val="11"/>
      <color rgb="FF9C000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Segoe U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8" borderId="0" applyNumberFormat="0" applyBorder="0" applyAlignment="0" applyProtection="0"/>
    <xf numFmtId="164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1" fillId="4" borderId="7" xfId="0" applyNumberFormat="1" applyFont="1" applyFill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5" fontId="5" fillId="0" borderId="8" xfId="0" applyNumberFormat="1" applyFont="1" applyBorder="1" applyAlignment="1">
      <alignment vertical="center"/>
    </xf>
    <xf numFmtId="0" fontId="4" fillId="0" borderId="10" xfId="0" quotePrefix="1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5" fontId="5" fillId="0" borderId="10" xfId="0" applyNumberFormat="1" applyFont="1" applyBorder="1" applyAlignment="1">
      <alignment vertical="center"/>
    </xf>
    <xf numFmtId="0" fontId="1" fillId="5" borderId="0" xfId="0" applyFont="1" applyFill="1" applyAlignment="1">
      <alignment vertical="center" wrapText="1"/>
    </xf>
    <xf numFmtId="165" fontId="1" fillId="6" borderId="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5" fontId="1" fillId="4" borderId="4" xfId="0" applyNumberFormat="1" applyFont="1" applyFill="1" applyBorder="1" applyAlignment="1">
      <alignment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5" fontId="5" fillId="0" borderId="12" xfId="0" applyNumberFormat="1" applyFont="1" applyBorder="1" applyAlignment="1">
      <alignment vertical="center"/>
    </xf>
    <xf numFmtId="165" fontId="1" fillId="7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3" fontId="0" fillId="0" borderId="0" xfId="0" applyNumberFormat="1"/>
    <xf numFmtId="3" fontId="8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4" xfId="0" applyBorder="1"/>
    <xf numFmtId="165" fontId="6" fillId="0" borderId="8" xfId="0" applyNumberFormat="1" applyFont="1" applyBorder="1" applyAlignment="1">
      <alignment vertical="center"/>
    </xf>
    <xf numFmtId="3" fontId="4" fillId="0" borderId="0" xfId="0" applyNumberFormat="1" applyFont="1"/>
    <xf numFmtId="165" fontId="0" fillId="0" borderId="0" xfId="0" applyNumberFormat="1"/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165" fontId="1" fillId="4" borderId="6" xfId="0" quotePrefix="1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0" fillId="0" borderId="0" xfId="0" applyFont="1"/>
    <xf numFmtId="165" fontId="11" fillId="8" borderId="4" xfId="1" applyNumberFormat="1" applyFont="1" applyBorder="1" applyAlignment="1">
      <alignment vertical="center"/>
    </xf>
    <xf numFmtId="164" fontId="5" fillId="0" borderId="9" xfId="2" applyFont="1" applyFill="1" applyBorder="1" applyAlignment="1">
      <alignment vertical="center" wrapText="1"/>
    </xf>
    <xf numFmtId="0" fontId="4" fillId="0" borderId="17" xfId="0" quotePrefix="1" applyFont="1" applyBorder="1" applyAlignment="1">
      <alignment horizontal="center" vertical="center"/>
    </xf>
    <xf numFmtId="165" fontId="5" fillId="0" borderId="17" xfId="0" applyNumberFormat="1" applyFont="1" applyBorder="1" applyAlignment="1">
      <alignment vertical="center"/>
    </xf>
    <xf numFmtId="165" fontId="5" fillId="0" borderId="13" xfId="0" applyNumberFormat="1" applyFont="1" applyBorder="1" applyAlignment="1">
      <alignment vertical="center"/>
    </xf>
    <xf numFmtId="165" fontId="1" fillId="4" borderId="6" xfId="0" applyNumberFormat="1" applyFont="1" applyFill="1" applyBorder="1" applyAlignment="1">
      <alignment vertical="center"/>
    </xf>
    <xf numFmtId="165" fontId="1" fillId="4" borderId="5" xfId="0" applyNumberFormat="1" applyFont="1" applyFill="1" applyBorder="1" applyAlignment="1">
      <alignment vertical="center"/>
    </xf>
    <xf numFmtId="164" fontId="4" fillId="0" borderId="0" xfId="2" applyFont="1" applyAlignment="1"/>
    <xf numFmtId="165" fontId="5" fillId="9" borderId="8" xfId="0" applyNumberFormat="1" applyFont="1" applyFill="1" applyBorder="1" applyAlignment="1">
      <alignment vertical="center"/>
    </xf>
    <xf numFmtId="164" fontId="0" fillId="0" borderId="0" xfId="0" applyNumberFormat="1"/>
    <xf numFmtId="166" fontId="0" fillId="0" borderId="0" xfId="0" applyNumberFormat="1"/>
    <xf numFmtId="165" fontId="5" fillId="0" borderId="18" xfId="0" applyNumberFormat="1" applyFont="1" applyBorder="1" applyAlignment="1">
      <alignment vertical="center"/>
    </xf>
    <xf numFmtId="165" fontId="5" fillId="0" borderId="19" xfId="0" applyNumberFormat="1" applyFont="1" applyBorder="1" applyAlignment="1">
      <alignment vertical="center"/>
    </xf>
    <xf numFmtId="165" fontId="0" fillId="9" borderId="0" xfId="0" applyNumberFormat="1" applyFill="1"/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quotePrefix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Incorrecto" xfId="1" builtinId="27"/>
    <cellStyle name="Millares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2"/>
  <sheetViews>
    <sheetView tabSelected="1" workbookViewId="0">
      <pane xSplit="2" ySplit="6" topLeftCell="C7" activePane="bottomRight" state="frozen"/>
      <selection pane="bottomRight" activeCell="D10" sqref="D10"/>
      <selection pane="bottomLeft" activeCell="A7" sqref="A7"/>
      <selection pane="topRight" activeCell="C1" sqref="C1"/>
    </sheetView>
  </sheetViews>
  <sheetFormatPr defaultColWidth="11.42578125" defaultRowHeight="15"/>
  <cols>
    <col min="2" max="2" width="36.140625" customWidth="1"/>
    <col min="3" max="3" width="22.42578125" customWidth="1"/>
    <col min="4" max="4" width="17.5703125" customWidth="1"/>
    <col min="5" max="5" width="16.42578125" customWidth="1"/>
    <col min="6" max="6" width="17.7109375" customWidth="1"/>
    <col min="7" max="7" width="16.42578125" customWidth="1"/>
    <col min="8" max="8" width="17.140625" customWidth="1"/>
    <col min="9" max="9" width="16.7109375" customWidth="1"/>
    <col min="10" max="10" width="19" customWidth="1"/>
    <col min="11" max="11" width="21.42578125" customWidth="1"/>
    <col min="12" max="12" width="19" customWidth="1"/>
    <col min="13" max="13" width="15.85546875" customWidth="1"/>
    <col min="14" max="14" width="16.85546875" customWidth="1"/>
    <col min="15" max="15" width="16.42578125" customWidth="1"/>
    <col min="16" max="16" width="15.5703125" customWidth="1"/>
    <col min="17" max="17" width="16.28515625" customWidth="1"/>
    <col min="18" max="18" width="17" customWidth="1"/>
    <col min="19" max="20" width="18.7109375" customWidth="1"/>
    <col min="21" max="21" width="17" customWidth="1"/>
    <col min="22" max="23" width="15.5703125" customWidth="1"/>
    <col min="24" max="24" width="18.140625" customWidth="1"/>
    <col min="25" max="25" width="16.28515625" customWidth="1"/>
    <col min="26" max="26" width="17.42578125" customWidth="1"/>
    <col min="27" max="27" width="16.28515625" customWidth="1"/>
    <col min="28" max="28" width="15.85546875" customWidth="1"/>
    <col min="29" max="29" width="18" customWidth="1"/>
    <col min="30" max="30" width="17.28515625" customWidth="1"/>
    <col min="31" max="31" width="16.42578125" customWidth="1"/>
    <col min="32" max="32" width="17.28515625" customWidth="1"/>
    <col min="33" max="33" width="19.85546875" customWidth="1"/>
    <col min="34" max="34" width="17.85546875" customWidth="1"/>
    <col min="35" max="35" width="16" customWidth="1"/>
    <col min="36" max="36" width="15.5703125" customWidth="1"/>
    <col min="37" max="37" width="16.85546875" customWidth="1"/>
    <col min="38" max="38" width="20.5703125" customWidth="1"/>
    <col min="39" max="39" width="16.28515625" customWidth="1"/>
    <col min="40" max="40" width="16" customWidth="1"/>
    <col min="41" max="41" width="16.140625" customWidth="1"/>
    <col min="42" max="42" width="18.28515625" customWidth="1"/>
    <col min="43" max="43" width="18.140625" customWidth="1"/>
    <col min="44" max="44" width="16.7109375" customWidth="1"/>
    <col min="45" max="45" width="15.85546875" customWidth="1"/>
    <col min="46" max="47" width="18.140625" customWidth="1"/>
    <col min="48" max="48" width="17.28515625" customWidth="1"/>
    <col min="49" max="49" width="18" customWidth="1"/>
    <col min="50" max="50" width="17.140625" customWidth="1"/>
    <col min="51" max="51" width="18.7109375" customWidth="1"/>
    <col min="52" max="52" width="19.28515625" customWidth="1"/>
    <col min="53" max="53" width="16.5703125" customWidth="1"/>
    <col min="54" max="54" width="15.7109375" customWidth="1"/>
    <col min="55" max="55" width="16.28515625" customWidth="1"/>
    <col min="56" max="56" width="18.42578125" customWidth="1"/>
  </cols>
  <sheetData>
    <row r="1" spans="1:57" hidden="1">
      <c r="H1" s="31"/>
      <c r="AH1" s="49"/>
      <c r="AJ1" s="31"/>
      <c r="AL1" s="31"/>
      <c r="AV1" s="31"/>
      <c r="BD1" s="31"/>
    </row>
    <row r="2" spans="1:57" hidden="1">
      <c r="B2" s="31"/>
      <c r="C2" s="31"/>
      <c r="D2" s="31"/>
      <c r="E2" s="31"/>
      <c r="F2" s="31"/>
      <c r="G2" s="31"/>
      <c r="H2" s="31"/>
      <c r="I2" s="31"/>
      <c r="J2" s="31"/>
      <c r="K2" s="31"/>
      <c r="V2" s="69"/>
      <c r="W2" s="69"/>
      <c r="X2" s="69"/>
      <c r="Y2" s="69"/>
      <c r="Z2" s="69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>
        <f>AR7+AR39+AR44+AR1370</f>
        <v>34167007</v>
      </c>
      <c r="AN2" s="31"/>
      <c r="AO2" s="31">
        <f>AW44-AN44</f>
        <v>15166</v>
      </c>
      <c r="AP2" s="31"/>
      <c r="AQ2" s="49">
        <f>AW123-AN123</f>
        <v>1002691</v>
      </c>
      <c r="AR2" s="24"/>
      <c r="AS2" s="48"/>
      <c r="AT2" s="31">
        <f>AO44-AX44</f>
        <v>69639</v>
      </c>
      <c r="AU2" s="31"/>
      <c r="AV2" s="24"/>
      <c r="AW2" s="48"/>
      <c r="AX2" s="31"/>
      <c r="AY2" s="31"/>
      <c r="AZ2" s="31"/>
      <c r="BA2" s="31"/>
    </row>
    <row r="3" spans="1:57">
      <c r="AD3" s="31" t="s">
        <v>0</v>
      </c>
      <c r="AG3" s="52"/>
      <c r="AL3" s="31"/>
      <c r="AN3" s="31"/>
      <c r="BA3" s="68" t="s">
        <v>1</v>
      </c>
      <c r="BB3" s="68"/>
      <c r="BC3" s="68"/>
    </row>
    <row r="4" spans="1:57" ht="15" customHeight="1">
      <c r="C4" s="23"/>
      <c r="D4" s="27"/>
      <c r="E4" s="27"/>
      <c r="F4" s="59">
        <v>2018</v>
      </c>
      <c r="G4" s="59"/>
      <c r="H4" s="56"/>
      <c r="I4" s="56"/>
      <c r="J4" s="56"/>
      <c r="K4" s="57"/>
      <c r="L4" s="23"/>
      <c r="M4" s="27"/>
      <c r="N4" s="27"/>
      <c r="O4" s="59">
        <v>2019</v>
      </c>
      <c r="P4" s="59"/>
      <c r="Q4" s="56"/>
      <c r="R4" s="56"/>
      <c r="S4" s="56"/>
      <c r="T4" s="57"/>
      <c r="U4" s="23"/>
      <c r="V4" s="27"/>
      <c r="W4" s="27"/>
      <c r="X4" s="59">
        <v>2020</v>
      </c>
      <c r="Y4" s="59"/>
      <c r="Z4" s="56"/>
      <c r="AA4" s="56"/>
      <c r="AB4" s="56"/>
      <c r="AC4" s="57"/>
      <c r="AD4" s="23"/>
      <c r="AE4" s="27"/>
      <c r="AF4" s="27"/>
      <c r="AG4" s="59">
        <v>2021</v>
      </c>
      <c r="AH4" s="59"/>
      <c r="AI4" s="56"/>
      <c r="AJ4" s="56"/>
      <c r="AK4" s="56"/>
      <c r="AL4" s="57"/>
      <c r="AM4" s="23"/>
      <c r="AN4" s="27"/>
      <c r="AO4" s="27"/>
      <c r="AP4" s="59">
        <v>2022</v>
      </c>
      <c r="AQ4" s="59"/>
      <c r="AR4" s="56"/>
      <c r="AS4" s="56"/>
      <c r="AT4" s="56"/>
      <c r="AU4" s="57"/>
      <c r="AV4" s="23"/>
      <c r="AW4" s="27"/>
      <c r="AX4" s="27"/>
      <c r="AY4" s="59">
        <v>2023</v>
      </c>
      <c r="AZ4" s="59"/>
      <c r="BA4" s="56"/>
      <c r="BB4" s="56"/>
      <c r="BC4" s="56"/>
      <c r="BD4" s="57"/>
    </row>
    <row r="5" spans="1:57" ht="16.5" customHeight="1">
      <c r="A5" s="1"/>
      <c r="B5" s="1"/>
      <c r="C5" s="55" t="s">
        <v>2</v>
      </c>
      <c r="D5" s="56"/>
      <c r="E5" s="56"/>
      <c r="F5" s="57"/>
      <c r="G5" s="58" t="s">
        <v>3</v>
      </c>
      <c r="H5" s="58"/>
      <c r="I5" s="58"/>
      <c r="J5" s="58"/>
      <c r="K5" s="26"/>
      <c r="L5" s="55" t="s">
        <v>2</v>
      </c>
      <c r="M5" s="56"/>
      <c r="N5" s="56"/>
      <c r="O5" s="57"/>
      <c r="P5" s="58" t="s">
        <v>3</v>
      </c>
      <c r="Q5" s="58"/>
      <c r="R5" s="58"/>
      <c r="S5" s="58"/>
      <c r="T5" s="26"/>
      <c r="U5" s="55" t="s">
        <v>2</v>
      </c>
      <c r="V5" s="56"/>
      <c r="W5" s="56"/>
      <c r="X5" s="57"/>
      <c r="Y5" s="58" t="s">
        <v>3</v>
      </c>
      <c r="Z5" s="58"/>
      <c r="AA5" s="58"/>
      <c r="AB5" s="58"/>
      <c r="AC5" s="26"/>
      <c r="AD5" s="55" t="s">
        <v>2</v>
      </c>
      <c r="AE5" s="56"/>
      <c r="AF5" s="56"/>
      <c r="AG5" s="57"/>
      <c r="AH5" s="58" t="s">
        <v>3</v>
      </c>
      <c r="AI5" s="58"/>
      <c r="AJ5" s="58"/>
      <c r="AK5" s="58"/>
      <c r="AL5" s="26"/>
      <c r="AM5" s="55" t="s">
        <v>2</v>
      </c>
      <c r="AN5" s="56"/>
      <c r="AO5" s="56"/>
      <c r="AP5" s="57"/>
      <c r="AQ5" s="58" t="s">
        <v>3</v>
      </c>
      <c r="AR5" s="58"/>
      <c r="AS5" s="58"/>
      <c r="AT5" s="58"/>
      <c r="AU5" s="26"/>
      <c r="AV5" s="55" t="s">
        <v>2</v>
      </c>
      <c r="AW5" s="56"/>
      <c r="AX5" s="56"/>
      <c r="AY5" s="57"/>
      <c r="AZ5" s="58" t="s">
        <v>3</v>
      </c>
      <c r="BA5" s="58"/>
      <c r="BB5" s="58"/>
      <c r="BC5" s="58"/>
      <c r="BD5" s="58"/>
    </row>
    <row r="6" spans="1:57" ht="42.75">
      <c r="A6" s="2" t="s">
        <v>4</v>
      </c>
      <c r="B6" s="2" t="s">
        <v>5</v>
      </c>
      <c r="C6" s="3" t="s">
        <v>6</v>
      </c>
      <c r="D6" s="3" t="s">
        <v>7</v>
      </c>
      <c r="E6" s="3" t="s">
        <v>8</v>
      </c>
      <c r="F6" s="4" t="s">
        <v>9</v>
      </c>
      <c r="G6" s="3" t="s">
        <v>10</v>
      </c>
      <c r="H6" s="3" t="s">
        <v>11</v>
      </c>
      <c r="I6" s="3" t="s">
        <v>12</v>
      </c>
      <c r="J6" s="4" t="s">
        <v>13</v>
      </c>
      <c r="K6" s="4" t="s">
        <v>14</v>
      </c>
      <c r="L6" s="3" t="s">
        <v>6</v>
      </c>
      <c r="M6" s="3" t="s">
        <v>7</v>
      </c>
      <c r="N6" s="3" t="s">
        <v>8</v>
      </c>
      <c r="O6" s="4" t="s">
        <v>9</v>
      </c>
      <c r="P6" s="3" t="s">
        <v>10</v>
      </c>
      <c r="Q6" s="3" t="s">
        <v>11</v>
      </c>
      <c r="R6" s="3" t="s">
        <v>12</v>
      </c>
      <c r="S6" s="4" t="s">
        <v>13</v>
      </c>
      <c r="T6" s="4" t="s">
        <v>15</v>
      </c>
      <c r="U6" s="3" t="s">
        <v>6</v>
      </c>
      <c r="V6" s="3" t="s">
        <v>7</v>
      </c>
      <c r="W6" s="3" t="s">
        <v>8</v>
      </c>
      <c r="X6" s="4" t="s">
        <v>9</v>
      </c>
      <c r="Y6" s="3" t="s">
        <v>10</v>
      </c>
      <c r="Z6" s="3" t="s">
        <v>11</v>
      </c>
      <c r="AA6" s="3" t="s">
        <v>12</v>
      </c>
      <c r="AB6" s="4" t="s">
        <v>13</v>
      </c>
      <c r="AC6" s="4" t="s">
        <v>15</v>
      </c>
      <c r="AD6" s="3" t="s">
        <v>6</v>
      </c>
      <c r="AE6" s="3" t="s">
        <v>7</v>
      </c>
      <c r="AF6" s="3" t="s">
        <v>8</v>
      </c>
      <c r="AG6" s="4" t="s">
        <v>9</v>
      </c>
      <c r="AH6" s="3" t="s">
        <v>10</v>
      </c>
      <c r="AI6" s="3" t="s">
        <v>11</v>
      </c>
      <c r="AJ6" s="3" t="s">
        <v>12</v>
      </c>
      <c r="AK6" s="4" t="s">
        <v>13</v>
      </c>
      <c r="AL6" s="4" t="s">
        <v>15</v>
      </c>
      <c r="AM6" s="3" t="s">
        <v>6</v>
      </c>
      <c r="AN6" s="3" t="s">
        <v>7</v>
      </c>
      <c r="AO6" s="3" t="s">
        <v>8</v>
      </c>
      <c r="AP6" s="4" t="s">
        <v>9</v>
      </c>
      <c r="AQ6" s="3" t="s">
        <v>10</v>
      </c>
      <c r="AR6" s="3" t="s">
        <v>11</v>
      </c>
      <c r="AS6" s="3" t="s">
        <v>12</v>
      </c>
      <c r="AT6" s="4" t="s">
        <v>13</v>
      </c>
      <c r="AU6" s="4" t="s">
        <v>15</v>
      </c>
      <c r="AV6" s="3" t="s">
        <v>6</v>
      </c>
      <c r="AW6" s="3" t="s">
        <v>7</v>
      </c>
      <c r="AX6" s="3" t="s">
        <v>8</v>
      </c>
      <c r="AY6" s="4" t="s">
        <v>9</v>
      </c>
      <c r="AZ6" s="3" t="s">
        <v>10</v>
      </c>
      <c r="BA6" s="3" t="s">
        <v>11</v>
      </c>
      <c r="BB6" s="3" t="s">
        <v>12</v>
      </c>
      <c r="BC6" s="4" t="s">
        <v>13</v>
      </c>
      <c r="BD6" s="4" t="s">
        <v>15</v>
      </c>
      <c r="BE6" s="28"/>
    </row>
    <row r="7" spans="1:57" ht="16.5">
      <c r="A7" s="53" t="s">
        <v>16</v>
      </c>
      <c r="B7" s="54"/>
      <c r="C7" s="5">
        <f>C8+C9+C10</f>
        <v>785343</v>
      </c>
      <c r="D7" s="5">
        <f t="shared" ref="D7:J7" si="0">D8+D9+D10</f>
        <v>1780000</v>
      </c>
      <c r="E7" s="5">
        <f t="shared" si="0"/>
        <v>2858500</v>
      </c>
      <c r="F7" s="5">
        <f t="shared" si="0"/>
        <v>5423843</v>
      </c>
      <c r="G7" s="5">
        <f t="shared" si="0"/>
        <v>1332584</v>
      </c>
      <c r="H7" s="5">
        <f t="shared" si="0"/>
        <v>4688250</v>
      </c>
      <c r="I7" s="5">
        <f t="shared" si="0"/>
        <v>4000000</v>
      </c>
      <c r="J7" s="5">
        <f t="shared" si="0"/>
        <v>10020834</v>
      </c>
      <c r="K7" s="5">
        <f>F7+J7</f>
        <v>15444677</v>
      </c>
      <c r="L7" s="5">
        <f>L8+L9+L10</f>
        <v>844123</v>
      </c>
      <c r="M7" s="5">
        <f t="shared" ref="M7:S7" si="1">M8+M9+M10</f>
        <v>2358000</v>
      </c>
      <c r="N7" s="5">
        <f t="shared" si="1"/>
        <v>2705500</v>
      </c>
      <c r="O7" s="5">
        <f t="shared" si="1"/>
        <v>5907623</v>
      </c>
      <c r="P7" s="5">
        <f t="shared" si="1"/>
        <v>275000</v>
      </c>
      <c r="Q7" s="5">
        <f t="shared" si="1"/>
        <v>3085000</v>
      </c>
      <c r="R7" s="5">
        <f t="shared" si="1"/>
        <v>4950000</v>
      </c>
      <c r="S7" s="5">
        <f t="shared" si="1"/>
        <v>8310000</v>
      </c>
      <c r="T7" s="5">
        <f t="shared" ref="T7:T28" si="2">O7+S7</f>
        <v>14217623</v>
      </c>
      <c r="U7" s="5">
        <f>U8+U9+U10</f>
        <v>1077600</v>
      </c>
      <c r="V7" s="5">
        <f t="shared" ref="V7:AB7" si="3">V8+V9+V10</f>
        <v>2337482</v>
      </c>
      <c r="W7" s="5">
        <f t="shared" si="3"/>
        <v>2373097</v>
      </c>
      <c r="X7" s="5">
        <f t="shared" si="3"/>
        <v>5788179</v>
      </c>
      <c r="Y7" s="5">
        <f t="shared" si="3"/>
        <v>100000</v>
      </c>
      <c r="Z7" s="5">
        <f t="shared" si="3"/>
        <v>10000000</v>
      </c>
      <c r="AA7" s="5">
        <f t="shared" si="3"/>
        <v>4000000</v>
      </c>
      <c r="AB7" s="5">
        <f t="shared" si="3"/>
        <v>14100000</v>
      </c>
      <c r="AC7" s="5">
        <f>X7+AB7</f>
        <v>19888179</v>
      </c>
      <c r="AD7" s="5">
        <f>AD8+AD9+AD10</f>
        <v>1050259</v>
      </c>
      <c r="AE7" s="5">
        <f t="shared" ref="AE7:AK7" si="4">AE8+AE9+AE10</f>
        <v>2732523</v>
      </c>
      <c r="AF7" s="5">
        <f t="shared" si="4"/>
        <v>1973096</v>
      </c>
      <c r="AG7" s="5">
        <f t="shared" si="4"/>
        <v>5755878</v>
      </c>
      <c r="AH7" s="5">
        <f t="shared" si="4"/>
        <v>100000</v>
      </c>
      <c r="AI7" s="5">
        <f t="shared" si="4"/>
        <v>5000000</v>
      </c>
      <c r="AJ7" s="5">
        <f t="shared" si="4"/>
        <v>3000000</v>
      </c>
      <c r="AK7" s="5">
        <f t="shared" si="4"/>
        <v>8100000</v>
      </c>
      <c r="AL7" s="5">
        <f>AG7+AK7</f>
        <v>13855878</v>
      </c>
      <c r="AM7" s="5">
        <f>AM8+AM9+AM10</f>
        <v>1050259</v>
      </c>
      <c r="AN7" s="5">
        <f t="shared" ref="AN7:AT7" si="5">AN8+AN9+AN10</f>
        <v>2802524</v>
      </c>
      <c r="AO7" s="5">
        <f t="shared" si="5"/>
        <v>1861394</v>
      </c>
      <c r="AP7" s="5">
        <f t="shared" si="5"/>
        <v>5714177</v>
      </c>
      <c r="AQ7" s="5">
        <f t="shared" si="5"/>
        <v>100000</v>
      </c>
      <c r="AR7" s="5">
        <f t="shared" si="5"/>
        <v>12000000</v>
      </c>
      <c r="AS7" s="5">
        <f t="shared" si="5"/>
        <v>0</v>
      </c>
      <c r="AT7" s="5">
        <f t="shared" si="5"/>
        <v>12100000</v>
      </c>
      <c r="AU7" s="5">
        <f>AP7+AT7</f>
        <v>17814177</v>
      </c>
      <c r="AV7" s="5">
        <f>AV8+AV9+AV10</f>
        <v>1050259</v>
      </c>
      <c r="AW7" s="5">
        <f t="shared" ref="AW7:BB7" si="6">AW8+AW9+AW10</f>
        <v>2802524</v>
      </c>
      <c r="AX7" s="5">
        <f t="shared" si="6"/>
        <v>1861394</v>
      </c>
      <c r="AY7" s="5">
        <f t="shared" si="6"/>
        <v>5714177</v>
      </c>
      <c r="AZ7" s="5">
        <f t="shared" si="6"/>
        <v>100000</v>
      </c>
      <c r="BA7" s="5">
        <f t="shared" si="6"/>
        <v>10000000</v>
      </c>
      <c r="BB7" s="5">
        <f t="shared" si="6"/>
        <v>0</v>
      </c>
      <c r="BC7" s="5">
        <f>AZ7+BA7+BB7</f>
        <v>10100000</v>
      </c>
      <c r="BD7" s="5">
        <f>AY7+BC7</f>
        <v>15814177</v>
      </c>
    </row>
    <row r="8" spans="1:57" ht="33">
      <c r="A8" s="6" t="s">
        <v>17</v>
      </c>
      <c r="B8" s="7" t="s">
        <v>18</v>
      </c>
      <c r="C8" s="8">
        <v>432183</v>
      </c>
      <c r="D8" s="8">
        <f>1202500+468500</f>
        <v>1671000</v>
      </c>
      <c r="E8" s="8">
        <v>683500</v>
      </c>
      <c r="F8" s="8">
        <f>SUM(C8:E8)</f>
        <v>2786683</v>
      </c>
      <c r="G8" s="8">
        <f>1107584-450000</f>
        <v>657584</v>
      </c>
      <c r="H8" s="8">
        <v>0</v>
      </c>
      <c r="I8" s="8">
        <v>0</v>
      </c>
      <c r="J8" s="8">
        <f>SUM(G8:I8)</f>
        <v>657584</v>
      </c>
      <c r="K8" s="5">
        <f t="shared" ref="K8:K75" si="7">F8+J8</f>
        <v>3444267</v>
      </c>
      <c r="L8" s="8">
        <f>432183-1787</f>
        <v>430396</v>
      </c>
      <c r="M8" s="8">
        <f>1271000+993500</f>
        <v>2264500</v>
      </c>
      <c r="N8" s="8">
        <v>679500</v>
      </c>
      <c r="O8" s="8">
        <f>SUM(L8:N8)</f>
        <v>3374396</v>
      </c>
      <c r="P8" s="8">
        <v>0</v>
      </c>
      <c r="Q8" s="8">
        <v>0</v>
      </c>
      <c r="R8" s="8">
        <v>0</v>
      </c>
      <c r="S8" s="8">
        <f>SUM(P8:R8)</f>
        <v>0</v>
      </c>
      <c r="T8" s="5">
        <f t="shared" si="2"/>
        <v>3374396</v>
      </c>
      <c r="U8" s="8">
        <v>645439</v>
      </c>
      <c r="V8" s="8">
        <v>2234482</v>
      </c>
      <c r="W8" s="8">
        <v>748216</v>
      </c>
      <c r="X8" s="8">
        <f>SUM(U8:W8)</f>
        <v>3628137</v>
      </c>
      <c r="Y8" s="8">
        <v>0</v>
      </c>
      <c r="Z8" s="8">
        <v>0</v>
      </c>
      <c r="AA8" s="8">
        <v>0</v>
      </c>
      <c r="AB8" s="8">
        <f>SUM(Y8:AA8)</f>
        <v>0</v>
      </c>
      <c r="AC8" s="5">
        <f t="shared" ref="AC8:AC75" si="8">X8+AB8</f>
        <v>3628137</v>
      </c>
      <c r="AD8" s="8">
        <v>531369</v>
      </c>
      <c r="AE8" s="8">
        <v>2593523</v>
      </c>
      <c r="AF8" s="8">
        <v>343702</v>
      </c>
      <c r="AG8" s="8">
        <f>SUM(AD8:AF8)</f>
        <v>3468594</v>
      </c>
      <c r="AH8" s="8">
        <v>0</v>
      </c>
      <c r="AI8" s="8">
        <v>0</v>
      </c>
      <c r="AJ8" s="8">
        <v>0</v>
      </c>
      <c r="AK8" s="8">
        <f>SUM(AH8:AJ8)</f>
        <v>0</v>
      </c>
      <c r="AL8" s="5">
        <f t="shared" ref="AL8:AL71" si="9">AG8+AK8</f>
        <v>3468594</v>
      </c>
      <c r="AM8" s="8">
        <v>531369</v>
      </c>
      <c r="AN8" s="8">
        <v>2663524</v>
      </c>
      <c r="AO8" s="8">
        <v>232000</v>
      </c>
      <c r="AP8" s="8">
        <f>SUM(AM8:AO8)</f>
        <v>3426893</v>
      </c>
      <c r="AQ8" s="8">
        <v>0</v>
      </c>
      <c r="AR8" s="8">
        <v>0</v>
      </c>
      <c r="AS8" s="8">
        <v>0</v>
      </c>
      <c r="AT8" s="5">
        <f t="shared" ref="AT8:AT17" si="10">AQ8+AR8+AS8</f>
        <v>0</v>
      </c>
      <c r="AU8" s="5">
        <f t="shared" ref="AU8:AU75" si="11">AP8+AT8</f>
        <v>3426893</v>
      </c>
      <c r="AV8" s="8">
        <v>531369</v>
      </c>
      <c r="AW8" s="8">
        <v>2663524</v>
      </c>
      <c r="AX8" s="8">
        <v>232000</v>
      </c>
      <c r="AY8" s="8">
        <f>SUM(AV8:AX8)</f>
        <v>3426893</v>
      </c>
      <c r="AZ8" s="8">
        <v>0</v>
      </c>
      <c r="BA8" s="8">
        <v>0</v>
      </c>
      <c r="BB8" s="8">
        <v>0</v>
      </c>
      <c r="BC8" s="5">
        <f t="shared" ref="BC8:BC74" si="12">AZ8+BA8+BB8</f>
        <v>0</v>
      </c>
      <c r="BD8" s="5">
        <f t="shared" ref="BD8:BD75" si="13">AY8+BC8</f>
        <v>3426893</v>
      </c>
    </row>
    <row r="9" spans="1:57" ht="16.5">
      <c r="A9" s="6" t="s">
        <v>19</v>
      </c>
      <c r="B9" s="7" t="s">
        <v>20</v>
      </c>
      <c r="C9" s="8">
        <v>172345</v>
      </c>
      <c r="D9" s="8">
        <v>46000</v>
      </c>
      <c r="E9" s="8">
        <v>1870000</v>
      </c>
      <c r="F9" s="8">
        <f>SUM(C9:E9)</f>
        <v>2088345</v>
      </c>
      <c r="G9" s="8">
        <f>1156000-500000</f>
        <v>656000</v>
      </c>
      <c r="H9" s="8">
        <v>1688250</v>
      </c>
      <c r="I9" s="8">
        <v>4000000</v>
      </c>
      <c r="J9" s="8">
        <f>SUM(G9:I9)</f>
        <v>6344250</v>
      </c>
      <c r="K9" s="5">
        <f t="shared" si="7"/>
        <v>8432595</v>
      </c>
      <c r="L9" s="8">
        <v>196485</v>
      </c>
      <c r="M9" s="8">
        <v>40500</v>
      </c>
      <c r="N9" s="8">
        <v>1735000</v>
      </c>
      <c r="O9" s="8">
        <f>SUM(L9:N9)</f>
        <v>1971985</v>
      </c>
      <c r="P9" s="8">
        <f>2860000-Q9</f>
        <v>275000</v>
      </c>
      <c r="Q9" s="8">
        <v>2585000</v>
      </c>
      <c r="R9" s="8">
        <v>0</v>
      </c>
      <c r="S9" s="8">
        <f>SUM(P9:R9)</f>
        <v>2860000</v>
      </c>
      <c r="T9" s="5">
        <f t="shared" si="2"/>
        <v>4831985</v>
      </c>
      <c r="U9" s="8">
        <v>194261</v>
      </c>
      <c r="V9" s="8">
        <v>45000</v>
      </c>
      <c r="W9" s="8">
        <v>1340251</v>
      </c>
      <c r="X9" s="8">
        <f>SUM(U9:W9)</f>
        <v>1579512</v>
      </c>
      <c r="Y9" s="8">
        <v>100000</v>
      </c>
      <c r="Z9" s="8">
        <v>8745559</v>
      </c>
      <c r="AA9" s="8">
        <v>0</v>
      </c>
      <c r="AB9" s="8">
        <f>SUM(Y9:AA9)</f>
        <v>8845559</v>
      </c>
      <c r="AC9" s="5">
        <f t="shared" si="8"/>
        <v>10425071</v>
      </c>
      <c r="AD9" s="8">
        <v>226629</v>
      </c>
      <c r="AE9" s="8">
        <v>50000</v>
      </c>
      <c r="AF9" s="8">
        <v>1585000</v>
      </c>
      <c r="AG9" s="8">
        <f>SUM(AD9:AF9)</f>
        <v>1861629</v>
      </c>
      <c r="AH9" s="8">
        <v>100000</v>
      </c>
      <c r="AI9" s="8">
        <v>4522637</v>
      </c>
      <c r="AJ9" s="8">
        <v>0</v>
      </c>
      <c r="AK9" s="8">
        <f>SUM(AH9:AJ9)</f>
        <v>4622637</v>
      </c>
      <c r="AL9" s="5">
        <f t="shared" si="9"/>
        <v>6484266</v>
      </c>
      <c r="AM9" s="8">
        <v>226629</v>
      </c>
      <c r="AN9" s="8">
        <v>50000</v>
      </c>
      <c r="AO9" s="8">
        <v>1585000</v>
      </c>
      <c r="AP9" s="8">
        <f>SUM(AM9:AO9)</f>
        <v>1861629</v>
      </c>
      <c r="AQ9" s="8">
        <v>100000</v>
      </c>
      <c r="AR9" s="8">
        <v>10000000</v>
      </c>
      <c r="AS9" s="8">
        <v>0</v>
      </c>
      <c r="AT9" s="5">
        <f t="shared" si="10"/>
        <v>10100000</v>
      </c>
      <c r="AU9" s="5">
        <f t="shared" si="11"/>
        <v>11961629</v>
      </c>
      <c r="AV9" s="8">
        <v>226629</v>
      </c>
      <c r="AW9" s="8">
        <v>50000</v>
      </c>
      <c r="AX9" s="8">
        <v>1585000</v>
      </c>
      <c r="AY9" s="8">
        <f>SUM(AV9:AX9)</f>
        <v>1861629</v>
      </c>
      <c r="AZ9" s="8">
        <v>100000</v>
      </c>
      <c r="BA9" s="8">
        <v>10000000</v>
      </c>
      <c r="BB9" s="8">
        <v>0</v>
      </c>
      <c r="BC9" s="5">
        <f t="shared" si="12"/>
        <v>10100000</v>
      </c>
      <c r="BD9" s="5">
        <f t="shared" si="13"/>
        <v>11961629</v>
      </c>
    </row>
    <row r="10" spans="1:57" ht="33">
      <c r="A10" s="9" t="s">
        <v>21</v>
      </c>
      <c r="B10" s="7" t="s">
        <v>22</v>
      </c>
      <c r="C10" s="8">
        <v>180815</v>
      </c>
      <c r="D10" s="8">
        <v>63000</v>
      </c>
      <c r="E10" s="8">
        <v>305000</v>
      </c>
      <c r="F10" s="8">
        <f>SUM(C10:E10)</f>
        <v>548815</v>
      </c>
      <c r="G10" s="29">
        <v>19000</v>
      </c>
      <c r="H10" s="29">
        <v>3000000</v>
      </c>
      <c r="I10" s="29">
        <v>0</v>
      </c>
      <c r="J10" s="29">
        <f>SUM(G10:I10)</f>
        <v>3019000</v>
      </c>
      <c r="K10" s="5">
        <f t="shared" si="7"/>
        <v>3567815</v>
      </c>
      <c r="L10" s="8">
        <v>217242</v>
      </c>
      <c r="M10" s="8">
        <v>53000</v>
      </c>
      <c r="N10" s="8">
        <v>291000</v>
      </c>
      <c r="O10" s="8">
        <f>SUM(L10:N10)</f>
        <v>561242</v>
      </c>
      <c r="P10" s="8"/>
      <c r="Q10" s="8">
        <v>500000</v>
      </c>
      <c r="R10" s="8">
        <v>4950000</v>
      </c>
      <c r="S10" s="8">
        <f>SUM(P10:R10)</f>
        <v>5450000</v>
      </c>
      <c r="T10" s="5">
        <f t="shared" si="2"/>
        <v>6011242</v>
      </c>
      <c r="U10" s="8">
        <v>237900</v>
      </c>
      <c r="V10" s="8">
        <v>58000</v>
      </c>
      <c r="W10" s="8">
        <v>284630</v>
      </c>
      <c r="X10" s="8">
        <f>SUM(U10:W10)</f>
        <v>580530</v>
      </c>
      <c r="Y10" s="8"/>
      <c r="Z10" s="8">
        <v>1254441</v>
      </c>
      <c r="AA10" s="8">
        <v>4000000</v>
      </c>
      <c r="AB10" s="8">
        <f>SUM(Y10:AA10)</f>
        <v>5254441</v>
      </c>
      <c r="AC10" s="5">
        <f t="shared" si="8"/>
        <v>5834971</v>
      </c>
      <c r="AD10" s="8">
        <v>292261</v>
      </c>
      <c r="AE10" s="8">
        <v>89000</v>
      </c>
      <c r="AF10" s="8">
        <v>44394</v>
      </c>
      <c r="AG10" s="8">
        <f>SUM(AD10:AF10)</f>
        <v>425655</v>
      </c>
      <c r="AH10" s="8">
        <v>0</v>
      </c>
      <c r="AI10" s="8">
        <v>477363</v>
      </c>
      <c r="AJ10" s="8">
        <v>3000000</v>
      </c>
      <c r="AK10" s="8">
        <f>SUM(AH10:AJ10)</f>
        <v>3477363</v>
      </c>
      <c r="AL10" s="5">
        <f t="shared" si="9"/>
        <v>3903018</v>
      </c>
      <c r="AM10" s="8">
        <v>292261</v>
      </c>
      <c r="AN10" s="8">
        <v>89000</v>
      </c>
      <c r="AO10" s="8">
        <v>44394</v>
      </c>
      <c r="AP10" s="8">
        <f>SUM(AM10:AO10)</f>
        <v>425655</v>
      </c>
      <c r="AQ10" s="8">
        <v>0</v>
      </c>
      <c r="AR10" s="8">
        <v>2000000</v>
      </c>
      <c r="AS10" s="8">
        <v>0</v>
      </c>
      <c r="AT10" s="5">
        <f t="shared" si="10"/>
        <v>2000000</v>
      </c>
      <c r="AU10" s="5">
        <f t="shared" si="11"/>
        <v>2425655</v>
      </c>
      <c r="AV10" s="8">
        <v>292261</v>
      </c>
      <c r="AW10" s="8">
        <v>89000</v>
      </c>
      <c r="AX10" s="8">
        <v>44394</v>
      </c>
      <c r="AY10" s="8">
        <f>SUM(AV10:AX10)</f>
        <v>425655</v>
      </c>
      <c r="AZ10" s="8">
        <v>0</v>
      </c>
      <c r="BA10" s="8">
        <v>0</v>
      </c>
      <c r="BB10" s="8">
        <v>0</v>
      </c>
      <c r="BC10" s="5">
        <f t="shared" si="12"/>
        <v>0</v>
      </c>
      <c r="BD10" s="5">
        <f t="shared" si="13"/>
        <v>425655</v>
      </c>
    </row>
    <row r="11" spans="1:57" ht="16.5">
      <c r="A11" s="53" t="s">
        <v>23</v>
      </c>
      <c r="B11" s="54"/>
      <c r="C11" s="5">
        <f>SUM(C12:C16)</f>
        <v>5370846</v>
      </c>
      <c r="D11" s="5">
        <f t="shared" ref="D11:J11" si="14">SUM(D12:D16)</f>
        <v>2439376</v>
      </c>
      <c r="E11" s="5">
        <f t="shared" si="14"/>
        <v>3362600</v>
      </c>
      <c r="F11" s="5">
        <f t="shared" si="14"/>
        <v>11172822</v>
      </c>
      <c r="G11" s="5">
        <f t="shared" si="14"/>
        <v>2876585</v>
      </c>
      <c r="H11" s="5">
        <f t="shared" si="14"/>
        <v>600000</v>
      </c>
      <c r="I11" s="5">
        <f t="shared" si="14"/>
        <v>0</v>
      </c>
      <c r="J11" s="5">
        <f t="shared" si="14"/>
        <v>3476585</v>
      </c>
      <c r="K11" s="5">
        <f t="shared" si="7"/>
        <v>14649407</v>
      </c>
      <c r="L11" s="5">
        <f>SUM(L12:L16)</f>
        <v>5960320</v>
      </c>
      <c r="M11" s="5">
        <f t="shared" ref="M11:S11" si="15">SUM(M12:M16)</f>
        <v>2124176</v>
      </c>
      <c r="N11" s="5">
        <f t="shared" si="15"/>
        <v>4237800</v>
      </c>
      <c r="O11" s="5">
        <f t="shared" si="15"/>
        <v>12322296</v>
      </c>
      <c r="P11" s="5">
        <f t="shared" si="15"/>
        <v>3004000</v>
      </c>
      <c r="Q11" s="5">
        <f t="shared" si="15"/>
        <v>600000</v>
      </c>
      <c r="R11" s="5">
        <f t="shared" si="15"/>
        <v>0</v>
      </c>
      <c r="S11" s="5">
        <f t="shared" si="15"/>
        <v>3604000</v>
      </c>
      <c r="T11" s="5">
        <f t="shared" si="2"/>
        <v>15926296</v>
      </c>
      <c r="U11" s="5">
        <f>SUM(U12:U16)</f>
        <v>6901500</v>
      </c>
      <c r="V11" s="5">
        <f t="shared" ref="V11:AB11" si="16">SUM(V12:V16)</f>
        <v>2801025</v>
      </c>
      <c r="W11" s="5">
        <f t="shared" si="16"/>
        <v>4019736</v>
      </c>
      <c r="X11" s="5">
        <f t="shared" si="16"/>
        <v>13722261</v>
      </c>
      <c r="Y11" s="5">
        <f t="shared" si="16"/>
        <v>3131000</v>
      </c>
      <c r="Z11" s="5">
        <f t="shared" si="16"/>
        <v>450000</v>
      </c>
      <c r="AA11" s="5">
        <f t="shared" si="16"/>
        <v>0</v>
      </c>
      <c r="AB11" s="5">
        <f t="shared" si="16"/>
        <v>3581000</v>
      </c>
      <c r="AC11" s="5">
        <f t="shared" si="8"/>
        <v>17303261</v>
      </c>
      <c r="AD11" s="5">
        <f>SUM(AD12:AD16)</f>
        <v>6277178</v>
      </c>
      <c r="AE11" s="5">
        <f t="shared" ref="AE11:AK11" si="17">SUM(AE12:AE16)</f>
        <v>3659047</v>
      </c>
      <c r="AF11" s="5">
        <f t="shared" si="17"/>
        <v>3565848</v>
      </c>
      <c r="AG11" s="5">
        <f t="shared" si="17"/>
        <v>13502073</v>
      </c>
      <c r="AH11" s="5">
        <f t="shared" si="17"/>
        <v>6752200</v>
      </c>
      <c r="AI11" s="5">
        <f t="shared" si="17"/>
        <v>0</v>
      </c>
      <c r="AJ11" s="5">
        <f t="shared" si="17"/>
        <v>0</v>
      </c>
      <c r="AK11" s="5">
        <f t="shared" si="17"/>
        <v>6752200</v>
      </c>
      <c r="AL11" s="5">
        <f t="shared" si="9"/>
        <v>20254273</v>
      </c>
      <c r="AM11" s="5">
        <f>SUM(AM12:AM16)</f>
        <v>6277178</v>
      </c>
      <c r="AN11" s="5">
        <f t="shared" ref="AN11:AS11" si="18">SUM(AN12:AN16)</f>
        <v>3608047</v>
      </c>
      <c r="AO11" s="5">
        <f t="shared" si="18"/>
        <v>3934020</v>
      </c>
      <c r="AP11" s="5">
        <f t="shared" si="18"/>
        <v>13819245</v>
      </c>
      <c r="AQ11" s="5">
        <f t="shared" si="18"/>
        <v>4052000</v>
      </c>
      <c r="AR11" s="5">
        <f t="shared" si="18"/>
        <v>0</v>
      </c>
      <c r="AS11" s="5">
        <f t="shared" si="18"/>
        <v>0</v>
      </c>
      <c r="AT11" s="5">
        <f t="shared" si="10"/>
        <v>4052000</v>
      </c>
      <c r="AU11" s="5">
        <f t="shared" si="11"/>
        <v>17871245</v>
      </c>
      <c r="AV11" s="5">
        <f>SUM(AV12:AV16)</f>
        <v>6277178</v>
      </c>
      <c r="AW11" s="5">
        <f t="shared" ref="AW11:BB11" si="19">SUM(AW12:AW16)</f>
        <v>3608047</v>
      </c>
      <c r="AX11" s="5">
        <f t="shared" si="19"/>
        <v>3934020</v>
      </c>
      <c r="AY11" s="5">
        <f t="shared" si="19"/>
        <v>13819245</v>
      </c>
      <c r="AZ11" s="5">
        <f t="shared" si="19"/>
        <v>85000</v>
      </c>
      <c r="BA11" s="5">
        <f t="shared" si="19"/>
        <v>0</v>
      </c>
      <c r="BB11" s="5">
        <f t="shared" si="19"/>
        <v>0</v>
      </c>
      <c r="BC11" s="5">
        <f t="shared" si="12"/>
        <v>85000</v>
      </c>
      <c r="BD11" s="5">
        <f t="shared" si="13"/>
        <v>13904245</v>
      </c>
    </row>
    <row r="12" spans="1:57" ht="33">
      <c r="A12" s="6" t="s">
        <v>24</v>
      </c>
      <c r="B12" s="10" t="s">
        <v>25</v>
      </c>
      <c r="C12" s="8">
        <v>1042023</v>
      </c>
      <c r="D12" s="8">
        <v>1478376</v>
      </c>
      <c r="E12" s="8">
        <v>294000</v>
      </c>
      <c r="F12" s="8">
        <f>SUM(C12:E12)</f>
        <v>2814399</v>
      </c>
      <c r="G12" s="8">
        <v>437446</v>
      </c>
      <c r="H12" s="8">
        <v>205000</v>
      </c>
      <c r="I12" s="8">
        <v>0</v>
      </c>
      <c r="J12" s="8">
        <f>SUM(G12:I12)</f>
        <v>642446</v>
      </c>
      <c r="K12" s="5">
        <f t="shared" si="7"/>
        <v>3456845</v>
      </c>
      <c r="L12" s="8">
        <v>716635</v>
      </c>
      <c r="M12" s="8">
        <v>1465224</v>
      </c>
      <c r="N12" s="8">
        <v>309024</v>
      </c>
      <c r="O12" s="8">
        <f>SUM(L12:N12)</f>
        <v>2490883</v>
      </c>
      <c r="P12" s="8">
        <v>0</v>
      </c>
      <c r="Q12" s="8">
        <v>0</v>
      </c>
      <c r="R12" s="8">
        <v>0</v>
      </c>
      <c r="S12" s="8">
        <f>SUM(P12:R12)</f>
        <v>0</v>
      </c>
      <c r="T12" s="5">
        <f t="shared" si="2"/>
        <v>2490883</v>
      </c>
      <c r="U12" s="8">
        <v>1216071</v>
      </c>
      <c r="V12" s="8">
        <v>1892750</v>
      </c>
      <c r="W12" s="8">
        <v>0</v>
      </c>
      <c r="X12" s="8">
        <f>SUM(U12:W12)</f>
        <v>3108821</v>
      </c>
      <c r="Y12" s="8">
        <v>0</v>
      </c>
      <c r="Z12" s="8">
        <v>0</v>
      </c>
      <c r="AA12" s="8">
        <v>0</v>
      </c>
      <c r="AB12" s="8">
        <f>SUM(Y12:AA12)</f>
        <v>0</v>
      </c>
      <c r="AC12" s="5">
        <f t="shared" si="8"/>
        <v>3108821</v>
      </c>
      <c r="AD12" s="8">
        <v>704935</v>
      </c>
      <c r="AE12" s="8">
        <v>3298547</v>
      </c>
      <c r="AF12" s="8">
        <v>281172</v>
      </c>
      <c r="AG12" s="8">
        <f>SUM(AD12:AF12)</f>
        <v>4284654</v>
      </c>
      <c r="AH12" s="8">
        <v>0</v>
      </c>
      <c r="AI12" s="8">
        <v>0</v>
      </c>
      <c r="AJ12" s="8">
        <v>0</v>
      </c>
      <c r="AK12" s="8">
        <f>SUM(AH12:AJ12)</f>
        <v>0</v>
      </c>
      <c r="AL12" s="5">
        <f t="shared" si="9"/>
        <v>4284654</v>
      </c>
      <c r="AM12" s="8">
        <v>704935</v>
      </c>
      <c r="AN12" s="8">
        <v>3247547</v>
      </c>
      <c r="AO12" s="8">
        <v>281172</v>
      </c>
      <c r="AP12" s="8">
        <f>SUM(AM12:AO12)</f>
        <v>4233654</v>
      </c>
      <c r="AQ12" s="8">
        <v>0</v>
      </c>
      <c r="AR12" s="8">
        <v>0</v>
      </c>
      <c r="AS12" s="8">
        <v>0</v>
      </c>
      <c r="AT12" s="5">
        <f t="shared" si="10"/>
        <v>0</v>
      </c>
      <c r="AU12" s="5">
        <f t="shared" si="11"/>
        <v>4233654</v>
      </c>
      <c r="AV12" s="8">
        <v>704935</v>
      </c>
      <c r="AW12" s="8">
        <v>3247547</v>
      </c>
      <c r="AX12" s="8">
        <v>281172</v>
      </c>
      <c r="AY12" s="8">
        <f>SUM(AV12:AX12)</f>
        <v>4233654</v>
      </c>
      <c r="AZ12" s="8">
        <v>0</v>
      </c>
      <c r="BA12" s="8">
        <v>0</v>
      </c>
      <c r="BB12" s="8">
        <v>0</v>
      </c>
      <c r="BC12" s="5">
        <f t="shared" si="12"/>
        <v>0</v>
      </c>
      <c r="BD12" s="5">
        <f t="shared" si="13"/>
        <v>4233654</v>
      </c>
    </row>
    <row r="13" spans="1:57" ht="33">
      <c r="A13" s="6" t="s">
        <v>26</v>
      </c>
      <c r="B13" s="10" t="s">
        <v>27</v>
      </c>
      <c r="C13" s="8">
        <v>168521</v>
      </c>
      <c r="D13" s="8">
        <v>116000</v>
      </c>
      <c r="E13" s="8">
        <f>198000+15000</f>
        <v>213000</v>
      </c>
      <c r="F13" s="8">
        <f>SUM(C13:E13)</f>
        <v>497521</v>
      </c>
      <c r="G13" s="8">
        <v>482521</v>
      </c>
      <c r="H13" s="8">
        <v>0</v>
      </c>
      <c r="I13" s="8">
        <v>0</v>
      </c>
      <c r="J13" s="8">
        <f>SUM(G13:I13)</f>
        <v>482521</v>
      </c>
      <c r="K13" s="5">
        <f t="shared" si="7"/>
        <v>980042</v>
      </c>
      <c r="L13" s="8">
        <v>180971</v>
      </c>
      <c r="M13" s="8">
        <v>131000</v>
      </c>
      <c r="N13" s="8">
        <v>198000</v>
      </c>
      <c r="O13" s="8">
        <f>SUM(L13:N13)</f>
        <v>509971</v>
      </c>
      <c r="P13" s="8">
        <v>0</v>
      </c>
      <c r="Q13" s="8">
        <v>0</v>
      </c>
      <c r="R13" s="8">
        <v>0</v>
      </c>
      <c r="S13" s="8">
        <f>SUM(P13:R13)</f>
        <v>0</v>
      </c>
      <c r="T13" s="5">
        <f t="shared" si="2"/>
        <v>509971</v>
      </c>
      <c r="U13" s="8">
        <v>225278</v>
      </c>
      <c r="V13" s="8">
        <v>348775</v>
      </c>
      <c r="W13" s="8">
        <v>180000</v>
      </c>
      <c r="X13" s="8">
        <f>SUM(U13:W13)</f>
        <v>754053</v>
      </c>
      <c r="Y13" s="8">
        <v>0</v>
      </c>
      <c r="Z13" s="8">
        <v>0</v>
      </c>
      <c r="AA13" s="8">
        <v>0</v>
      </c>
      <c r="AB13" s="8">
        <f>SUM(Y13:AA13)</f>
        <v>0</v>
      </c>
      <c r="AC13" s="5">
        <f t="shared" si="8"/>
        <v>754053</v>
      </c>
      <c r="AD13" s="8">
        <v>222682</v>
      </c>
      <c r="AE13" s="8">
        <v>165500</v>
      </c>
      <c r="AF13" s="8">
        <v>162072</v>
      </c>
      <c r="AG13" s="8">
        <f>SUM(AD13:AF13)</f>
        <v>550254</v>
      </c>
      <c r="AH13" s="8">
        <v>0</v>
      </c>
      <c r="AI13" s="8">
        <v>0</v>
      </c>
      <c r="AJ13" s="8">
        <v>0</v>
      </c>
      <c r="AK13" s="8">
        <f>SUM(AH13:AJ13)</f>
        <v>0</v>
      </c>
      <c r="AL13" s="5">
        <f t="shared" si="9"/>
        <v>550254</v>
      </c>
      <c r="AM13" s="8">
        <v>222682</v>
      </c>
      <c r="AN13" s="8">
        <v>165500</v>
      </c>
      <c r="AO13" s="8">
        <v>162072</v>
      </c>
      <c r="AP13" s="8">
        <f>SUM(AM13:AO13)</f>
        <v>550254</v>
      </c>
      <c r="AQ13" s="8">
        <v>0</v>
      </c>
      <c r="AR13" s="8">
        <v>0</v>
      </c>
      <c r="AS13" s="8">
        <v>0</v>
      </c>
      <c r="AT13" s="5">
        <f t="shared" si="10"/>
        <v>0</v>
      </c>
      <c r="AU13" s="5">
        <f t="shared" si="11"/>
        <v>550254</v>
      </c>
      <c r="AV13" s="8">
        <v>222682</v>
      </c>
      <c r="AW13" s="8">
        <v>165500</v>
      </c>
      <c r="AX13" s="8">
        <v>162072</v>
      </c>
      <c r="AY13" s="8">
        <f>SUM(AV13:AX13)</f>
        <v>550254</v>
      </c>
      <c r="AZ13" s="8">
        <v>0</v>
      </c>
      <c r="BA13" s="8">
        <v>0</v>
      </c>
      <c r="BB13" s="8">
        <v>0</v>
      </c>
      <c r="BC13" s="5">
        <f t="shared" si="12"/>
        <v>0</v>
      </c>
      <c r="BD13" s="5">
        <f t="shared" si="13"/>
        <v>550254</v>
      </c>
    </row>
    <row r="14" spans="1:57" ht="16.5">
      <c r="A14" s="6" t="s">
        <v>28</v>
      </c>
      <c r="B14" s="10" t="s">
        <v>29</v>
      </c>
      <c r="C14" s="8">
        <v>3962944</v>
      </c>
      <c r="D14" s="8">
        <v>525000</v>
      </c>
      <c r="E14" s="8">
        <v>1234960</v>
      </c>
      <c r="F14" s="8">
        <f>SUM(C14:E14)</f>
        <v>5722904</v>
      </c>
      <c r="G14" s="8">
        <v>478309</v>
      </c>
      <c r="H14" s="8">
        <v>0</v>
      </c>
      <c r="I14" s="8">
        <v>0</v>
      </c>
      <c r="J14" s="8">
        <f>SUM(G14:I14)</f>
        <v>478309</v>
      </c>
      <c r="K14" s="5">
        <f t="shared" si="7"/>
        <v>6201213</v>
      </c>
      <c r="L14" s="8">
        <v>4901445</v>
      </c>
      <c r="M14" s="8">
        <v>482952</v>
      </c>
      <c r="N14" s="8">
        <v>1425136</v>
      </c>
      <c r="O14" s="8">
        <f>SUM(L14:N14)</f>
        <v>6809533</v>
      </c>
      <c r="P14" s="8">
        <v>1756000</v>
      </c>
      <c r="Q14" s="8">
        <v>0</v>
      </c>
      <c r="R14" s="8">
        <v>0</v>
      </c>
      <c r="S14" s="8">
        <f>SUM(P14:R14)</f>
        <v>1756000</v>
      </c>
      <c r="T14" s="5">
        <f t="shared" si="2"/>
        <v>8565533</v>
      </c>
      <c r="U14" s="8">
        <v>5189208</v>
      </c>
      <c r="V14" s="8">
        <v>446000</v>
      </c>
      <c r="W14" s="8">
        <v>1678596</v>
      </c>
      <c r="X14" s="8">
        <f>SUM(U14:W14)</f>
        <v>7313804</v>
      </c>
      <c r="Y14" s="8">
        <v>2056500</v>
      </c>
      <c r="Z14" s="8">
        <v>0</v>
      </c>
      <c r="AA14" s="8">
        <v>0</v>
      </c>
      <c r="AB14" s="8">
        <f>SUM(Y14:AA14)</f>
        <v>2056500</v>
      </c>
      <c r="AC14" s="5">
        <f t="shared" si="8"/>
        <v>9370304</v>
      </c>
      <c r="AD14" s="8">
        <v>5106066</v>
      </c>
      <c r="AE14" s="8">
        <v>117000</v>
      </c>
      <c r="AF14" s="8">
        <v>1261464</v>
      </c>
      <c r="AG14" s="8">
        <f>SUM(AD14:AF14)</f>
        <v>6484530</v>
      </c>
      <c r="AH14" s="8">
        <v>5615200</v>
      </c>
      <c r="AI14" s="8">
        <v>0</v>
      </c>
      <c r="AJ14" s="8">
        <v>0</v>
      </c>
      <c r="AK14" s="8">
        <f>SUM(AH14:AJ14)</f>
        <v>5615200</v>
      </c>
      <c r="AL14" s="5">
        <f t="shared" si="9"/>
        <v>12099730</v>
      </c>
      <c r="AM14" s="8">
        <v>5106066</v>
      </c>
      <c r="AN14" s="8">
        <v>117000</v>
      </c>
      <c r="AO14" s="8">
        <v>1629636</v>
      </c>
      <c r="AP14" s="8">
        <f>SUM(AM14:AO14)</f>
        <v>6852702</v>
      </c>
      <c r="AQ14" s="8">
        <v>2915000</v>
      </c>
      <c r="AR14" s="8">
        <v>0</v>
      </c>
      <c r="AS14" s="8">
        <v>0</v>
      </c>
      <c r="AT14" s="5">
        <f t="shared" si="10"/>
        <v>2915000</v>
      </c>
      <c r="AU14" s="5">
        <f t="shared" si="11"/>
        <v>9767702</v>
      </c>
      <c r="AV14" s="8">
        <v>5106066</v>
      </c>
      <c r="AW14" s="8">
        <v>117000</v>
      </c>
      <c r="AX14" s="8">
        <v>1629636</v>
      </c>
      <c r="AY14" s="8">
        <f>SUM(AV14:AX14)</f>
        <v>6852702</v>
      </c>
      <c r="AZ14" s="8">
        <v>0</v>
      </c>
      <c r="BA14" s="8">
        <v>0</v>
      </c>
      <c r="BB14" s="8">
        <v>0</v>
      </c>
      <c r="BC14" s="5">
        <f t="shared" si="12"/>
        <v>0</v>
      </c>
      <c r="BD14" s="5">
        <f t="shared" si="13"/>
        <v>6852702</v>
      </c>
    </row>
    <row r="15" spans="1:57" ht="16.5">
      <c r="A15" s="6" t="s">
        <v>30</v>
      </c>
      <c r="B15" s="10" t="s">
        <v>31</v>
      </c>
      <c r="C15" s="8">
        <v>48189</v>
      </c>
      <c r="D15" s="8">
        <v>299000</v>
      </c>
      <c r="E15" s="8">
        <v>1463000</v>
      </c>
      <c r="F15" s="8">
        <f>SUM(C15:E15)</f>
        <v>1810189</v>
      </c>
      <c r="G15" s="8">
        <v>1000000</v>
      </c>
      <c r="H15" s="8">
        <v>280000</v>
      </c>
      <c r="I15" s="8">
        <v>0</v>
      </c>
      <c r="J15" s="8">
        <f>SUM(G15:I15)</f>
        <v>1280000</v>
      </c>
      <c r="K15" s="5">
        <f t="shared" si="7"/>
        <v>3090189</v>
      </c>
      <c r="L15" s="8"/>
      <c r="M15" s="8"/>
      <c r="N15" s="8">
        <v>2100000</v>
      </c>
      <c r="O15" s="8">
        <f>SUM(L15:N15)</f>
        <v>2100000</v>
      </c>
      <c r="P15" s="8">
        <v>1150000</v>
      </c>
      <c r="Q15" s="8">
        <v>0</v>
      </c>
      <c r="R15" s="8">
        <v>0</v>
      </c>
      <c r="S15" s="8">
        <f>SUM(P15:R15)</f>
        <v>1150000</v>
      </c>
      <c r="T15" s="5">
        <f t="shared" si="2"/>
        <v>3250000</v>
      </c>
      <c r="U15" s="8">
        <v>28225</v>
      </c>
      <c r="V15" s="8"/>
      <c r="W15" s="8">
        <v>2000000</v>
      </c>
      <c r="X15" s="8">
        <f>SUM(U15:W15)</f>
        <v>2028225</v>
      </c>
      <c r="Y15" s="8">
        <v>1000000</v>
      </c>
      <c r="Z15" s="8">
        <v>0</v>
      </c>
      <c r="AA15" s="8">
        <v>0</v>
      </c>
      <c r="AB15" s="8">
        <f>SUM(Y15:AA15)</f>
        <v>1000000</v>
      </c>
      <c r="AC15" s="5">
        <f t="shared" si="8"/>
        <v>3028225</v>
      </c>
      <c r="AD15" s="8">
        <v>12033</v>
      </c>
      <c r="AE15" s="8"/>
      <c r="AF15" s="8">
        <v>1700000</v>
      </c>
      <c r="AG15" s="8">
        <f>SUM(AD15:AF15)</f>
        <v>1712033</v>
      </c>
      <c r="AH15" s="8">
        <v>1052000</v>
      </c>
      <c r="AI15" s="8">
        <v>0</v>
      </c>
      <c r="AJ15" s="8">
        <v>0</v>
      </c>
      <c r="AK15" s="8">
        <f>SUM(AH15:AJ15)</f>
        <v>1052000</v>
      </c>
      <c r="AL15" s="5">
        <f t="shared" si="9"/>
        <v>2764033</v>
      </c>
      <c r="AM15" s="8">
        <v>12033</v>
      </c>
      <c r="AN15" s="8"/>
      <c r="AO15" s="8">
        <v>1700000</v>
      </c>
      <c r="AP15" s="8">
        <f>SUM(AM15:AO15)</f>
        <v>1712033</v>
      </c>
      <c r="AQ15" s="8">
        <v>1052000</v>
      </c>
      <c r="AR15" s="8">
        <v>0</v>
      </c>
      <c r="AS15" s="8">
        <v>0</v>
      </c>
      <c r="AT15" s="5">
        <f t="shared" si="10"/>
        <v>1052000</v>
      </c>
      <c r="AU15" s="5">
        <f t="shared" si="11"/>
        <v>2764033</v>
      </c>
      <c r="AV15" s="8">
        <v>12033</v>
      </c>
      <c r="AW15" s="8"/>
      <c r="AX15" s="8">
        <v>1700000</v>
      </c>
      <c r="AY15" s="8">
        <f>SUM(AV15:AX15)</f>
        <v>1712033</v>
      </c>
      <c r="AZ15" s="8">
        <v>0</v>
      </c>
      <c r="BA15" s="8">
        <v>0</v>
      </c>
      <c r="BB15" s="8">
        <v>0</v>
      </c>
      <c r="BC15" s="5">
        <f t="shared" si="12"/>
        <v>0</v>
      </c>
      <c r="BD15" s="5">
        <f t="shared" si="13"/>
        <v>1712033</v>
      </c>
    </row>
    <row r="16" spans="1:57" ht="49.5">
      <c r="A16" s="9" t="s">
        <v>32</v>
      </c>
      <c r="B16" s="10" t="s">
        <v>33</v>
      </c>
      <c r="C16" s="8">
        <v>149169</v>
      </c>
      <c r="D16" s="8">
        <v>21000</v>
      </c>
      <c r="E16" s="8">
        <v>157640</v>
      </c>
      <c r="F16" s="8">
        <f>SUM(C16:E16)</f>
        <v>327809</v>
      </c>
      <c r="G16" s="8">
        <v>478309</v>
      </c>
      <c r="H16" s="8">
        <f>122000-7000</f>
        <v>115000</v>
      </c>
      <c r="I16" s="8">
        <v>0</v>
      </c>
      <c r="J16" s="8">
        <f>SUM(G16:I16)</f>
        <v>593309</v>
      </c>
      <c r="K16" s="5">
        <f t="shared" si="7"/>
        <v>921118</v>
      </c>
      <c r="L16" s="8">
        <v>161269</v>
      </c>
      <c r="M16" s="8">
        <v>45000</v>
      </c>
      <c r="N16" s="8">
        <v>205640</v>
      </c>
      <c r="O16" s="8">
        <f>SUM(L16:N16)</f>
        <v>411909</v>
      </c>
      <c r="P16" s="8">
        <v>98000</v>
      </c>
      <c r="Q16" s="8">
        <v>600000</v>
      </c>
      <c r="R16" s="8">
        <v>0</v>
      </c>
      <c r="S16" s="8">
        <f>SUM(P16:R16)</f>
        <v>698000</v>
      </c>
      <c r="T16" s="5">
        <f t="shared" si="2"/>
        <v>1109909</v>
      </c>
      <c r="U16" s="8">
        <v>242718</v>
      </c>
      <c r="V16" s="8">
        <v>113500</v>
      </c>
      <c r="W16" s="8">
        <v>161140</v>
      </c>
      <c r="X16" s="8">
        <f>SUM(U16:W16)</f>
        <v>517358</v>
      </c>
      <c r="Y16" s="8">
        <v>74500</v>
      </c>
      <c r="Z16" s="8">
        <v>450000</v>
      </c>
      <c r="AA16" s="8">
        <v>0</v>
      </c>
      <c r="AB16" s="8">
        <f>SUM(Y16:AA16)</f>
        <v>524500</v>
      </c>
      <c r="AC16" s="5">
        <f t="shared" si="8"/>
        <v>1041858</v>
      </c>
      <c r="AD16" s="8">
        <v>231462</v>
      </c>
      <c r="AE16" s="8">
        <v>78000</v>
      </c>
      <c r="AF16" s="8">
        <v>161140</v>
      </c>
      <c r="AG16" s="8">
        <f>SUM(AD16:AF16)</f>
        <v>470602</v>
      </c>
      <c r="AH16" s="8">
        <v>85000</v>
      </c>
      <c r="AI16" s="8">
        <v>0</v>
      </c>
      <c r="AJ16" s="8">
        <v>0</v>
      </c>
      <c r="AK16" s="8">
        <f>SUM(AH16:AJ16)</f>
        <v>85000</v>
      </c>
      <c r="AL16" s="5">
        <f t="shared" si="9"/>
        <v>555602</v>
      </c>
      <c r="AM16" s="8">
        <v>231462</v>
      </c>
      <c r="AN16" s="8">
        <v>78000</v>
      </c>
      <c r="AO16" s="8">
        <v>161140</v>
      </c>
      <c r="AP16" s="8">
        <f>SUM(AM16:AO16)</f>
        <v>470602</v>
      </c>
      <c r="AQ16" s="8">
        <v>85000</v>
      </c>
      <c r="AR16" s="8">
        <v>0</v>
      </c>
      <c r="AS16" s="8">
        <v>0</v>
      </c>
      <c r="AT16" s="5">
        <f t="shared" si="10"/>
        <v>85000</v>
      </c>
      <c r="AU16" s="5">
        <f t="shared" si="11"/>
        <v>555602</v>
      </c>
      <c r="AV16" s="8">
        <v>231462</v>
      </c>
      <c r="AW16" s="8">
        <v>78000</v>
      </c>
      <c r="AX16" s="8">
        <v>161140</v>
      </c>
      <c r="AY16" s="8">
        <f>SUM(AV16:AX16)</f>
        <v>470602</v>
      </c>
      <c r="AZ16" s="8">
        <v>85000</v>
      </c>
      <c r="BA16" s="8">
        <v>0</v>
      </c>
      <c r="BB16" s="8">
        <v>0</v>
      </c>
      <c r="BC16" s="5">
        <f t="shared" si="12"/>
        <v>85000</v>
      </c>
      <c r="BD16" s="5">
        <f t="shared" si="13"/>
        <v>555602</v>
      </c>
    </row>
    <row r="17" spans="1:56" ht="16.5">
      <c r="A17" s="53" t="s">
        <v>34</v>
      </c>
      <c r="B17" s="54"/>
      <c r="C17" s="5">
        <f>SUM(C18:C21)</f>
        <v>18509320</v>
      </c>
      <c r="D17" s="5">
        <f t="shared" ref="D17:J17" si="20">SUM(D18:D21)</f>
        <v>8531806</v>
      </c>
      <c r="E17" s="5">
        <f t="shared" si="20"/>
        <v>344592</v>
      </c>
      <c r="F17" s="5">
        <f t="shared" si="20"/>
        <v>27385718</v>
      </c>
      <c r="G17" s="5">
        <f t="shared" si="20"/>
        <v>1970000</v>
      </c>
      <c r="H17" s="5">
        <f t="shared" si="20"/>
        <v>0</v>
      </c>
      <c r="I17" s="5">
        <f t="shared" si="20"/>
        <v>0</v>
      </c>
      <c r="J17" s="5">
        <f t="shared" si="20"/>
        <v>1970000</v>
      </c>
      <c r="K17" s="5">
        <f t="shared" si="7"/>
        <v>29355718</v>
      </c>
      <c r="L17" s="5">
        <f>SUM(L18:L21)</f>
        <v>18152867</v>
      </c>
      <c r="M17" s="5">
        <f t="shared" ref="M17:S17" si="21">SUM(M18:M21)</f>
        <v>8831806</v>
      </c>
      <c r="N17" s="5">
        <f t="shared" si="21"/>
        <v>344592</v>
      </c>
      <c r="O17" s="5">
        <f t="shared" si="21"/>
        <v>27329265</v>
      </c>
      <c r="P17" s="5">
        <f t="shared" si="21"/>
        <v>1000000</v>
      </c>
      <c r="Q17" s="5">
        <f t="shared" si="21"/>
        <v>0</v>
      </c>
      <c r="R17" s="5">
        <f t="shared" si="21"/>
        <v>0</v>
      </c>
      <c r="S17" s="5">
        <f t="shared" si="21"/>
        <v>1000000</v>
      </c>
      <c r="T17" s="5">
        <f t="shared" si="2"/>
        <v>28329265</v>
      </c>
      <c r="U17" s="5">
        <f>SUM(U18:U21)</f>
        <v>13320800</v>
      </c>
      <c r="V17" s="5">
        <f t="shared" ref="V17:AB17" si="22">SUM(V18:V21)</f>
        <v>8722571</v>
      </c>
      <c r="W17" s="5">
        <f t="shared" si="22"/>
        <v>195039</v>
      </c>
      <c r="X17" s="5">
        <f t="shared" si="22"/>
        <v>22238410</v>
      </c>
      <c r="Y17" s="5">
        <f t="shared" si="22"/>
        <v>1800000</v>
      </c>
      <c r="Z17" s="5">
        <f t="shared" si="22"/>
        <v>0</v>
      </c>
      <c r="AA17" s="5">
        <f t="shared" si="22"/>
        <v>0</v>
      </c>
      <c r="AB17" s="5">
        <f t="shared" si="22"/>
        <v>1800000</v>
      </c>
      <c r="AC17" s="5">
        <f t="shared" si="8"/>
        <v>24038410</v>
      </c>
      <c r="AD17" s="5">
        <f>SUM(AD18:AD21)</f>
        <v>15006544</v>
      </c>
      <c r="AE17" s="5">
        <f t="shared" ref="AE17:AK17" si="23">SUM(AE18:AE21)</f>
        <v>5728052</v>
      </c>
      <c r="AF17" s="5">
        <f t="shared" si="23"/>
        <v>100000</v>
      </c>
      <c r="AG17" s="5">
        <f t="shared" si="23"/>
        <v>20834596</v>
      </c>
      <c r="AH17" s="5">
        <f t="shared" si="23"/>
        <v>2130000</v>
      </c>
      <c r="AI17" s="5">
        <f t="shared" si="23"/>
        <v>0</v>
      </c>
      <c r="AJ17" s="5">
        <f t="shared" si="23"/>
        <v>0</v>
      </c>
      <c r="AK17" s="5">
        <f t="shared" si="23"/>
        <v>2130000</v>
      </c>
      <c r="AL17" s="5">
        <f t="shared" si="9"/>
        <v>22964596</v>
      </c>
      <c r="AM17" s="5">
        <f>SUM(AM18:AM21)</f>
        <v>14663544</v>
      </c>
      <c r="AN17" s="5">
        <f t="shared" ref="AN17:AS17" si="24">SUM(AN18:AN21)</f>
        <v>5080000</v>
      </c>
      <c r="AO17" s="5">
        <f t="shared" si="24"/>
        <v>100000</v>
      </c>
      <c r="AP17" s="5">
        <f t="shared" si="24"/>
        <v>19843544</v>
      </c>
      <c r="AQ17" s="5">
        <f t="shared" si="24"/>
        <v>1000000</v>
      </c>
      <c r="AR17" s="5">
        <f t="shared" si="24"/>
        <v>0</v>
      </c>
      <c r="AS17" s="5">
        <f t="shared" si="24"/>
        <v>0</v>
      </c>
      <c r="AT17" s="5">
        <f t="shared" si="10"/>
        <v>1000000</v>
      </c>
      <c r="AU17" s="5">
        <f t="shared" si="11"/>
        <v>20843544</v>
      </c>
      <c r="AV17" s="5">
        <f>SUM(AV18:AV21)</f>
        <v>14663544</v>
      </c>
      <c r="AW17" s="5">
        <f t="shared" ref="AW17:BB17" si="25">SUM(AW18:AW21)</f>
        <v>5080000</v>
      </c>
      <c r="AX17" s="5">
        <f t="shared" si="25"/>
        <v>100000</v>
      </c>
      <c r="AY17" s="5">
        <f t="shared" si="25"/>
        <v>19843544</v>
      </c>
      <c r="AZ17" s="5">
        <f t="shared" si="25"/>
        <v>850000</v>
      </c>
      <c r="BA17" s="5">
        <f t="shared" si="25"/>
        <v>0</v>
      </c>
      <c r="BB17" s="5">
        <f t="shared" si="25"/>
        <v>0</v>
      </c>
      <c r="BC17" s="5">
        <f t="shared" si="12"/>
        <v>850000</v>
      </c>
      <c r="BD17" s="5">
        <f t="shared" si="13"/>
        <v>20693544</v>
      </c>
    </row>
    <row r="18" spans="1:56" ht="33">
      <c r="A18" s="6" t="s">
        <v>35</v>
      </c>
      <c r="B18" s="7" t="s">
        <v>36</v>
      </c>
      <c r="C18" s="8">
        <f>10157*1000-3346680</f>
        <v>6810320</v>
      </c>
      <c r="D18" s="8">
        <v>2544000</v>
      </c>
      <c r="E18" s="8">
        <v>120000</v>
      </c>
      <c r="F18" s="8">
        <f>SUM(C18:E18)</f>
        <v>9474320</v>
      </c>
      <c r="G18" s="8">
        <v>503500</v>
      </c>
      <c r="H18" s="8">
        <v>0</v>
      </c>
      <c r="I18" s="8">
        <v>0</v>
      </c>
      <c r="J18" s="8">
        <f>SUM(G18:I18)</f>
        <v>503500</v>
      </c>
      <c r="K18" s="5">
        <f t="shared" si="7"/>
        <v>9977820</v>
      </c>
      <c r="L18" s="8">
        <v>3539789</v>
      </c>
      <c r="M18" s="8">
        <v>2544006</v>
      </c>
      <c r="N18" s="8">
        <v>120000</v>
      </c>
      <c r="O18" s="8">
        <f>SUM(L18:N18)</f>
        <v>6203795</v>
      </c>
      <c r="P18" s="8">
        <v>100000</v>
      </c>
      <c r="Q18" s="8">
        <v>0</v>
      </c>
      <c r="R18" s="8">
        <v>0</v>
      </c>
      <c r="S18" s="8">
        <f>SUM(P18:R18)</f>
        <v>100000</v>
      </c>
      <c r="T18" s="5">
        <f t="shared" si="2"/>
        <v>6303795</v>
      </c>
      <c r="U18" s="8">
        <v>3539789</v>
      </c>
      <c r="V18" s="8">
        <v>2876361</v>
      </c>
      <c r="W18" s="8">
        <v>75447</v>
      </c>
      <c r="X18" s="8">
        <f>SUM(U18:W18)</f>
        <v>6491597</v>
      </c>
      <c r="Y18" s="8">
        <v>200000</v>
      </c>
      <c r="Z18" s="8">
        <v>0</v>
      </c>
      <c r="AA18" s="8">
        <v>0</v>
      </c>
      <c r="AB18" s="8">
        <f>SUM(Y18:AA18)</f>
        <v>200000</v>
      </c>
      <c r="AC18" s="5">
        <f t="shared" si="8"/>
        <v>6691597</v>
      </c>
      <c r="AD18" s="8">
        <v>2037100</v>
      </c>
      <c r="AE18" s="8">
        <v>2490200</v>
      </c>
      <c r="AF18" s="8">
        <v>0</v>
      </c>
      <c r="AG18" s="8">
        <f>SUM(AD18:AF18)</f>
        <v>4527300</v>
      </c>
      <c r="AH18" s="8">
        <v>1600000</v>
      </c>
      <c r="AI18" s="8">
        <v>0</v>
      </c>
      <c r="AJ18" s="8">
        <v>0</v>
      </c>
      <c r="AK18" s="8">
        <f>SUM(AH18:AJ18)</f>
        <v>1600000</v>
      </c>
      <c r="AL18" s="5">
        <f t="shared" si="9"/>
        <v>6127300</v>
      </c>
      <c r="AM18" s="8">
        <v>1694100</v>
      </c>
      <c r="AN18" s="8">
        <v>2490200</v>
      </c>
      <c r="AO18" s="8">
        <v>0</v>
      </c>
      <c r="AP18" s="8">
        <f>SUM(AM18:AO18)</f>
        <v>4184300</v>
      </c>
      <c r="AQ18" s="8">
        <v>700000</v>
      </c>
      <c r="AR18" s="8">
        <v>0</v>
      </c>
      <c r="AS18" s="8">
        <v>0</v>
      </c>
      <c r="AT18" s="8">
        <f>SUM(AQ18:AS18)</f>
        <v>700000</v>
      </c>
      <c r="AU18" s="5">
        <f t="shared" si="11"/>
        <v>4884300</v>
      </c>
      <c r="AV18" s="8">
        <v>1694100</v>
      </c>
      <c r="AW18" s="8">
        <v>2490200</v>
      </c>
      <c r="AX18" s="8">
        <v>0</v>
      </c>
      <c r="AY18" s="8">
        <f>SUM(AV18:AX18)</f>
        <v>4184300</v>
      </c>
      <c r="AZ18" s="8">
        <v>600000</v>
      </c>
      <c r="BA18" s="8">
        <v>0</v>
      </c>
      <c r="BB18" s="8">
        <v>0</v>
      </c>
      <c r="BC18" s="8">
        <f>SUM(AZ18:BB18)</f>
        <v>600000</v>
      </c>
      <c r="BD18" s="5">
        <f t="shared" si="13"/>
        <v>4784300</v>
      </c>
    </row>
    <row r="19" spans="1:56" ht="33">
      <c r="A19" s="6" t="s">
        <v>37</v>
      </c>
      <c r="B19" s="7" t="s">
        <v>38</v>
      </c>
      <c r="C19" s="8">
        <f>14319000-4000000</f>
        <v>10319000</v>
      </c>
      <c r="D19" s="8">
        <v>5325000</v>
      </c>
      <c r="E19" s="8">
        <v>101000</v>
      </c>
      <c r="F19" s="8">
        <f>SUM(C19:E19)</f>
        <v>15745000</v>
      </c>
      <c r="G19" s="8">
        <v>471335</v>
      </c>
      <c r="H19" s="8">
        <v>0</v>
      </c>
      <c r="I19" s="8">
        <v>0</v>
      </c>
      <c r="J19" s="8">
        <f>SUM(G19:I19)</f>
        <v>471335</v>
      </c>
      <c r="K19" s="5">
        <f t="shared" si="7"/>
        <v>16216335</v>
      </c>
      <c r="L19" s="8">
        <f>14318710-2524072</f>
        <v>11794638</v>
      </c>
      <c r="M19" s="8">
        <v>5325100</v>
      </c>
      <c r="N19" s="8">
        <f>100840-998</f>
        <v>99842</v>
      </c>
      <c r="O19" s="8">
        <f>SUM(L19:N19)</f>
        <v>17219580</v>
      </c>
      <c r="P19" s="8">
        <v>150000</v>
      </c>
      <c r="Q19" s="8">
        <v>0</v>
      </c>
      <c r="R19" s="8">
        <v>0</v>
      </c>
      <c r="S19" s="8">
        <f>SUM(P19:R19)</f>
        <v>150000</v>
      </c>
      <c r="T19" s="5">
        <f t="shared" si="2"/>
        <v>17369580</v>
      </c>
      <c r="U19" s="8">
        <v>6962571</v>
      </c>
      <c r="V19" s="8">
        <f>5325100-441590</f>
        <v>4883510</v>
      </c>
      <c r="W19" s="8">
        <v>54842</v>
      </c>
      <c r="X19" s="8">
        <f>SUM(U19:W19)</f>
        <v>11900923</v>
      </c>
      <c r="Y19" s="8">
        <f>150000*2</f>
        <v>300000</v>
      </c>
      <c r="Z19" s="8">
        <v>0</v>
      </c>
      <c r="AA19" s="8">
        <v>0</v>
      </c>
      <c r="AB19" s="8">
        <f>SUM(Y19:AA19)</f>
        <v>300000</v>
      </c>
      <c r="AC19" s="5">
        <f t="shared" si="8"/>
        <v>12200923</v>
      </c>
      <c r="AD19" s="8">
        <v>2175632</v>
      </c>
      <c r="AE19" s="8">
        <v>1154252</v>
      </c>
      <c r="AF19" s="8">
        <v>100000</v>
      </c>
      <c r="AG19" s="8">
        <f>SUM(AD19:AF19)</f>
        <v>3429884</v>
      </c>
      <c r="AH19" s="8">
        <v>0</v>
      </c>
      <c r="AI19" s="8">
        <v>0</v>
      </c>
      <c r="AJ19" s="8">
        <v>0</v>
      </c>
      <c r="AK19" s="8">
        <f>SUM(AH19:AJ19)</f>
        <v>0</v>
      </c>
      <c r="AL19" s="5">
        <f t="shared" si="9"/>
        <v>3429884</v>
      </c>
      <c r="AM19" s="8">
        <v>2175632</v>
      </c>
      <c r="AN19" s="8">
        <v>506200</v>
      </c>
      <c r="AO19" s="8">
        <v>100000</v>
      </c>
      <c r="AP19" s="8">
        <f>SUM(AM19:AO19)</f>
        <v>2781832</v>
      </c>
      <c r="AQ19" s="8">
        <v>0</v>
      </c>
      <c r="AR19" s="8">
        <v>0</v>
      </c>
      <c r="AS19" s="8">
        <v>0</v>
      </c>
      <c r="AT19" s="8">
        <f>SUM(AQ19:AS19)</f>
        <v>0</v>
      </c>
      <c r="AU19" s="5">
        <f t="shared" si="11"/>
        <v>2781832</v>
      </c>
      <c r="AV19" s="8">
        <v>2175632</v>
      </c>
      <c r="AW19" s="8">
        <v>506200</v>
      </c>
      <c r="AX19" s="8">
        <v>100000</v>
      </c>
      <c r="AY19" s="8">
        <f>SUM(AV19:AX19)</f>
        <v>2781832</v>
      </c>
      <c r="AZ19" s="8">
        <v>0</v>
      </c>
      <c r="BA19" s="8">
        <v>0</v>
      </c>
      <c r="BB19" s="8">
        <v>0</v>
      </c>
      <c r="BC19" s="8">
        <f>SUM(AZ19:BB19)</f>
        <v>0</v>
      </c>
      <c r="BD19" s="5">
        <f t="shared" si="13"/>
        <v>2781832</v>
      </c>
    </row>
    <row r="20" spans="1:56" ht="33">
      <c r="A20" s="6" t="s">
        <v>39</v>
      </c>
      <c r="B20" s="7" t="s">
        <v>40</v>
      </c>
      <c r="C20" s="8">
        <v>0</v>
      </c>
      <c r="D20" s="8">
        <v>322806</v>
      </c>
      <c r="E20" s="8">
        <v>54592</v>
      </c>
      <c r="F20" s="8">
        <f>SUM(C20:E20)</f>
        <v>377398</v>
      </c>
      <c r="G20" s="8">
        <v>460165</v>
      </c>
      <c r="H20" s="8">
        <v>0</v>
      </c>
      <c r="I20" s="8">
        <v>0</v>
      </c>
      <c r="J20" s="8">
        <f>SUM(G20:I20)</f>
        <v>460165</v>
      </c>
      <c r="K20" s="5">
        <f t="shared" si="7"/>
        <v>837563</v>
      </c>
      <c r="L20" s="8">
        <v>2680140</v>
      </c>
      <c r="M20" s="8">
        <v>962700</v>
      </c>
      <c r="N20" s="8">
        <v>55000</v>
      </c>
      <c r="O20" s="8">
        <f>SUM(L20:N20)</f>
        <v>3697840</v>
      </c>
      <c r="P20" s="8">
        <v>600000</v>
      </c>
      <c r="Q20" s="8">
        <v>0</v>
      </c>
      <c r="R20" s="8">
        <v>0</v>
      </c>
      <c r="S20" s="8">
        <f>SUM(P20:R20)</f>
        <v>600000</v>
      </c>
      <c r="T20" s="5">
        <f t="shared" si="2"/>
        <v>4297840</v>
      </c>
      <c r="U20" s="8">
        <v>2680140</v>
      </c>
      <c r="V20" s="8">
        <v>962700</v>
      </c>
      <c r="W20" s="8">
        <v>25000</v>
      </c>
      <c r="X20" s="8">
        <f>SUM(U20:W20)</f>
        <v>3667840</v>
      </c>
      <c r="Y20" s="8">
        <v>1000000</v>
      </c>
      <c r="Z20" s="8">
        <v>0</v>
      </c>
      <c r="AA20" s="8">
        <v>0</v>
      </c>
      <c r="AB20" s="8">
        <f>SUM(Y20:AA20)</f>
        <v>1000000</v>
      </c>
      <c r="AC20" s="5">
        <f t="shared" si="8"/>
        <v>4667840</v>
      </c>
      <c r="AD20" s="8">
        <v>10793812</v>
      </c>
      <c r="AE20" s="8">
        <v>2083600</v>
      </c>
      <c r="AF20" s="8">
        <v>0</v>
      </c>
      <c r="AG20" s="8">
        <f>SUM(AD20:AF20)</f>
        <v>12877412</v>
      </c>
      <c r="AH20" s="8">
        <v>530000</v>
      </c>
      <c r="AI20" s="8">
        <v>0</v>
      </c>
      <c r="AJ20" s="8">
        <v>0</v>
      </c>
      <c r="AK20" s="8">
        <f>SUM(AH20:AJ20)</f>
        <v>530000</v>
      </c>
      <c r="AL20" s="5">
        <f t="shared" si="9"/>
        <v>13407412</v>
      </c>
      <c r="AM20" s="8">
        <v>10793812</v>
      </c>
      <c r="AN20" s="8">
        <v>2083600</v>
      </c>
      <c r="AO20" s="8">
        <v>0</v>
      </c>
      <c r="AP20" s="8">
        <f>SUM(AM20:AO20)</f>
        <v>12877412</v>
      </c>
      <c r="AQ20" s="8">
        <v>300000</v>
      </c>
      <c r="AR20" s="8">
        <v>0</v>
      </c>
      <c r="AS20" s="8">
        <v>0</v>
      </c>
      <c r="AT20" s="8">
        <f>SUM(AQ20:AS20)</f>
        <v>300000</v>
      </c>
      <c r="AU20" s="5">
        <f t="shared" si="11"/>
        <v>13177412</v>
      </c>
      <c r="AV20" s="8">
        <v>10793812</v>
      </c>
      <c r="AW20" s="8">
        <v>2083600</v>
      </c>
      <c r="AX20" s="8">
        <v>0</v>
      </c>
      <c r="AY20" s="8">
        <f>SUM(AV20:AX20)</f>
        <v>12877412</v>
      </c>
      <c r="AZ20" s="8">
        <v>250000</v>
      </c>
      <c r="BA20" s="8">
        <v>0</v>
      </c>
      <c r="BB20" s="8">
        <v>0</v>
      </c>
      <c r="BC20" s="8">
        <f>SUM(AZ20:BB20)</f>
        <v>250000</v>
      </c>
      <c r="BD20" s="5">
        <f t="shared" si="13"/>
        <v>13127412</v>
      </c>
    </row>
    <row r="21" spans="1:56" ht="49.5">
      <c r="A21" s="9" t="s">
        <v>41</v>
      </c>
      <c r="B21" s="7" t="s">
        <v>42</v>
      </c>
      <c r="C21" s="8">
        <v>1380000</v>
      </c>
      <c r="D21" s="8">
        <v>340000</v>
      </c>
      <c r="E21" s="8">
        <v>69000</v>
      </c>
      <c r="F21" s="8">
        <f>SUM(C21:E21)</f>
        <v>1789000</v>
      </c>
      <c r="G21" s="8">
        <v>535000</v>
      </c>
      <c r="H21" s="8">
        <v>0</v>
      </c>
      <c r="I21" s="8">
        <v>0</v>
      </c>
      <c r="J21" s="8">
        <f>SUM(G21:I21)</f>
        <v>535000</v>
      </c>
      <c r="K21" s="5">
        <f t="shared" si="7"/>
        <v>2324000</v>
      </c>
      <c r="L21" s="8">
        <v>138300</v>
      </c>
      <c r="M21" s="8"/>
      <c r="N21" s="8">
        <v>69750</v>
      </c>
      <c r="O21" s="8">
        <f>SUM(L21:N21)</f>
        <v>208050</v>
      </c>
      <c r="P21" s="8">
        <v>150000</v>
      </c>
      <c r="Q21" s="8">
        <v>0</v>
      </c>
      <c r="R21" s="8">
        <v>0</v>
      </c>
      <c r="S21" s="8">
        <f>SUM(P21:R21)</f>
        <v>150000</v>
      </c>
      <c r="T21" s="5">
        <f t="shared" si="2"/>
        <v>358050</v>
      </c>
      <c r="U21" s="8">
        <v>138300</v>
      </c>
      <c r="V21" s="8"/>
      <c r="W21" s="8">
        <v>39750</v>
      </c>
      <c r="X21" s="8">
        <f>SUM(U21:W21)</f>
        <v>178050</v>
      </c>
      <c r="Y21" s="8">
        <v>300000</v>
      </c>
      <c r="Z21" s="8">
        <v>0</v>
      </c>
      <c r="AA21" s="8">
        <v>0</v>
      </c>
      <c r="AB21" s="8">
        <f>SUM(Y21:AA21)</f>
        <v>300000</v>
      </c>
      <c r="AC21" s="5">
        <f t="shared" si="8"/>
        <v>478050</v>
      </c>
      <c r="AD21" s="8">
        <v>0</v>
      </c>
      <c r="AE21" s="8">
        <v>0</v>
      </c>
      <c r="AF21" s="8">
        <v>0</v>
      </c>
      <c r="AG21" s="8">
        <f>SUM(AD21:AF21)</f>
        <v>0</v>
      </c>
      <c r="AH21" s="8">
        <v>0</v>
      </c>
      <c r="AI21" s="8">
        <v>0</v>
      </c>
      <c r="AJ21" s="8">
        <v>0</v>
      </c>
      <c r="AK21" s="8">
        <f>SUM(AH21:AJ21)</f>
        <v>0</v>
      </c>
      <c r="AL21" s="5">
        <f t="shared" si="9"/>
        <v>0</v>
      </c>
      <c r="AM21" s="8">
        <v>0</v>
      </c>
      <c r="AN21" s="8">
        <v>0</v>
      </c>
      <c r="AO21" s="8">
        <v>0</v>
      </c>
      <c r="AP21" s="8">
        <f>SUM(AM21:AO21)</f>
        <v>0</v>
      </c>
      <c r="AQ21" s="8">
        <v>0</v>
      </c>
      <c r="AR21" s="8">
        <v>0</v>
      </c>
      <c r="AS21" s="8">
        <v>0</v>
      </c>
      <c r="AT21" s="8">
        <f>SUM(AQ21:AS21)</f>
        <v>0</v>
      </c>
      <c r="AU21" s="5">
        <f t="shared" si="11"/>
        <v>0</v>
      </c>
      <c r="AV21" s="8">
        <v>0</v>
      </c>
      <c r="AW21" s="8">
        <v>0</v>
      </c>
      <c r="AX21" s="8">
        <v>0</v>
      </c>
      <c r="AY21" s="8">
        <f>SUM(AV21:AX21)</f>
        <v>0</v>
      </c>
      <c r="AZ21" s="8">
        <v>0</v>
      </c>
      <c r="BA21" s="8">
        <v>0</v>
      </c>
      <c r="BB21" s="8">
        <v>0</v>
      </c>
      <c r="BC21" s="8">
        <f>SUM(AZ21:BB21)</f>
        <v>0</v>
      </c>
      <c r="BD21" s="5">
        <f t="shared" si="13"/>
        <v>0</v>
      </c>
    </row>
    <row r="22" spans="1:56" ht="16.5">
      <c r="A22" s="53" t="s">
        <v>43</v>
      </c>
      <c r="B22" s="54"/>
      <c r="C22" s="5">
        <f>SUM(C23:C27)</f>
        <v>7374903</v>
      </c>
      <c r="D22" s="5">
        <f t="shared" ref="D22:J22" si="26">SUM(D23:D27)</f>
        <v>3079069</v>
      </c>
      <c r="E22" s="5">
        <f t="shared" si="26"/>
        <v>3181701</v>
      </c>
      <c r="F22" s="5">
        <f t="shared" si="26"/>
        <v>13635673</v>
      </c>
      <c r="G22" s="5">
        <f t="shared" si="26"/>
        <v>2163498</v>
      </c>
      <c r="H22" s="5">
        <f t="shared" si="26"/>
        <v>2524463</v>
      </c>
      <c r="I22" s="5">
        <f t="shared" si="26"/>
        <v>0</v>
      </c>
      <c r="J22" s="5">
        <f t="shared" si="26"/>
        <v>4687961</v>
      </c>
      <c r="K22" s="5">
        <f t="shared" si="7"/>
        <v>18323634</v>
      </c>
      <c r="L22" s="5">
        <f>SUM(L23:L27)</f>
        <v>7395621</v>
      </c>
      <c r="M22" s="5">
        <f t="shared" ref="M22:S22" si="27">SUM(M23:M27)</f>
        <v>3216069</v>
      </c>
      <c r="N22" s="5">
        <f t="shared" si="27"/>
        <v>3584701</v>
      </c>
      <c r="O22" s="5">
        <f t="shared" si="27"/>
        <v>14196391</v>
      </c>
      <c r="P22" s="5">
        <f t="shared" si="27"/>
        <v>1320265</v>
      </c>
      <c r="Q22" s="5">
        <f t="shared" si="27"/>
        <v>0</v>
      </c>
      <c r="R22" s="5">
        <f t="shared" si="27"/>
        <v>0</v>
      </c>
      <c r="S22" s="5">
        <f t="shared" si="27"/>
        <v>1320265</v>
      </c>
      <c r="T22" s="5">
        <f t="shared" si="2"/>
        <v>15516656</v>
      </c>
      <c r="U22" s="5">
        <f>SUM(U23:U27)</f>
        <v>10250700</v>
      </c>
      <c r="V22" s="5">
        <f t="shared" ref="V22:AB22" si="28">SUM(V23:V27)</f>
        <v>2804456</v>
      </c>
      <c r="W22" s="5">
        <f t="shared" si="28"/>
        <v>5282616</v>
      </c>
      <c r="X22" s="5">
        <f t="shared" si="28"/>
        <v>18337772</v>
      </c>
      <c r="Y22" s="5">
        <f t="shared" si="28"/>
        <v>1200000</v>
      </c>
      <c r="Z22" s="5">
        <f t="shared" si="28"/>
        <v>0</v>
      </c>
      <c r="AA22" s="5">
        <f t="shared" si="28"/>
        <v>0</v>
      </c>
      <c r="AB22" s="5">
        <f t="shared" si="28"/>
        <v>1200000</v>
      </c>
      <c r="AC22" s="5">
        <f t="shared" si="8"/>
        <v>19537772</v>
      </c>
      <c r="AD22" s="5">
        <f>SUM(AD23:AD27)</f>
        <v>10731347</v>
      </c>
      <c r="AE22" s="5">
        <f t="shared" ref="AE22:AK22" si="29">SUM(AE23:AE27)</f>
        <v>3260989</v>
      </c>
      <c r="AF22" s="5">
        <f t="shared" si="29"/>
        <v>4289967</v>
      </c>
      <c r="AG22" s="5">
        <f t="shared" si="29"/>
        <v>18282303</v>
      </c>
      <c r="AH22" s="5">
        <f t="shared" si="29"/>
        <v>7000000</v>
      </c>
      <c r="AI22" s="5">
        <f t="shared" si="29"/>
        <v>93750</v>
      </c>
      <c r="AJ22" s="5">
        <f t="shared" si="29"/>
        <v>0</v>
      </c>
      <c r="AK22" s="5">
        <f t="shared" si="29"/>
        <v>7093750</v>
      </c>
      <c r="AL22" s="5">
        <f t="shared" si="9"/>
        <v>25376053</v>
      </c>
      <c r="AM22" s="5">
        <f>SUM(AM23:AM27)</f>
        <v>13107347</v>
      </c>
      <c r="AN22" s="5">
        <f t="shared" ref="AN22:AS22" si="30">SUM(AN23:AN27)</f>
        <v>3773872</v>
      </c>
      <c r="AO22" s="5">
        <f t="shared" si="30"/>
        <v>4289967</v>
      </c>
      <c r="AP22" s="5">
        <f t="shared" si="30"/>
        <v>21171186</v>
      </c>
      <c r="AQ22" s="5">
        <f t="shared" si="30"/>
        <v>7090000</v>
      </c>
      <c r="AR22" s="5">
        <f t="shared" si="30"/>
        <v>90000</v>
      </c>
      <c r="AS22" s="5">
        <f t="shared" si="30"/>
        <v>0</v>
      </c>
      <c r="AT22" s="5">
        <f t="shared" ref="AT22:AT28" si="31">AQ22+AR22+AS22</f>
        <v>7180000</v>
      </c>
      <c r="AU22" s="5">
        <f t="shared" si="11"/>
        <v>28351186</v>
      </c>
      <c r="AV22" s="5">
        <f>SUM(AV23:AV27)</f>
        <v>13107347</v>
      </c>
      <c r="AW22" s="5">
        <f t="shared" ref="AW22:BB22" si="32">SUM(AW23:AW27)</f>
        <v>3773872</v>
      </c>
      <c r="AX22" s="5">
        <f t="shared" si="32"/>
        <v>4289967</v>
      </c>
      <c r="AY22" s="5">
        <f t="shared" si="32"/>
        <v>21171186</v>
      </c>
      <c r="AZ22" s="5">
        <f t="shared" si="32"/>
        <v>7090000</v>
      </c>
      <c r="BA22" s="5">
        <f t="shared" si="32"/>
        <v>90000</v>
      </c>
      <c r="BB22" s="5">
        <f t="shared" si="32"/>
        <v>0</v>
      </c>
      <c r="BC22" s="5">
        <f t="shared" si="12"/>
        <v>7180000</v>
      </c>
      <c r="BD22" s="5">
        <f t="shared" si="13"/>
        <v>28351186</v>
      </c>
    </row>
    <row r="23" spans="1:56" ht="33">
      <c r="A23" s="6" t="s">
        <v>44</v>
      </c>
      <c r="B23" s="10" t="s">
        <v>45</v>
      </c>
      <c r="C23" s="8">
        <f>1209000-200940</f>
        <v>1008060</v>
      </c>
      <c r="D23" s="8">
        <f>2269000-500000</f>
        <v>1769000</v>
      </c>
      <c r="E23" s="8">
        <f>1084000-70273</f>
        <v>1013727</v>
      </c>
      <c r="F23" s="8">
        <f>SUM(C23:E23)</f>
        <v>3790787</v>
      </c>
      <c r="G23" s="8">
        <v>1000000</v>
      </c>
      <c r="H23" s="8">
        <v>0</v>
      </c>
      <c r="I23" s="8">
        <v>0</v>
      </c>
      <c r="J23" s="8">
        <f>SUM(G23:I23)</f>
        <v>1000000</v>
      </c>
      <c r="K23" s="5">
        <f t="shared" si="7"/>
        <v>4790787</v>
      </c>
      <c r="L23" s="8">
        <f>739533+50000</f>
        <v>789533</v>
      </c>
      <c r="M23" s="8">
        <v>2406260</v>
      </c>
      <c r="N23" s="8">
        <v>1367977</v>
      </c>
      <c r="O23" s="8">
        <f>SUM(L23:N23)</f>
        <v>4563770</v>
      </c>
      <c r="P23" s="8">
        <v>581498</v>
      </c>
      <c r="Q23" s="8">
        <v>0</v>
      </c>
      <c r="R23" s="8">
        <v>0</v>
      </c>
      <c r="S23" s="8">
        <f>SUM(P23:R23)</f>
        <v>581498</v>
      </c>
      <c r="T23" s="5">
        <f t="shared" si="2"/>
        <v>5145268</v>
      </c>
      <c r="U23" s="8">
        <v>2252681</v>
      </c>
      <c r="V23" s="8">
        <v>1995627</v>
      </c>
      <c r="W23" s="8">
        <v>3130892</v>
      </c>
      <c r="X23" s="8">
        <f>SUM(U23:W23)</f>
        <v>7379200</v>
      </c>
      <c r="Y23" s="8">
        <v>280000</v>
      </c>
      <c r="Z23" s="8">
        <v>0</v>
      </c>
      <c r="AA23" s="8">
        <v>0</v>
      </c>
      <c r="AB23" s="8">
        <f>SUM(Y23:AA23)</f>
        <v>280000</v>
      </c>
      <c r="AC23" s="5">
        <f t="shared" si="8"/>
        <v>7659200</v>
      </c>
      <c r="AD23" s="8">
        <v>712013</v>
      </c>
      <c r="AE23" s="8">
        <v>1627511</v>
      </c>
      <c r="AF23" s="8">
        <v>1293743</v>
      </c>
      <c r="AG23" s="8">
        <f>SUM(AD23:AF23)</f>
        <v>3633267</v>
      </c>
      <c r="AH23" s="8">
        <v>2000000</v>
      </c>
      <c r="AI23" s="8"/>
      <c r="AJ23" s="8"/>
      <c r="AK23" s="8">
        <f>SUM(AH23:AJ23)</f>
        <v>2000000</v>
      </c>
      <c r="AL23" s="5">
        <f t="shared" si="9"/>
        <v>5633267</v>
      </c>
      <c r="AM23" s="8">
        <v>712013</v>
      </c>
      <c r="AN23" s="8">
        <v>2140394</v>
      </c>
      <c r="AO23" s="8">
        <v>1293743</v>
      </c>
      <c r="AP23" s="8">
        <f>SUM(AM23:AO23)</f>
        <v>4146150</v>
      </c>
      <c r="AQ23" s="8">
        <v>2200000</v>
      </c>
      <c r="AR23" s="8"/>
      <c r="AS23" s="8"/>
      <c r="AT23" s="5">
        <f t="shared" si="31"/>
        <v>2200000</v>
      </c>
      <c r="AU23" s="5">
        <f t="shared" si="11"/>
        <v>6346150</v>
      </c>
      <c r="AV23" s="8">
        <v>712013</v>
      </c>
      <c r="AW23" s="8">
        <v>2140394</v>
      </c>
      <c r="AX23" s="8">
        <v>1293743</v>
      </c>
      <c r="AY23" s="8">
        <f>SUM(AV23:AX23)</f>
        <v>4146150</v>
      </c>
      <c r="AZ23" s="8">
        <v>2200000</v>
      </c>
      <c r="BA23" s="8"/>
      <c r="BB23" s="8"/>
      <c r="BC23" s="5">
        <f t="shared" si="12"/>
        <v>2200000</v>
      </c>
      <c r="BD23" s="5">
        <f t="shared" si="13"/>
        <v>6346150</v>
      </c>
    </row>
    <row r="24" spans="1:56" ht="16.5">
      <c r="A24" s="6" t="s">
        <v>46</v>
      </c>
      <c r="B24" s="7" t="s">
        <v>47</v>
      </c>
      <c r="C24" s="8">
        <v>252421</v>
      </c>
      <c r="D24" s="8">
        <v>701210</v>
      </c>
      <c r="E24" s="8">
        <v>1335000</v>
      </c>
      <c r="F24" s="8">
        <f>SUM(C24:E24)</f>
        <v>2288631</v>
      </c>
      <c r="G24" s="8">
        <v>200000</v>
      </c>
      <c r="H24" s="8">
        <v>0</v>
      </c>
      <c r="I24" s="8">
        <v>0</v>
      </c>
      <c r="J24" s="8">
        <f>SUM(G24:I24)</f>
        <v>200000</v>
      </c>
      <c r="K24" s="5">
        <f t="shared" si="7"/>
        <v>2488631</v>
      </c>
      <c r="L24" s="8">
        <f>354911+50000</f>
        <v>404911</v>
      </c>
      <c r="M24" s="8">
        <v>70121</v>
      </c>
      <c r="N24" s="8">
        <v>1335000</v>
      </c>
      <c r="O24" s="8">
        <f>SUM(L24:N24)</f>
        <v>1810032</v>
      </c>
      <c r="P24" s="8">
        <v>88767</v>
      </c>
      <c r="Q24" s="8">
        <v>0</v>
      </c>
      <c r="R24" s="8">
        <v>0</v>
      </c>
      <c r="S24" s="8">
        <f>SUM(P24:R24)</f>
        <v>88767</v>
      </c>
      <c r="T24" s="5">
        <f t="shared" si="2"/>
        <v>1898799</v>
      </c>
      <c r="U24" s="8">
        <v>398360</v>
      </c>
      <c r="V24" s="8">
        <v>70121</v>
      </c>
      <c r="W24" s="8">
        <v>1350000</v>
      </c>
      <c r="X24" s="8">
        <f>SUM(U24:W24)</f>
        <v>1818481</v>
      </c>
      <c r="Y24" s="8">
        <v>70000</v>
      </c>
      <c r="Z24" s="8">
        <v>0</v>
      </c>
      <c r="AA24" s="8">
        <v>0</v>
      </c>
      <c r="AB24" s="8">
        <f>SUM(Y24:AA24)</f>
        <v>70000</v>
      </c>
      <c r="AC24" s="5">
        <f t="shared" si="8"/>
        <v>1888481</v>
      </c>
      <c r="AD24" s="8">
        <v>528257</v>
      </c>
      <c r="AE24" s="8">
        <v>75571</v>
      </c>
      <c r="AF24" s="8">
        <v>1518000</v>
      </c>
      <c r="AG24" s="8">
        <f>SUM(AD24:AF24)</f>
        <v>2121828</v>
      </c>
      <c r="AH24" s="8">
        <v>150000</v>
      </c>
      <c r="AI24" s="8">
        <v>0</v>
      </c>
      <c r="AJ24" s="8"/>
      <c r="AK24" s="8">
        <f>SUM(AH24:AJ24)</f>
        <v>150000</v>
      </c>
      <c r="AL24" s="5">
        <f t="shared" si="9"/>
        <v>2271828</v>
      </c>
      <c r="AM24" s="8">
        <v>528257</v>
      </c>
      <c r="AN24" s="8">
        <v>75571</v>
      </c>
      <c r="AO24" s="8">
        <v>1518000</v>
      </c>
      <c r="AP24" s="8">
        <f>SUM(AM24:AO24)</f>
        <v>2121828</v>
      </c>
      <c r="AQ24" s="8">
        <v>0</v>
      </c>
      <c r="AR24" s="8">
        <v>0</v>
      </c>
      <c r="AS24" s="8"/>
      <c r="AT24" s="5">
        <f t="shared" si="31"/>
        <v>0</v>
      </c>
      <c r="AU24" s="5">
        <f t="shared" si="11"/>
        <v>2121828</v>
      </c>
      <c r="AV24" s="8">
        <v>528257</v>
      </c>
      <c r="AW24" s="8">
        <v>75571</v>
      </c>
      <c r="AX24" s="8">
        <v>1518000</v>
      </c>
      <c r="AY24" s="8">
        <f>SUM(AV24:AX24)</f>
        <v>2121828</v>
      </c>
      <c r="AZ24" s="8">
        <v>0</v>
      </c>
      <c r="BA24" s="8">
        <v>0</v>
      </c>
      <c r="BB24" s="8"/>
      <c r="BC24" s="5">
        <f t="shared" si="12"/>
        <v>0</v>
      </c>
      <c r="BD24" s="5">
        <f t="shared" si="13"/>
        <v>2121828</v>
      </c>
    </row>
    <row r="25" spans="1:56" ht="49.5">
      <c r="A25" s="6" t="s">
        <v>48</v>
      </c>
      <c r="B25" s="7" t="s">
        <v>49</v>
      </c>
      <c r="C25" s="8">
        <v>4622000</v>
      </c>
      <c r="D25" s="8">
        <f>512700-200000</f>
        <v>312700</v>
      </c>
      <c r="E25" s="8">
        <v>515000</v>
      </c>
      <c r="F25" s="8">
        <f>SUM(C25:E25)</f>
        <v>5449700</v>
      </c>
      <c r="G25" s="8">
        <v>82000</v>
      </c>
      <c r="H25" s="8">
        <v>1212549</v>
      </c>
      <c r="I25" s="8">
        <v>0</v>
      </c>
      <c r="J25" s="8">
        <f>SUM(G25:I25)</f>
        <v>1294549</v>
      </c>
      <c r="K25" s="5">
        <f t="shared" si="7"/>
        <v>6744249</v>
      </c>
      <c r="L25" s="8">
        <v>4678108</v>
      </c>
      <c r="M25" s="8">
        <v>512671</v>
      </c>
      <c r="N25" s="8">
        <v>515000</v>
      </c>
      <c r="O25" s="8">
        <f>SUM(L25:N25)</f>
        <v>5705779</v>
      </c>
      <c r="P25" s="8">
        <v>150000</v>
      </c>
      <c r="Q25" s="8">
        <v>0</v>
      </c>
      <c r="R25" s="8">
        <v>0</v>
      </c>
      <c r="S25" s="8">
        <f>SUM(P25:R25)</f>
        <v>150000</v>
      </c>
      <c r="T25" s="5">
        <f t="shared" si="2"/>
        <v>5855779</v>
      </c>
      <c r="U25" s="8">
        <v>6316485</v>
      </c>
      <c r="V25" s="8">
        <v>511691</v>
      </c>
      <c r="W25" s="8">
        <v>485000</v>
      </c>
      <c r="X25" s="8">
        <f>SUM(U25:W25)</f>
        <v>7313176</v>
      </c>
      <c r="Y25" s="8">
        <v>150000</v>
      </c>
      <c r="Z25" s="8">
        <v>0</v>
      </c>
      <c r="AA25" s="8">
        <v>0</v>
      </c>
      <c r="AB25" s="8">
        <f>SUM(Y25:AA25)</f>
        <v>150000</v>
      </c>
      <c r="AC25" s="5">
        <f t="shared" si="8"/>
        <v>7463176</v>
      </c>
      <c r="AD25" s="8">
        <v>7648282</v>
      </c>
      <c r="AE25" s="8">
        <v>1256691</v>
      </c>
      <c r="AF25" s="8">
        <v>1042500</v>
      </c>
      <c r="AG25" s="8">
        <f>SUM(AD25:AF25)</f>
        <v>9947473</v>
      </c>
      <c r="AH25" s="8">
        <v>150000</v>
      </c>
      <c r="AI25" s="8">
        <v>93750</v>
      </c>
      <c r="AJ25" s="8">
        <v>0</v>
      </c>
      <c r="AK25" s="8">
        <f>SUM(AH25:AJ25)</f>
        <v>243750</v>
      </c>
      <c r="AL25" s="5">
        <f t="shared" si="9"/>
        <v>10191223</v>
      </c>
      <c r="AM25" s="8">
        <v>10024282</v>
      </c>
      <c r="AN25" s="8">
        <v>1256691</v>
      </c>
      <c r="AO25" s="8">
        <v>1042500</v>
      </c>
      <c r="AP25" s="8">
        <f>SUM(AM25:AO25)</f>
        <v>12323473</v>
      </c>
      <c r="AQ25" s="8">
        <v>190000</v>
      </c>
      <c r="AR25" s="8">
        <v>90000</v>
      </c>
      <c r="AS25" s="8">
        <v>0</v>
      </c>
      <c r="AT25" s="5">
        <f t="shared" si="31"/>
        <v>280000</v>
      </c>
      <c r="AU25" s="5">
        <f t="shared" si="11"/>
        <v>12603473</v>
      </c>
      <c r="AV25" s="8">
        <v>10024282</v>
      </c>
      <c r="AW25" s="8">
        <v>1256691</v>
      </c>
      <c r="AX25" s="8">
        <v>1042500</v>
      </c>
      <c r="AY25" s="8">
        <f>SUM(AV25:AX25)</f>
        <v>12323473</v>
      </c>
      <c r="AZ25" s="8">
        <v>190000</v>
      </c>
      <c r="BA25" s="8">
        <v>90000</v>
      </c>
      <c r="BB25" s="8">
        <v>0</v>
      </c>
      <c r="BC25" s="5">
        <f t="shared" si="12"/>
        <v>280000</v>
      </c>
      <c r="BD25" s="5">
        <f t="shared" si="13"/>
        <v>12603473</v>
      </c>
    </row>
    <row r="26" spans="1:56" ht="16.5">
      <c r="A26" s="6" t="s">
        <v>50</v>
      </c>
      <c r="B26" s="7" t="s">
        <v>51</v>
      </c>
      <c r="C26" s="8">
        <v>1027293</v>
      </c>
      <c r="D26" s="8">
        <v>205767</v>
      </c>
      <c r="E26" s="8">
        <v>187000</v>
      </c>
      <c r="F26" s="8">
        <f>SUM(C26:E26)</f>
        <v>1420060</v>
      </c>
      <c r="G26" s="8">
        <v>81498</v>
      </c>
      <c r="H26" s="8">
        <v>1311914</v>
      </c>
      <c r="I26" s="8">
        <v>0</v>
      </c>
      <c r="J26" s="8">
        <f>SUM(G26:I26)</f>
        <v>1393412</v>
      </c>
      <c r="K26" s="5">
        <f t="shared" si="7"/>
        <v>2813472</v>
      </c>
      <c r="L26" s="8">
        <v>1050021</v>
      </c>
      <c r="M26" s="8">
        <v>207017</v>
      </c>
      <c r="N26" s="8">
        <v>210750</v>
      </c>
      <c r="O26" s="8">
        <f>SUM(L26:N26)</f>
        <v>1467788</v>
      </c>
      <c r="P26" s="8">
        <v>0</v>
      </c>
      <c r="Q26" s="8">
        <v>0</v>
      </c>
      <c r="R26" s="8">
        <v>0</v>
      </c>
      <c r="S26" s="8">
        <f>SUM(P26:R26)</f>
        <v>0</v>
      </c>
      <c r="T26" s="5">
        <f t="shared" si="2"/>
        <v>1467788</v>
      </c>
      <c r="U26" s="8">
        <v>1114059</v>
      </c>
      <c r="V26" s="8">
        <v>207017</v>
      </c>
      <c r="W26" s="8">
        <v>185750</v>
      </c>
      <c r="X26" s="8">
        <f>SUM(U26:W26)</f>
        <v>1506826</v>
      </c>
      <c r="Y26" s="8">
        <v>0</v>
      </c>
      <c r="Z26" s="8">
        <v>0</v>
      </c>
      <c r="AA26" s="8">
        <v>0</v>
      </c>
      <c r="AB26" s="8">
        <f>SUM(Y26:AA26)</f>
        <v>0</v>
      </c>
      <c r="AC26" s="5">
        <f t="shared" si="8"/>
        <v>1506826</v>
      </c>
      <c r="AD26" s="8">
        <v>1603170</v>
      </c>
      <c r="AE26" s="8">
        <v>276216</v>
      </c>
      <c r="AF26" s="8">
        <v>200750</v>
      </c>
      <c r="AG26" s="8">
        <f>SUM(AD26:AF26)</f>
        <v>2080136</v>
      </c>
      <c r="AH26" s="8">
        <v>0</v>
      </c>
      <c r="AI26" s="8">
        <v>0</v>
      </c>
      <c r="AJ26" s="8">
        <v>0</v>
      </c>
      <c r="AK26" s="8">
        <f>SUM(AH26:AJ26)</f>
        <v>0</v>
      </c>
      <c r="AL26" s="5">
        <f t="shared" si="9"/>
        <v>2080136</v>
      </c>
      <c r="AM26" s="8">
        <v>1603170</v>
      </c>
      <c r="AN26" s="8">
        <v>276216</v>
      </c>
      <c r="AO26" s="8">
        <v>200750</v>
      </c>
      <c r="AP26" s="8">
        <f>SUM(AM26:AO26)</f>
        <v>2080136</v>
      </c>
      <c r="AQ26" s="8">
        <v>0</v>
      </c>
      <c r="AR26" s="8">
        <v>0</v>
      </c>
      <c r="AS26" s="8">
        <v>0</v>
      </c>
      <c r="AT26" s="5">
        <f t="shared" si="31"/>
        <v>0</v>
      </c>
      <c r="AU26" s="5">
        <f t="shared" si="11"/>
        <v>2080136</v>
      </c>
      <c r="AV26" s="8">
        <v>1603170</v>
      </c>
      <c r="AW26" s="8">
        <v>276216</v>
      </c>
      <c r="AX26" s="8">
        <v>200750</v>
      </c>
      <c r="AY26" s="8">
        <f>SUM(AV26:AX26)</f>
        <v>2080136</v>
      </c>
      <c r="AZ26" s="8">
        <v>0</v>
      </c>
      <c r="BA26" s="8">
        <v>0</v>
      </c>
      <c r="BB26" s="8">
        <v>0</v>
      </c>
      <c r="BC26" s="5">
        <f t="shared" si="12"/>
        <v>0</v>
      </c>
      <c r="BD26" s="5">
        <f t="shared" si="13"/>
        <v>2080136</v>
      </c>
    </row>
    <row r="27" spans="1:56" ht="33">
      <c r="A27" s="9" t="s">
        <v>52</v>
      </c>
      <c r="B27" s="7" t="s">
        <v>53</v>
      </c>
      <c r="C27" s="8">
        <v>465129</v>
      </c>
      <c r="D27" s="8">
        <f>20000+70392</f>
        <v>90392</v>
      </c>
      <c r="E27" s="8">
        <v>130974</v>
      </c>
      <c r="F27" s="8">
        <f>SUM(C27:E27)</f>
        <v>686495</v>
      </c>
      <c r="G27" s="8">
        <v>800000</v>
      </c>
      <c r="H27" s="8"/>
      <c r="I27" s="8"/>
      <c r="J27" s="8">
        <f>SUM(G27:I27)</f>
        <v>800000</v>
      </c>
      <c r="K27" s="5">
        <f t="shared" si="7"/>
        <v>1486495</v>
      </c>
      <c r="L27" s="8">
        <v>473048</v>
      </c>
      <c r="M27" s="8">
        <v>20000</v>
      </c>
      <c r="N27" s="8">
        <v>155974</v>
      </c>
      <c r="O27" s="8">
        <f>SUM(L27:N27)</f>
        <v>649022</v>
      </c>
      <c r="P27" s="8">
        <v>500000</v>
      </c>
      <c r="Q27" s="8">
        <v>0</v>
      </c>
      <c r="R27" s="8">
        <v>0</v>
      </c>
      <c r="S27" s="8">
        <f>SUM(P27:R27)</f>
        <v>500000</v>
      </c>
      <c r="T27" s="5">
        <f t="shared" si="2"/>
        <v>1149022</v>
      </c>
      <c r="U27" s="8">
        <v>169115</v>
      </c>
      <c r="V27" s="8">
        <v>20000</v>
      </c>
      <c r="W27" s="8">
        <v>130974</v>
      </c>
      <c r="X27" s="8">
        <f>SUM(U27:W27)</f>
        <v>320089</v>
      </c>
      <c r="Y27" s="8">
        <v>700000</v>
      </c>
      <c r="Z27" s="8">
        <v>0</v>
      </c>
      <c r="AA27" s="8">
        <v>0</v>
      </c>
      <c r="AB27" s="8">
        <f>SUM(Y27:AA27)</f>
        <v>700000</v>
      </c>
      <c r="AC27" s="5">
        <f t="shared" si="8"/>
        <v>1020089</v>
      </c>
      <c r="AD27" s="8">
        <v>239625</v>
      </c>
      <c r="AE27" s="8">
        <v>25000</v>
      </c>
      <c r="AF27" s="8">
        <v>234974</v>
      </c>
      <c r="AG27" s="8">
        <f>SUM(AD27:AF27)</f>
        <v>499599</v>
      </c>
      <c r="AH27" s="8">
        <v>4700000</v>
      </c>
      <c r="AI27" s="8">
        <v>0</v>
      </c>
      <c r="AJ27" s="8">
        <v>0</v>
      </c>
      <c r="AK27" s="8">
        <f>SUM(AH27:AJ27)</f>
        <v>4700000</v>
      </c>
      <c r="AL27" s="5">
        <f t="shared" si="9"/>
        <v>5199599</v>
      </c>
      <c r="AM27" s="8">
        <v>239625</v>
      </c>
      <c r="AN27" s="8">
        <v>25000</v>
      </c>
      <c r="AO27" s="8">
        <v>234974</v>
      </c>
      <c r="AP27" s="8">
        <f>SUM(AM27:AO27)</f>
        <v>499599</v>
      </c>
      <c r="AQ27" s="8">
        <v>4700000</v>
      </c>
      <c r="AR27" s="8">
        <v>0</v>
      </c>
      <c r="AS27" s="8">
        <v>0</v>
      </c>
      <c r="AT27" s="5">
        <f t="shared" si="31"/>
        <v>4700000</v>
      </c>
      <c r="AU27" s="5">
        <f t="shared" si="11"/>
        <v>5199599</v>
      </c>
      <c r="AV27" s="8">
        <v>239625</v>
      </c>
      <c r="AW27" s="8">
        <v>25000</v>
      </c>
      <c r="AX27" s="8">
        <v>234974</v>
      </c>
      <c r="AY27" s="8">
        <f>SUM(AV27:AX27)</f>
        <v>499599</v>
      </c>
      <c r="AZ27" s="8">
        <v>4700000</v>
      </c>
      <c r="BA27" s="8">
        <v>0</v>
      </c>
      <c r="BB27" s="8">
        <v>0</v>
      </c>
      <c r="BC27" s="5">
        <f t="shared" si="12"/>
        <v>4700000</v>
      </c>
      <c r="BD27" s="5">
        <f t="shared" si="13"/>
        <v>5199599</v>
      </c>
    </row>
    <row r="28" spans="1:56" ht="16.5">
      <c r="A28" s="53" t="s">
        <v>54</v>
      </c>
      <c r="B28" s="54"/>
      <c r="C28" s="5">
        <f>SUM(C29:C33)</f>
        <v>27745280</v>
      </c>
      <c r="D28" s="5">
        <f t="shared" ref="D28:J28" si="33">SUM(D29:D33)</f>
        <v>4237306</v>
      </c>
      <c r="E28" s="5">
        <f t="shared" si="33"/>
        <v>2012299</v>
      </c>
      <c r="F28" s="5">
        <f t="shared" si="33"/>
        <v>33994885</v>
      </c>
      <c r="G28" s="5">
        <f t="shared" si="33"/>
        <v>10753946</v>
      </c>
      <c r="H28" s="5">
        <f t="shared" si="33"/>
        <v>0</v>
      </c>
      <c r="I28" s="5">
        <f t="shared" si="33"/>
        <v>0</v>
      </c>
      <c r="J28" s="5">
        <f t="shared" si="33"/>
        <v>10753946</v>
      </c>
      <c r="K28" s="5">
        <f t="shared" si="7"/>
        <v>44748831</v>
      </c>
      <c r="L28" s="5">
        <f>SUM(L29:L33)</f>
        <v>29240673</v>
      </c>
      <c r="M28" s="5">
        <f t="shared" ref="M28:S28" si="34">SUM(M29:M33)</f>
        <v>4514920</v>
      </c>
      <c r="N28" s="5">
        <f t="shared" si="34"/>
        <v>2022685</v>
      </c>
      <c r="O28" s="5">
        <f t="shared" si="34"/>
        <v>35778278</v>
      </c>
      <c r="P28" s="5">
        <f t="shared" si="34"/>
        <v>3140071</v>
      </c>
      <c r="Q28" s="5">
        <f t="shared" si="34"/>
        <v>0</v>
      </c>
      <c r="R28" s="5">
        <f t="shared" si="34"/>
        <v>0</v>
      </c>
      <c r="S28" s="5">
        <f t="shared" si="34"/>
        <v>3140071</v>
      </c>
      <c r="T28" s="5">
        <f t="shared" si="2"/>
        <v>38918349</v>
      </c>
      <c r="U28" s="5">
        <f>SUM(U29:U33)</f>
        <v>31109120</v>
      </c>
      <c r="V28" s="5">
        <f t="shared" ref="V28:AB28" si="35">SUM(V29:V33)</f>
        <v>4759490</v>
      </c>
      <c r="W28" s="5">
        <f t="shared" si="35"/>
        <v>2258352</v>
      </c>
      <c r="X28" s="5">
        <f t="shared" si="35"/>
        <v>38126962</v>
      </c>
      <c r="Y28" s="5">
        <f t="shared" si="35"/>
        <v>3850000</v>
      </c>
      <c r="Z28" s="5">
        <f t="shared" si="35"/>
        <v>0</v>
      </c>
      <c r="AA28" s="5">
        <f t="shared" si="35"/>
        <v>0</v>
      </c>
      <c r="AB28" s="5">
        <f t="shared" si="35"/>
        <v>3850000</v>
      </c>
      <c r="AC28" s="5">
        <f t="shared" si="8"/>
        <v>41976962</v>
      </c>
      <c r="AD28" s="5">
        <f>SUM(AD29:AD33)</f>
        <v>33313823</v>
      </c>
      <c r="AE28" s="5">
        <f t="shared" ref="AE28:AK28" si="36">SUM(AE29:AE33)</f>
        <v>8302983</v>
      </c>
      <c r="AF28" s="5">
        <f t="shared" si="36"/>
        <v>615000</v>
      </c>
      <c r="AG28" s="5">
        <f t="shared" si="36"/>
        <v>42231806</v>
      </c>
      <c r="AH28" s="5">
        <f t="shared" si="36"/>
        <v>7995029</v>
      </c>
      <c r="AI28" s="5">
        <f t="shared" si="36"/>
        <v>0</v>
      </c>
      <c r="AJ28" s="5">
        <f t="shared" si="36"/>
        <v>0</v>
      </c>
      <c r="AK28" s="5">
        <f t="shared" si="36"/>
        <v>7995029</v>
      </c>
      <c r="AL28" s="5">
        <f t="shared" si="9"/>
        <v>50226835</v>
      </c>
      <c r="AM28" s="5">
        <f>SUM(AM29:AM33)</f>
        <v>33246615</v>
      </c>
      <c r="AN28" s="5">
        <f t="shared" ref="AN28:AS28" si="37">SUM(AN29:AN33)</f>
        <v>4774661</v>
      </c>
      <c r="AO28" s="5">
        <f t="shared" si="37"/>
        <v>1245169</v>
      </c>
      <c r="AP28" s="5">
        <f t="shared" si="37"/>
        <v>39266445</v>
      </c>
      <c r="AQ28" s="5">
        <f t="shared" si="37"/>
        <v>6878175</v>
      </c>
      <c r="AR28" s="5">
        <f t="shared" si="37"/>
        <v>0</v>
      </c>
      <c r="AS28" s="5">
        <f t="shared" si="37"/>
        <v>0</v>
      </c>
      <c r="AT28" s="5">
        <f t="shared" si="31"/>
        <v>6878175</v>
      </c>
      <c r="AU28" s="5">
        <f t="shared" si="11"/>
        <v>46144620</v>
      </c>
      <c r="AV28" s="5">
        <f>SUM(AV29:AV33)</f>
        <v>33246615</v>
      </c>
      <c r="AW28" s="5">
        <f t="shared" ref="AW28:BB28" si="38">SUM(AW29:AW33)</f>
        <v>4794732</v>
      </c>
      <c r="AX28" s="5">
        <f t="shared" si="38"/>
        <v>1294076</v>
      </c>
      <c r="AY28" s="5">
        <f t="shared" si="38"/>
        <v>39335423</v>
      </c>
      <c r="AZ28" s="5">
        <f t="shared" si="38"/>
        <v>7934245</v>
      </c>
      <c r="BA28" s="5">
        <f t="shared" si="38"/>
        <v>0</v>
      </c>
      <c r="BB28" s="5">
        <f t="shared" si="38"/>
        <v>0</v>
      </c>
      <c r="BC28" s="5">
        <f t="shared" si="12"/>
        <v>7934245</v>
      </c>
      <c r="BD28" s="5">
        <f t="shared" si="13"/>
        <v>47269668</v>
      </c>
    </row>
    <row r="29" spans="1:56" ht="33">
      <c r="A29" s="6" t="s">
        <v>55</v>
      </c>
      <c r="B29" s="7" t="s">
        <v>56</v>
      </c>
      <c r="C29" s="8">
        <v>400102</v>
      </c>
      <c r="D29" s="8">
        <f>1733071+301802</f>
        <v>2034873</v>
      </c>
      <c r="E29" s="8">
        <v>504000</v>
      </c>
      <c r="F29" s="8">
        <f>C29+D29+E29</f>
        <v>2938975</v>
      </c>
      <c r="G29" s="8">
        <v>3720000</v>
      </c>
      <c r="H29" s="8">
        <v>0</v>
      </c>
      <c r="I29" s="8">
        <v>0</v>
      </c>
      <c r="J29" s="8">
        <f>SUM(G29:I29)</f>
        <v>3720000</v>
      </c>
      <c r="K29" s="5">
        <f t="shared" si="7"/>
        <v>6658975</v>
      </c>
      <c r="L29" s="8">
        <v>259599</v>
      </c>
      <c r="M29" s="8">
        <f>799059+420000+1</f>
        <v>1219060</v>
      </c>
      <c r="N29" s="8">
        <v>428000</v>
      </c>
      <c r="O29" s="8">
        <f>SUM(L29:N29)</f>
        <v>1906659</v>
      </c>
      <c r="P29" s="8">
        <v>0</v>
      </c>
      <c r="Q29" s="8">
        <v>0</v>
      </c>
      <c r="R29" s="8">
        <v>0</v>
      </c>
      <c r="S29" s="8">
        <f>SUM(P29:R29)</f>
        <v>0</v>
      </c>
      <c r="T29" s="5">
        <f>O29+P29</f>
        <v>1906659</v>
      </c>
      <c r="U29" s="8">
        <v>298084</v>
      </c>
      <c r="V29" s="8">
        <v>1161261</v>
      </c>
      <c r="W29" s="8">
        <v>403196</v>
      </c>
      <c r="X29" s="8">
        <f>SUM(U29:W29)</f>
        <v>1862541</v>
      </c>
      <c r="Y29" s="8">
        <v>0</v>
      </c>
      <c r="Z29" s="8">
        <v>0</v>
      </c>
      <c r="AA29" s="8">
        <v>0</v>
      </c>
      <c r="AB29" s="8">
        <f>SUM(Y29:AA29)</f>
        <v>0</v>
      </c>
      <c r="AC29" s="5">
        <f t="shared" si="8"/>
        <v>1862541</v>
      </c>
      <c r="AD29" s="8">
        <v>298084</v>
      </c>
      <c r="AE29" s="8">
        <v>2131644</v>
      </c>
      <c r="AF29" s="8">
        <v>0</v>
      </c>
      <c r="AG29" s="8">
        <f>SUM(AD29:AF29)</f>
        <v>2429728</v>
      </c>
      <c r="AH29" s="8">
        <v>0</v>
      </c>
      <c r="AI29" s="8">
        <v>0</v>
      </c>
      <c r="AJ29" s="8">
        <v>0</v>
      </c>
      <c r="AK29" s="8">
        <f>SUM(AH29:AJ29)</f>
        <v>0</v>
      </c>
      <c r="AL29" s="5">
        <f t="shared" si="9"/>
        <v>2429728</v>
      </c>
      <c r="AM29" s="8">
        <v>298084</v>
      </c>
      <c r="AN29" s="8">
        <v>2131644</v>
      </c>
      <c r="AO29" s="8">
        <v>0</v>
      </c>
      <c r="AP29" s="8">
        <f>SUM(AM29:AO29)</f>
        <v>2429728</v>
      </c>
      <c r="AQ29" s="8">
        <v>0</v>
      </c>
      <c r="AR29" s="8">
        <v>0</v>
      </c>
      <c r="AS29" s="8">
        <v>0</v>
      </c>
      <c r="AT29" s="8">
        <f>SUM(AQ29:AS29)</f>
        <v>0</v>
      </c>
      <c r="AU29" s="5">
        <f t="shared" si="11"/>
        <v>2429728</v>
      </c>
      <c r="AV29" s="8">
        <v>298084</v>
      </c>
      <c r="AW29" s="8">
        <v>2131644</v>
      </c>
      <c r="AX29" s="8">
        <v>0</v>
      </c>
      <c r="AY29" s="8">
        <f>SUM(AV29:AX29)</f>
        <v>2429728</v>
      </c>
      <c r="AZ29" s="8">
        <v>0</v>
      </c>
      <c r="BA29" s="8">
        <v>0</v>
      </c>
      <c r="BB29" s="8">
        <v>0</v>
      </c>
      <c r="BC29" s="8">
        <f>SUM(AZ29:BB29)</f>
        <v>0</v>
      </c>
      <c r="BD29" s="5">
        <f t="shared" si="13"/>
        <v>2429728</v>
      </c>
    </row>
    <row r="30" spans="1:56" ht="16.5">
      <c r="A30" s="6" t="s">
        <v>57</v>
      </c>
      <c r="B30" s="7" t="s">
        <v>58</v>
      </c>
      <c r="C30" s="8">
        <v>24634651</v>
      </c>
      <c r="D30" s="8">
        <v>1879048</v>
      </c>
      <c r="E30" s="8">
        <f>1006624-54940</f>
        <v>951684</v>
      </c>
      <c r="F30" s="8">
        <f>SUM(C30:E30)</f>
        <v>27465383</v>
      </c>
      <c r="G30" s="8">
        <f>4673946+270000</f>
        <v>4943946</v>
      </c>
      <c r="H30" s="8">
        <v>0</v>
      </c>
      <c r="I30" s="8">
        <v>0</v>
      </c>
      <c r="J30" s="8">
        <f>SUM(G30:I30)</f>
        <v>4943946</v>
      </c>
      <c r="K30" s="5">
        <f t="shared" si="7"/>
        <v>32409329</v>
      </c>
      <c r="L30" s="8">
        <v>26074320</v>
      </c>
      <c r="M30" s="8">
        <f>212765+2707595</f>
        <v>2920360</v>
      </c>
      <c r="N30" s="8">
        <f>1043685+25000</f>
        <v>1068685</v>
      </c>
      <c r="O30" s="8">
        <f>SUM(L30:N30)</f>
        <v>30063365</v>
      </c>
      <c r="P30" s="8">
        <v>2440071</v>
      </c>
      <c r="Q30" s="8">
        <v>0</v>
      </c>
      <c r="R30" s="8">
        <v>0</v>
      </c>
      <c r="S30" s="8">
        <f>SUM(P30:R30)</f>
        <v>2440071</v>
      </c>
      <c r="T30" s="5">
        <f>O30+S30</f>
        <v>32503436</v>
      </c>
      <c r="U30" s="8">
        <v>27681626</v>
      </c>
      <c r="V30" s="8">
        <v>3277344</v>
      </c>
      <c r="W30" s="8">
        <v>1304156</v>
      </c>
      <c r="X30" s="8">
        <f>SUM(U30:W30)</f>
        <v>32263126</v>
      </c>
      <c r="Y30" s="8">
        <v>818286</v>
      </c>
      <c r="Z30" s="8">
        <v>0</v>
      </c>
      <c r="AA30" s="8">
        <v>0</v>
      </c>
      <c r="AB30" s="8">
        <f>SUM(Y30:AA30)</f>
        <v>818286</v>
      </c>
      <c r="AC30" s="5">
        <f t="shared" si="8"/>
        <v>33081412</v>
      </c>
      <c r="AD30" s="8">
        <v>29886329</v>
      </c>
      <c r="AE30" s="8">
        <v>5761454</v>
      </c>
      <c r="AF30" s="8">
        <v>235000</v>
      </c>
      <c r="AG30" s="8">
        <f>SUM(AD30:AF30)</f>
        <v>35882783</v>
      </c>
      <c r="AH30" s="8">
        <v>1450000</v>
      </c>
      <c r="AI30" s="8"/>
      <c r="AJ30" s="8"/>
      <c r="AK30" s="8">
        <f>SUM(AH30:AJ30)</f>
        <v>1450000</v>
      </c>
      <c r="AL30" s="5">
        <f t="shared" si="9"/>
        <v>37332783</v>
      </c>
      <c r="AM30" s="30">
        <v>29819121</v>
      </c>
      <c r="AN30" s="30">
        <v>2264960</v>
      </c>
      <c r="AO30" s="30">
        <v>865169</v>
      </c>
      <c r="AP30" s="8">
        <f>SUM(AM30:AO30)</f>
        <v>32949250</v>
      </c>
      <c r="AQ30" s="8">
        <v>4455220</v>
      </c>
      <c r="AR30" s="8"/>
      <c r="AS30" s="8"/>
      <c r="AT30" s="8">
        <f>SUM(AQ30:AS30)</f>
        <v>4455220</v>
      </c>
      <c r="AU30" s="5">
        <f t="shared" si="11"/>
        <v>37404470</v>
      </c>
      <c r="AV30" s="30">
        <v>29819121</v>
      </c>
      <c r="AW30" s="30">
        <v>2285031</v>
      </c>
      <c r="AX30" s="30">
        <v>918960</v>
      </c>
      <c r="AY30" s="8">
        <f>SUM(AV30:AX30)</f>
        <v>33023112</v>
      </c>
      <c r="AZ30" s="8">
        <v>6011290</v>
      </c>
      <c r="BA30" s="8"/>
      <c r="BB30" s="8"/>
      <c r="BC30" s="8">
        <f>SUM(AZ30:BB30)</f>
        <v>6011290</v>
      </c>
      <c r="BD30" s="5">
        <f t="shared" si="13"/>
        <v>39034402</v>
      </c>
    </row>
    <row r="31" spans="1:56" ht="33">
      <c r="A31" s="6" t="s">
        <v>59</v>
      </c>
      <c r="B31" s="7" t="s">
        <v>60</v>
      </c>
      <c r="C31" s="8">
        <v>2518325</v>
      </c>
      <c r="D31" s="8">
        <f>90385+200000</f>
        <v>290385</v>
      </c>
      <c r="E31" s="8">
        <v>424615</v>
      </c>
      <c r="F31" s="8">
        <f>SUM(C31:E31)</f>
        <v>3233325</v>
      </c>
      <c r="G31" s="8">
        <v>500000</v>
      </c>
      <c r="H31" s="8">
        <v>0</v>
      </c>
      <c r="I31" s="8">
        <v>0</v>
      </c>
      <c r="J31" s="8">
        <f>SUM(G31:I31)</f>
        <v>500000</v>
      </c>
      <c r="K31" s="5">
        <f t="shared" si="7"/>
        <v>3733325</v>
      </c>
      <c r="L31" s="8">
        <v>2763170</v>
      </c>
      <c r="M31" s="8">
        <f>120385+224615</f>
        <v>345000</v>
      </c>
      <c r="N31" s="8">
        <v>400000</v>
      </c>
      <c r="O31" s="8">
        <f>SUM(L31:N31)</f>
        <v>3508170</v>
      </c>
      <c r="P31" s="8">
        <v>0</v>
      </c>
      <c r="Q31" s="8">
        <v>0</v>
      </c>
      <c r="R31" s="8">
        <v>0</v>
      </c>
      <c r="S31" s="8">
        <f>SUM(P31:R31)</f>
        <v>0</v>
      </c>
      <c r="T31" s="5">
        <f>O31+S31</f>
        <v>3508170</v>
      </c>
      <c r="U31" s="8">
        <v>3011892</v>
      </c>
      <c r="V31" s="8">
        <v>290385</v>
      </c>
      <c r="W31" s="8">
        <v>400000</v>
      </c>
      <c r="X31" s="8">
        <f>SUM(U31:W31)</f>
        <v>3702277</v>
      </c>
      <c r="Y31" s="8">
        <v>500000</v>
      </c>
      <c r="Z31" s="8">
        <v>0</v>
      </c>
      <c r="AA31" s="8">
        <v>0</v>
      </c>
      <c r="AB31" s="8">
        <f>SUM(Y31:AA31)</f>
        <v>500000</v>
      </c>
      <c r="AC31" s="5">
        <f t="shared" si="8"/>
        <v>4202277</v>
      </c>
      <c r="AD31" s="8">
        <v>3011892</v>
      </c>
      <c r="AE31" s="8">
        <v>280385</v>
      </c>
      <c r="AF31" s="8">
        <v>360000</v>
      </c>
      <c r="AG31" s="8">
        <f>SUM(AD31:AF31)</f>
        <v>3652277</v>
      </c>
      <c r="AH31" s="8">
        <v>250000</v>
      </c>
      <c r="AI31" s="8"/>
      <c r="AJ31" s="8"/>
      <c r="AK31" s="8">
        <f>SUM(AH31:AJ31)</f>
        <v>250000</v>
      </c>
      <c r="AL31" s="5">
        <f t="shared" si="9"/>
        <v>3902277</v>
      </c>
      <c r="AM31" s="8">
        <v>3011892</v>
      </c>
      <c r="AN31" s="8">
        <v>280385</v>
      </c>
      <c r="AO31" s="8">
        <v>360000</v>
      </c>
      <c r="AP31" s="8">
        <f>SUM(AM31:AO31)</f>
        <v>3652277</v>
      </c>
      <c r="AQ31" s="8">
        <v>250000</v>
      </c>
      <c r="AR31" s="8"/>
      <c r="AS31" s="8"/>
      <c r="AT31" s="8">
        <f>SUM(AQ31:AS31)</f>
        <v>250000</v>
      </c>
      <c r="AU31" s="5">
        <f t="shared" si="11"/>
        <v>3902277</v>
      </c>
      <c r="AV31" s="8">
        <v>3011892</v>
      </c>
      <c r="AW31" s="8">
        <v>280385</v>
      </c>
      <c r="AX31" s="8">
        <v>360000</v>
      </c>
      <c r="AY31" s="8">
        <f>SUM(AV31:AX31)</f>
        <v>3652277</v>
      </c>
      <c r="AZ31" s="8">
        <v>250000</v>
      </c>
      <c r="BA31" s="8"/>
      <c r="BB31" s="8"/>
      <c r="BC31" s="8">
        <f>SUM(AZ31:BB31)</f>
        <v>250000</v>
      </c>
      <c r="BD31" s="5">
        <f t="shared" si="13"/>
        <v>3902277</v>
      </c>
    </row>
    <row r="32" spans="1:56" ht="33">
      <c r="A32" s="6" t="s">
        <v>61</v>
      </c>
      <c r="B32" s="7" t="s">
        <v>62</v>
      </c>
      <c r="C32" s="8">
        <v>45045</v>
      </c>
      <c r="D32" s="8">
        <v>0</v>
      </c>
      <c r="E32" s="8">
        <v>0</v>
      </c>
      <c r="F32" s="8">
        <f>SUM(C32:E32)</f>
        <v>45045</v>
      </c>
      <c r="G32" s="8">
        <v>950000</v>
      </c>
      <c r="H32" s="8">
        <v>0</v>
      </c>
      <c r="I32" s="8">
        <v>0</v>
      </c>
      <c r="J32" s="8">
        <f>G32+H32+I32</f>
        <v>950000</v>
      </c>
      <c r="K32" s="5">
        <f t="shared" si="7"/>
        <v>995045</v>
      </c>
      <c r="L32" s="8">
        <v>42326</v>
      </c>
      <c r="M32" s="8">
        <v>0</v>
      </c>
      <c r="N32" s="8">
        <v>0</v>
      </c>
      <c r="O32" s="8">
        <f>SUM(L32:N32)</f>
        <v>42326</v>
      </c>
      <c r="P32" s="8">
        <v>700000</v>
      </c>
      <c r="Q32" s="8">
        <v>0</v>
      </c>
      <c r="R32" s="8">
        <v>0</v>
      </c>
      <c r="S32" s="8">
        <f>SUM(P32:R32)</f>
        <v>700000</v>
      </c>
      <c r="T32" s="5">
        <f>O32+S32</f>
        <v>742326</v>
      </c>
      <c r="U32" s="8">
        <v>41160</v>
      </c>
      <c r="V32" s="8">
        <v>0</v>
      </c>
      <c r="W32" s="8">
        <v>25000</v>
      </c>
      <c r="X32" s="8">
        <f>SUM(U32:W32)</f>
        <v>66160</v>
      </c>
      <c r="Y32" s="8">
        <v>887993</v>
      </c>
      <c r="Z32" s="8">
        <v>0</v>
      </c>
      <c r="AA32" s="8">
        <v>0</v>
      </c>
      <c r="AB32" s="8">
        <f>SUM(Y32:AA32)</f>
        <v>887993</v>
      </c>
      <c r="AC32" s="5">
        <f t="shared" si="8"/>
        <v>954153</v>
      </c>
      <c r="AD32" s="8">
        <v>41160</v>
      </c>
      <c r="AE32" s="8">
        <v>0</v>
      </c>
      <c r="AF32" s="8">
        <v>20000</v>
      </c>
      <c r="AG32" s="8">
        <f>AD32+AE32+AF32</f>
        <v>61160</v>
      </c>
      <c r="AH32" s="8">
        <v>1500000</v>
      </c>
      <c r="AI32" s="8"/>
      <c r="AJ32" s="8"/>
      <c r="AK32" s="8">
        <f>SUM(AH32:AJ32)</f>
        <v>1500000</v>
      </c>
      <c r="AL32" s="5">
        <f t="shared" si="9"/>
        <v>1561160</v>
      </c>
      <c r="AM32" s="8">
        <v>41160</v>
      </c>
      <c r="AN32" s="8">
        <v>0</v>
      </c>
      <c r="AO32" s="8">
        <v>20000</v>
      </c>
      <c r="AP32" s="8">
        <f>AM32+AN32+AO32</f>
        <v>61160</v>
      </c>
      <c r="AQ32" s="8">
        <v>1500000</v>
      </c>
      <c r="AR32" s="8"/>
      <c r="AS32" s="8"/>
      <c r="AT32" s="8">
        <f>SUM(AQ32:AS32)</f>
        <v>1500000</v>
      </c>
      <c r="AU32" s="5">
        <f t="shared" si="11"/>
        <v>1561160</v>
      </c>
      <c r="AV32" s="8">
        <v>41160</v>
      </c>
      <c r="AW32" s="8">
        <v>0</v>
      </c>
      <c r="AX32" s="8">
        <v>15116</v>
      </c>
      <c r="AY32" s="8">
        <f>AV32+AW32+AX32</f>
        <v>56276</v>
      </c>
      <c r="AZ32" s="8">
        <v>1000000</v>
      </c>
      <c r="BA32" s="8"/>
      <c r="BB32" s="8"/>
      <c r="BC32" s="8">
        <f>SUM(AZ32:BB32)</f>
        <v>1000000</v>
      </c>
      <c r="BD32" s="5">
        <f t="shared" si="13"/>
        <v>1056276</v>
      </c>
    </row>
    <row r="33" spans="1:56" ht="16.5">
      <c r="A33" s="9" t="s">
        <v>63</v>
      </c>
      <c r="B33" s="7" t="s">
        <v>64</v>
      </c>
      <c r="C33" s="8">
        <v>147157</v>
      </c>
      <c r="D33" s="8">
        <v>33000</v>
      </c>
      <c r="E33" s="8">
        <v>132000</v>
      </c>
      <c r="F33" s="8">
        <f>SUM(C33:E33)</f>
        <v>312157</v>
      </c>
      <c r="G33" s="8">
        <v>640000</v>
      </c>
      <c r="H33" s="8">
        <v>0</v>
      </c>
      <c r="I33" s="8">
        <v>0</v>
      </c>
      <c r="J33" s="8">
        <f>SUM(G33:I33)</f>
        <v>640000</v>
      </c>
      <c r="K33" s="5">
        <f t="shared" si="7"/>
        <v>952157</v>
      </c>
      <c r="L33" s="8">
        <f>86578+14680</f>
        <v>101258</v>
      </c>
      <c r="M33" s="8">
        <v>30500</v>
      </c>
      <c r="N33" s="8">
        <v>126000</v>
      </c>
      <c r="O33" s="8">
        <f>SUM(L33:N33)</f>
        <v>257758</v>
      </c>
      <c r="P33" s="8">
        <v>0</v>
      </c>
      <c r="Q33" s="8">
        <v>0</v>
      </c>
      <c r="R33" s="8">
        <v>0</v>
      </c>
      <c r="S33" s="8">
        <f>SUM(P33:R33)</f>
        <v>0</v>
      </c>
      <c r="T33" s="5">
        <f>O33+S33</f>
        <v>257758</v>
      </c>
      <c r="U33" s="8">
        <v>76358</v>
      </c>
      <c r="V33" s="8">
        <v>30500</v>
      </c>
      <c r="W33" s="8">
        <v>126000</v>
      </c>
      <c r="X33" s="8">
        <f>SUM(U33:W33)</f>
        <v>232858</v>
      </c>
      <c r="Y33" s="8">
        <v>1643721</v>
      </c>
      <c r="Z33" s="8">
        <v>0</v>
      </c>
      <c r="AA33" s="8">
        <v>0</v>
      </c>
      <c r="AB33" s="8">
        <f>SUM(Y33:AA33)</f>
        <v>1643721</v>
      </c>
      <c r="AC33" s="5">
        <f t="shared" si="8"/>
        <v>1876579</v>
      </c>
      <c r="AD33" s="8">
        <v>76358</v>
      </c>
      <c r="AE33" s="8">
        <v>129500</v>
      </c>
      <c r="AF33" s="8">
        <v>0</v>
      </c>
      <c r="AG33" s="8">
        <f>SUM(AD33:AF33)</f>
        <v>205858</v>
      </c>
      <c r="AH33" s="8">
        <v>4795029</v>
      </c>
      <c r="AI33" s="8"/>
      <c r="AJ33" s="8"/>
      <c r="AK33" s="8">
        <f>SUM(AH33:AJ33)</f>
        <v>4795029</v>
      </c>
      <c r="AL33" s="5">
        <f t="shared" si="9"/>
        <v>5000887</v>
      </c>
      <c r="AM33" s="8">
        <v>76358</v>
      </c>
      <c r="AN33" s="30">
        <v>97672</v>
      </c>
      <c r="AO33" s="8">
        <v>0</v>
      </c>
      <c r="AP33" s="8">
        <f>SUM(AM33:AO33)</f>
        <v>174030</v>
      </c>
      <c r="AQ33" s="30">
        <v>672955</v>
      </c>
      <c r="AR33" s="8"/>
      <c r="AS33" s="8"/>
      <c r="AT33" s="8">
        <f>SUM(AQ33:AS33)</f>
        <v>672955</v>
      </c>
      <c r="AU33" s="5">
        <f t="shared" si="11"/>
        <v>846985</v>
      </c>
      <c r="AV33" s="8">
        <v>76358</v>
      </c>
      <c r="AW33" s="30">
        <v>97672</v>
      </c>
      <c r="AX33" s="8">
        <v>0</v>
      </c>
      <c r="AY33" s="8">
        <f>SUM(AV33:AX33)</f>
        <v>174030</v>
      </c>
      <c r="AZ33" s="30">
        <v>672955</v>
      </c>
      <c r="BA33" s="8"/>
      <c r="BB33" s="8"/>
      <c r="BC33" s="8">
        <f>SUM(AZ33:BB33)</f>
        <v>672955</v>
      </c>
      <c r="BD33" s="5">
        <f t="shared" si="13"/>
        <v>846985</v>
      </c>
    </row>
    <row r="34" spans="1:56" ht="16.5">
      <c r="A34" s="53" t="s">
        <v>65</v>
      </c>
      <c r="B34" s="54"/>
      <c r="C34" s="5">
        <f>SUM(C35:C38)</f>
        <v>6566331</v>
      </c>
      <c r="D34" s="5">
        <f t="shared" ref="D34:J34" si="39">SUM(D35:D38)</f>
        <v>4505394</v>
      </c>
      <c r="E34" s="5">
        <f t="shared" si="39"/>
        <v>22836680</v>
      </c>
      <c r="F34" s="5">
        <f t="shared" si="39"/>
        <v>33908405</v>
      </c>
      <c r="G34" s="5">
        <f t="shared" si="39"/>
        <v>14800000</v>
      </c>
      <c r="H34" s="5">
        <f t="shared" si="39"/>
        <v>11852950</v>
      </c>
      <c r="I34" s="5">
        <f t="shared" si="39"/>
        <v>23876882</v>
      </c>
      <c r="J34" s="5">
        <f t="shared" si="39"/>
        <v>50529832</v>
      </c>
      <c r="K34" s="5">
        <f t="shared" si="7"/>
        <v>84438237</v>
      </c>
      <c r="L34" s="5">
        <f>SUM(L35:L38)</f>
        <v>6325441</v>
      </c>
      <c r="M34" s="5">
        <f t="shared" ref="M34:S34" si="40">SUM(M35:M38)</f>
        <v>5155394</v>
      </c>
      <c r="N34" s="5">
        <f t="shared" si="40"/>
        <v>22186680</v>
      </c>
      <c r="O34" s="5">
        <f t="shared" si="40"/>
        <v>33667515</v>
      </c>
      <c r="P34" s="5">
        <f t="shared" si="40"/>
        <v>10237809</v>
      </c>
      <c r="Q34" s="5">
        <f t="shared" si="40"/>
        <v>9767950</v>
      </c>
      <c r="R34" s="5">
        <f t="shared" si="40"/>
        <v>6078553</v>
      </c>
      <c r="S34" s="5">
        <f t="shared" si="40"/>
        <v>26084312</v>
      </c>
      <c r="T34" s="5">
        <f t="shared" ref="T34:T65" si="41">O34+S34</f>
        <v>59751827</v>
      </c>
      <c r="U34" s="5">
        <f>SUM(U35:U38)</f>
        <v>7980100</v>
      </c>
      <c r="V34" s="5">
        <f t="shared" ref="V34:AB34" si="42">SUM(V35:V38)</f>
        <v>4080974</v>
      </c>
      <c r="W34" s="5">
        <f t="shared" si="42"/>
        <v>17865147</v>
      </c>
      <c r="X34" s="5">
        <f t="shared" si="42"/>
        <v>29926221</v>
      </c>
      <c r="Y34" s="5">
        <f t="shared" si="42"/>
        <v>11256000</v>
      </c>
      <c r="Z34" s="5">
        <f t="shared" si="42"/>
        <v>9500000</v>
      </c>
      <c r="AA34" s="5">
        <f t="shared" si="42"/>
        <v>12659149</v>
      </c>
      <c r="AB34" s="5">
        <f t="shared" si="42"/>
        <v>33415149</v>
      </c>
      <c r="AC34" s="5">
        <f t="shared" si="8"/>
        <v>63341370</v>
      </c>
      <c r="AD34" s="5">
        <f>SUM(AD35:AD38)</f>
        <v>7346424</v>
      </c>
      <c r="AE34" s="5">
        <f t="shared" ref="AE34:AK34" si="43">SUM(AE35:AE38)</f>
        <v>10566046</v>
      </c>
      <c r="AF34" s="5">
        <f t="shared" si="43"/>
        <v>14980186</v>
      </c>
      <c r="AG34" s="5">
        <f t="shared" si="43"/>
        <v>32892656</v>
      </c>
      <c r="AH34" s="5">
        <f t="shared" si="43"/>
        <v>21807828</v>
      </c>
      <c r="AI34" s="5">
        <f t="shared" si="43"/>
        <v>3000000</v>
      </c>
      <c r="AJ34" s="5">
        <f t="shared" si="43"/>
        <v>20000000</v>
      </c>
      <c r="AK34" s="5">
        <f t="shared" si="43"/>
        <v>44807828</v>
      </c>
      <c r="AL34" s="5">
        <f t="shared" si="9"/>
        <v>77700484</v>
      </c>
      <c r="AM34" s="5">
        <f>SUM(AM35:AM38)</f>
        <v>7346424</v>
      </c>
      <c r="AN34" s="5">
        <f t="shared" ref="AN34:AS34" si="44">SUM(AN35:AN38)</f>
        <v>10965610</v>
      </c>
      <c r="AO34" s="5">
        <f t="shared" si="44"/>
        <v>12739638</v>
      </c>
      <c r="AP34" s="5">
        <f t="shared" si="44"/>
        <v>31051672</v>
      </c>
      <c r="AQ34" s="5">
        <f t="shared" si="44"/>
        <v>24187155</v>
      </c>
      <c r="AR34" s="5">
        <f t="shared" si="44"/>
        <v>3689555</v>
      </c>
      <c r="AS34" s="5">
        <f t="shared" si="44"/>
        <v>19809514</v>
      </c>
      <c r="AT34" s="5">
        <f>AQ34+AR34+AS34</f>
        <v>47686224</v>
      </c>
      <c r="AU34" s="5">
        <f t="shared" si="11"/>
        <v>78737896</v>
      </c>
      <c r="AV34" s="5">
        <f>SUM(AV35:AV38)</f>
        <v>7346424</v>
      </c>
      <c r="AW34" s="5">
        <f t="shared" ref="AW34:BB34" si="45">SUM(AW35:AW38)</f>
        <v>11031872</v>
      </c>
      <c r="AX34" s="5">
        <f t="shared" si="45"/>
        <v>12794335</v>
      </c>
      <c r="AY34" s="5">
        <f t="shared" si="45"/>
        <v>31172631</v>
      </c>
      <c r="AZ34" s="5">
        <f t="shared" si="45"/>
        <v>24302082</v>
      </c>
      <c r="BA34" s="5">
        <f t="shared" si="45"/>
        <v>2690864</v>
      </c>
      <c r="BB34" s="5">
        <f t="shared" si="45"/>
        <v>20910374</v>
      </c>
      <c r="BC34" s="5">
        <f t="shared" si="12"/>
        <v>47903320</v>
      </c>
      <c r="BD34" s="5">
        <f t="shared" si="13"/>
        <v>79075951</v>
      </c>
    </row>
    <row r="35" spans="1:56" ht="33">
      <c r="A35" s="6" t="s">
        <v>66</v>
      </c>
      <c r="B35" s="7" t="s">
        <v>67</v>
      </c>
      <c r="C35" s="8">
        <f>6140000-253669</f>
        <v>5886331</v>
      </c>
      <c r="D35" s="8">
        <f>2730000-300000</f>
        <v>2430000</v>
      </c>
      <c r="E35" s="8">
        <f>18520000+116680</f>
        <v>18636680</v>
      </c>
      <c r="F35" s="8">
        <f>SUM(C35:E35)</f>
        <v>26953011</v>
      </c>
      <c r="G35" s="8">
        <f>8380000-5000000-10000</f>
        <v>3370000</v>
      </c>
      <c r="H35" s="8">
        <f>730000+500000+52950</f>
        <v>1282950</v>
      </c>
      <c r="I35" s="8">
        <v>2810000</v>
      </c>
      <c r="J35" s="8">
        <f>SUM(G35:I35)</f>
        <v>7462950</v>
      </c>
      <c r="K35" s="5">
        <f t="shared" si="7"/>
        <v>34415961</v>
      </c>
      <c r="L35" s="8">
        <v>3610000</v>
      </c>
      <c r="M35" s="8">
        <v>3950000</v>
      </c>
      <c r="N35" s="8">
        <f>21860000-953320</f>
        <v>20906680</v>
      </c>
      <c r="O35" s="8">
        <f>SUM(L35:N35)</f>
        <v>28466680</v>
      </c>
      <c r="P35" s="8">
        <f>3820000-12191</f>
        <v>3807809</v>
      </c>
      <c r="Q35" s="8">
        <v>450000</v>
      </c>
      <c r="R35" s="8">
        <v>210000</v>
      </c>
      <c r="S35" s="8">
        <f>SUM(P35:R35)</f>
        <v>4467809</v>
      </c>
      <c r="T35" s="5">
        <f t="shared" si="41"/>
        <v>32934489</v>
      </c>
      <c r="U35" s="8">
        <v>2107032</v>
      </c>
      <c r="V35" s="8">
        <v>2285339</v>
      </c>
      <c r="W35" s="8">
        <v>250000</v>
      </c>
      <c r="X35" s="8">
        <f>SUM(U35:W35)</f>
        <v>4642371</v>
      </c>
      <c r="Y35" s="8">
        <v>6554325</v>
      </c>
      <c r="Z35" s="8">
        <v>0</v>
      </c>
      <c r="AA35" s="8">
        <v>0</v>
      </c>
      <c r="AB35" s="8">
        <f>SUM(Y35:AA35)</f>
        <v>6554325</v>
      </c>
      <c r="AC35" s="5">
        <f t="shared" si="8"/>
        <v>11196696</v>
      </c>
      <c r="AD35" s="8">
        <v>779263</v>
      </c>
      <c r="AE35" s="8">
        <v>6093070</v>
      </c>
      <c r="AF35" s="8">
        <v>2738400</v>
      </c>
      <c r="AG35" s="8">
        <f>SUM(AD35:AF35)</f>
        <v>9610733</v>
      </c>
      <c r="AH35" s="8">
        <v>3313950</v>
      </c>
      <c r="AI35" s="8">
        <v>0</v>
      </c>
      <c r="AJ35" s="8">
        <v>0</v>
      </c>
      <c r="AK35" s="8">
        <f>SUM(AH35:AJ35)</f>
        <v>3313950</v>
      </c>
      <c r="AL35" s="5">
        <f t="shared" si="9"/>
        <v>12924683</v>
      </c>
      <c r="AM35" s="8">
        <v>779263</v>
      </c>
      <c r="AN35" s="8">
        <v>6421736</v>
      </c>
      <c r="AO35" s="8">
        <v>334406</v>
      </c>
      <c r="AP35" s="8">
        <f>SUM(AM35:AO35)</f>
        <v>7535405</v>
      </c>
      <c r="AQ35" s="8">
        <v>3358196</v>
      </c>
      <c r="AR35" s="8">
        <v>0</v>
      </c>
      <c r="AS35" s="8">
        <v>0</v>
      </c>
      <c r="AT35" s="8">
        <f>SUM(AQ35:AS35)</f>
        <v>3358196</v>
      </c>
      <c r="AU35" s="5">
        <f t="shared" si="11"/>
        <v>10893601</v>
      </c>
      <c r="AV35" s="8">
        <v>779263</v>
      </c>
      <c r="AW35" s="8">
        <v>6452653</v>
      </c>
      <c r="AX35" s="8">
        <v>335842</v>
      </c>
      <c r="AY35" s="8">
        <f>SUM(AV35:AX35)</f>
        <v>7567758</v>
      </c>
      <c r="AZ35" s="8">
        <v>3372614</v>
      </c>
      <c r="BA35" s="8">
        <v>0</v>
      </c>
      <c r="BB35" s="8">
        <v>0</v>
      </c>
      <c r="BC35" s="8">
        <f>SUM(AZ35:BB35)</f>
        <v>3372614</v>
      </c>
      <c r="BD35" s="5">
        <f t="shared" si="13"/>
        <v>10940372</v>
      </c>
    </row>
    <row r="36" spans="1:56" ht="16.5">
      <c r="A36" s="6" t="s">
        <v>68</v>
      </c>
      <c r="B36" s="7" t="s">
        <v>69</v>
      </c>
      <c r="C36" s="8">
        <v>310000</v>
      </c>
      <c r="D36" s="8">
        <f>950000+5394</f>
        <v>955394</v>
      </c>
      <c r="E36" s="8">
        <v>2600000</v>
      </c>
      <c r="F36" s="8">
        <f>SUM(C36:E36)</f>
        <v>3865394</v>
      </c>
      <c r="G36" s="8">
        <f>11260000-5000000+500000</f>
        <v>6760000</v>
      </c>
      <c r="H36" s="8">
        <f>9290000+500000-50000</f>
        <v>9740000</v>
      </c>
      <c r="I36" s="8">
        <v>18190000</v>
      </c>
      <c r="J36" s="8">
        <f>SUM(G36:I36)</f>
        <v>34690000</v>
      </c>
      <c r="K36" s="5">
        <f t="shared" si="7"/>
        <v>38555394</v>
      </c>
      <c r="L36" s="8">
        <f>2320000+5441</f>
        <v>2325441</v>
      </c>
      <c r="M36" s="8">
        <f>1300000-224606</f>
        <v>1075394</v>
      </c>
      <c r="N36" s="8">
        <v>300000</v>
      </c>
      <c r="O36" s="8">
        <f>SUM(L36:N36)</f>
        <v>3700835</v>
      </c>
      <c r="P36" s="8">
        <v>5210000</v>
      </c>
      <c r="Q36" s="8">
        <f>9220000-2050</f>
        <v>9217950</v>
      </c>
      <c r="R36" s="8">
        <f>5870000-1447</f>
        <v>5868553</v>
      </c>
      <c r="S36" s="8">
        <f>SUM(P36:R36)</f>
        <v>20296503</v>
      </c>
      <c r="T36" s="5">
        <f t="shared" si="41"/>
        <v>23997338</v>
      </c>
      <c r="U36" s="8">
        <v>5455867</v>
      </c>
      <c r="V36" s="8">
        <v>1672559</v>
      </c>
      <c r="W36" s="8">
        <v>17615147</v>
      </c>
      <c r="X36" s="8">
        <f>SUM(U36:W36)</f>
        <v>24743573</v>
      </c>
      <c r="Y36" s="8">
        <v>2560134</v>
      </c>
      <c r="Z36" s="8">
        <v>9200000</v>
      </c>
      <c r="AA36" s="8">
        <v>12659149</v>
      </c>
      <c r="AB36" s="8">
        <f>SUM(Y36:AA36)</f>
        <v>24419283</v>
      </c>
      <c r="AC36" s="5">
        <f t="shared" si="8"/>
        <v>49162856</v>
      </c>
      <c r="AD36" s="8">
        <v>6086603</v>
      </c>
      <c r="AE36" s="8">
        <v>3927268</v>
      </c>
      <c r="AF36" s="8">
        <v>12241786</v>
      </c>
      <c r="AG36" s="8">
        <f>SUM(AD36:AF36)</f>
        <v>22255657</v>
      </c>
      <c r="AH36" s="8">
        <v>13155344</v>
      </c>
      <c r="AI36" s="46">
        <v>2904000</v>
      </c>
      <c r="AJ36" s="47">
        <v>19680000</v>
      </c>
      <c r="AK36" s="8">
        <f>SUM(AH36:AJ36)</f>
        <v>35739344</v>
      </c>
      <c r="AL36" s="5">
        <f t="shared" si="9"/>
        <v>57995001</v>
      </c>
      <c r="AM36" s="8">
        <v>6086603</v>
      </c>
      <c r="AN36" s="8">
        <v>4022588</v>
      </c>
      <c r="AO36" s="8">
        <v>12405232</v>
      </c>
      <c r="AP36" s="8">
        <f>SUM(AM36:AO36)</f>
        <v>22514423</v>
      </c>
      <c r="AQ36" s="8">
        <v>15569297</v>
      </c>
      <c r="AR36" s="46">
        <v>3404000</v>
      </c>
      <c r="AS36" s="47">
        <v>19485242</v>
      </c>
      <c r="AT36" s="8">
        <f>SUM(AQ36:AS36)</f>
        <v>38458539</v>
      </c>
      <c r="AU36" s="5">
        <f t="shared" si="11"/>
        <v>60972962</v>
      </c>
      <c r="AV36" s="8">
        <v>6086603</v>
      </c>
      <c r="AW36" s="8">
        <v>4053649</v>
      </c>
      <c r="AX36" s="8">
        <v>12458493</v>
      </c>
      <c r="AY36" s="8">
        <f>SUM(AV36:AX36)</f>
        <v>22598745</v>
      </c>
      <c r="AZ36" s="8">
        <v>15647290</v>
      </c>
      <c r="BA36" s="46">
        <v>2404000</v>
      </c>
      <c r="BB36" s="47">
        <v>20584709</v>
      </c>
      <c r="BC36" s="8">
        <f>SUM(AZ36:BB36)</f>
        <v>38635999</v>
      </c>
      <c r="BD36" s="5">
        <f t="shared" si="13"/>
        <v>61234744</v>
      </c>
    </row>
    <row r="37" spans="1:56" ht="16.5">
      <c r="A37" s="6" t="s">
        <v>70</v>
      </c>
      <c r="B37" s="7" t="s">
        <v>71</v>
      </c>
      <c r="C37" s="8">
        <v>250000</v>
      </c>
      <c r="D37" s="8">
        <v>120000</v>
      </c>
      <c r="E37" s="8">
        <v>800000</v>
      </c>
      <c r="F37" s="8">
        <f>SUM(C37:E37)</f>
        <v>1170000</v>
      </c>
      <c r="G37" s="8">
        <v>3390000</v>
      </c>
      <c r="H37" s="8">
        <v>0</v>
      </c>
      <c r="I37" s="8">
        <v>0</v>
      </c>
      <c r="J37" s="8">
        <f>SUM(G37:I37)</f>
        <v>3390000</v>
      </c>
      <c r="K37" s="5">
        <f t="shared" si="7"/>
        <v>4560000</v>
      </c>
      <c r="L37" s="8">
        <v>250000</v>
      </c>
      <c r="M37" s="8">
        <v>60000</v>
      </c>
      <c r="N37" s="8">
        <v>540000</v>
      </c>
      <c r="O37" s="8">
        <f>SUM(L37:N37)</f>
        <v>850000</v>
      </c>
      <c r="P37" s="8">
        <v>1170000</v>
      </c>
      <c r="Q37" s="8">
        <v>0</v>
      </c>
      <c r="R37" s="8">
        <v>0</v>
      </c>
      <c r="S37" s="8">
        <f>SUM(P37:R37)</f>
        <v>1170000</v>
      </c>
      <c r="T37" s="5">
        <f t="shared" si="41"/>
        <v>2020000</v>
      </c>
      <c r="U37" s="8">
        <v>281006</v>
      </c>
      <c r="V37" s="8">
        <v>56538</v>
      </c>
      <c r="W37" s="8">
        <v>0</v>
      </c>
      <c r="X37" s="8">
        <f>SUM(U37:W37)</f>
        <v>337544</v>
      </c>
      <c r="Y37" s="8">
        <v>1291541</v>
      </c>
      <c r="Z37" s="8">
        <v>0</v>
      </c>
      <c r="AA37" s="8">
        <v>0</v>
      </c>
      <c r="AB37" s="8">
        <f>SUM(Y37:AA37)</f>
        <v>1291541</v>
      </c>
      <c r="AC37" s="5">
        <f t="shared" si="8"/>
        <v>1629085</v>
      </c>
      <c r="AD37" s="8">
        <v>323695</v>
      </c>
      <c r="AE37" s="8">
        <v>245955</v>
      </c>
      <c r="AF37" s="8">
        <v>0</v>
      </c>
      <c r="AG37" s="8">
        <f>SUM(AD37:AF37)</f>
        <v>569650</v>
      </c>
      <c r="AH37" s="8">
        <v>3540200</v>
      </c>
      <c r="AJ37" s="47">
        <v>320000</v>
      </c>
      <c r="AK37" s="8">
        <f>SUM(AH37:AJ37)</f>
        <v>3860200</v>
      </c>
      <c r="AL37" s="5">
        <f t="shared" si="9"/>
        <v>4429850</v>
      </c>
      <c r="AM37" s="8">
        <v>323695</v>
      </c>
      <c r="AN37" s="8">
        <v>253561</v>
      </c>
      <c r="AO37" s="8">
        <v>0</v>
      </c>
      <c r="AP37" s="8">
        <f>SUM(AM37:AO37)</f>
        <v>577256</v>
      </c>
      <c r="AQ37" s="8">
        <v>3587467</v>
      </c>
      <c r="AS37" s="47">
        <v>324272</v>
      </c>
      <c r="AT37" s="8">
        <f>SUM(AQ37:AS37)</f>
        <v>3911739</v>
      </c>
      <c r="AU37" s="5">
        <f t="shared" si="11"/>
        <v>4488995</v>
      </c>
      <c r="AV37" s="8">
        <v>323695</v>
      </c>
      <c r="AW37" s="8">
        <v>256039</v>
      </c>
      <c r="AX37" s="8">
        <v>0</v>
      </c>
      <c r="AY37" s="8">
        <f>SUM(AV37:AX37)</f>
        <v>579734</v>
      </c>
      <c r="AZ37" s="8">
        <v>3602869</v>
      </c>
      <c r="BB37" s="47">
        <v>325665</v>
      </c>
      <c r="BC37" s="8">
        <f>SUM(AZ37:BB37)</f>
        <v>3928534</v>
      </c>
      <c r="BD37" s="5">
        <f t="shared" si="13"/>
        <v>4508268</v>
      </c>
    </row>
    <row r="38" spans="1:56" ht="16.5">
      <c r="A38" s="9" t="s">
        <v>72</v>
      </c>
      <c r="B38" s="7" t="s">
        <v>73</v>
      </c>
      <c r="C38" s="8">
        <v>120000</v>
      </c>
      <c r="D38" s="8">
        <v>1000000</v>
      </c>
      <c r="E38" s="8">
        <v>800000</v>
      </c>
      <c r="F38" s="8">
        <f>SUM(C38:E38)</f>
        <v>1920000</v>
      </c>
      <c r="G38" s="8">
        <v>1280000</v>
      </c>
      <c r="H38" s="8">
        <v>830000</v>
      </c>
      <c r="I38" s="8">
        <v>2876882</v>
      </c>
      <c r="J38" s="8">
        <f>SUM(G38:I38)</f>
        <v>4986882</v>
      </c>
      <c r="K38" s="5">
        <f t="shared" si="7"/>
        <v>6906882</v>
      </c>
      <c r="L38" s="8">
        <v>140000</v>
      </c>
      <c r="M38" s="8">
        <v>70000</v>
      </c>
      <c r="N38" s="8">
        <v>440000</v>
      </c>
      <c r="O38" s="8">
        <f>SUM(L38:N38)</f>
        <v>650000</v>
      </c>
      <c r="P38" s="8">
        <v>50000</v>
      </c>
      <c r="Q38" s="8">
        <v>100000</v>
      </c>
      <c r="R38" s="8">
        <v>0</v>
      </c>
      <c r="S38" s="8">
        <f>SUM(P38:R38)</f>
        <v>150000</v>
      </c>
      <c r="T38" s="5">
        <f t="shared" si="41"/>
        <v>800000</v>
      </c>
      <c r="U38" s="8">
        <v>136195</v>
      </c>
      <c r="V38" s="8">
        <v>66538</v>
      </c>
      <c r="W38" s="8">
        <v>0</v>
      </c>
      <c r="X38" s="8">
        <f>SUM(U38:W38)</f>
        <v>202733</v>
      </c>
      <c r="Y38" s="8">
        <v>850000</v>
      </c>
      <c r="Z38" s="8">
        <v>300000</v>
      </c>
      <c r="AA38" s="8">
        <v>0</v>
      </c>
      <c r="AB38" s="8">
        <f>SUM(Y38:AA38)</f>
        <v>1150000</v>
      </c>
      <c r="AC38" s="5">
        <f t="shared" si="8"/>
        <v>1352733</v>
      </c>
      <c r="AD38" s="8">
        <v>156863</v>
      </c>
      <c r="AE38" s="8">
        <v>299753</v>
      </c>
      <c r="AF38" s="8">
        <v>0</v>
      </c>
      <c r="AG38" s="8">
        <f>SUM(AD38:AF38)</f>
        <v>456616</v>
      </c>
      <c r="AH38" s="8">
        <v>1798334</v>
      </c>
      <c r="AI38" s="47">
        <v>96000</v>
      </c>
      <c r="AJ38" s="8">
        <v>0</v>
      </c>
      <c r="AK38" s="8">
        <f>SUM(AH38:AJ38)</f>
        <v>1894334</v>
      </c>
      <c r="AL38" s="5">
        <f t="shared" si="9"/>
        <v>2350950</v>
      </c>
      <c r="AM38" s="8">
        <v>156863</v>
      </c>
      <c r="AN38" s="8">
        <v>267725</v>
      </c>
      <c r="AO38" s="8">
        <v>0</v>
      </c>
      <c r="AP38" s="8">
        <f>SUM(AM38:AO38)</f>
        <v>424588</v>
      </c>
      <c r="AQ38" s="8">
        <v>1672195</v>
      </c>
      <c r="AR38" s="47">
        <v>285555</v>
      </c>
      <c r="AS38" s="8">
        <v>0</v>
      </c>
      <c r="AT38" s="8">
        <f>SUM(AQ38:AS38)</f>
        <v>1957750</v>
      </c>
      <c r="AU38" s="5">
        <f t="shared" si="11"/>
        <v>2382338</v>
      </c>
      <c r="AV38" s="8">
        <v>156863</v>
      </c>
      <c r="AW38" s="8">
        <v>269531</v>
      </c>
      <c r="AX38" s="8">
        <v>0</v>
      </c>
      <c r="AY38" s="8">
        <f>SUM(AV38:AX38)</f>
        <v>426394</v>
      </c>
      <c r="AZ38" s="8">
        <v>1679309</v>
      </c>
      <c r="BA38" s="47">
        <v>286864</v>
      </c>
      <c r="BB38" s="8">
        <v>0</v>
      </c>
      <c r="BC38" s="8">
        <f>SUM(AZ38:BB38)</f>
        <v>1966173</v>
      </c>
      <c r="BD38" s="5">
        <f t="shared" si="13"/>
        <v>2392567</v>
      </c>
    </row>
    <row r="39" spans="1:56" ht="16.5">
      <c r="A39" s="53" t="s">
        <v>74</v>
      </c>
      <c r="B39" s="54"/>
      <c r="C39" s="5">
        <f>SUM(C40:C43)</f>
        <v>2025265</v>
      </c>
      <c r="D39" s="5">
        <f t="shared" ref="D39:J39" si="46">SUM(D40:D43)</f>
        <v>3165323</v>
      </c>
      <c r="E39" s="5">
        <f t="shared" si="46"/>
        <v>4264677</v>
      </c>
      <c r="F39" s="5">
        <f t="shared" si="46"/>
        <v>9455265</v>
      </c>
      <c r="G39" s="5">
        <f t="shared" si="46"/>
        <v>13286247</v>
      </c>
      <c r="H39" s="5">
        <f t="shared" si="46"/>
        <v>16000000</v>
      </c>
      <c r="I39" s="5">
        <f t="shared" si="46"/>
        <v>0</v>
      </c>
      <c r="J39" s="5">
        <f t="shared" si="46"/>
        <v>29286247</v>
      </c>
      <c r="K39" s="5">
        <f t="shared" si="7"/>
        <v>38741512</v>
      </c>
      <c r="L39" s="5">
        <f>SUM(L40:L43)</f>
        <v>1446715</v>
      </c>
      <c r="M39" s="5">
        <f t="shared" ref="M39:S39" si="47">SUM(M40:M43)</f>
        <v>3275557</v>
      </c>
      <c r="N39" s="5">
        <f t="shared" si="47"/>
        <v>4284943</v>
      </c>
      <c r="O39" s="5">
        <f t="shared" si="47"/>
        <v>9007215</v>
      </c>
      <c r="P39" s="5">
        <f t="shared" si="47"/>
        <v>13800000</v>
      </c>
      <c r="Q39" s="5">
        <f t="shared" si="47"/>
        <v>24433128</v>
      </c>
      <c r="R39" s="5">
        <f t="shared" si="47"/>
        <v>0</v>
      </c>
      <c r="S39" s="5">
        <f t="shared" si="47"/>
        <v>38233128</v>
      </c>
      <c r="T39" s="5">
        <f t="shared" si="41"/>
        <v>47240343</v>
      </c>
      <c r="U39" s="5">
        <f>SUM(U40:U43)</f>
        <v>1970600</v>
      </c>
      <c r="V39" s="5">
        <f t="shared" ref="V39:AB39" si="48">SUM(V40:V43)</f>
        <v>3460065</v>
      </c>
      <c r="W39" s="5">
        <f t="shared" si="48"/>
        <v>4252183</v>
      </c>
      <c r="X39" s="5">
        <f t="shared" si="48"/>
        <v>9682848</v>
      </c>
      <c r="Y39" s="5">
        <f t="shared" si="48"/>
        <v>15300000</v>
      </c>
      <c r="Z39" s="5">
        <f t="shared" si="48"/>
        <v>19405501</v>
      </c>
      <c r="AA39" s="5">
        <f t="shared" si="48"/>
        <v>0</v>
      </c>
      <c r="AB39" s="5">
        <f t="shared" si="48"/>
        <v>34705501</v>
      </c>
      <c r="AC39" s="5">
        <f t="shared" si="8"/>
        <v>44388349</v>
      </c>
      <c r="AD39" s="5">
        <f>SUM(AD40:AD43)</f>
        <v>1786770</v>
      </c>
      <c r="AE39" s="5">
        <f t="shared" ref="AE39:AK39" si="49">SUM(AE40:AE43)</f>
        <v>3743639</v>
      </c>
      <c r="AF39" s="5">
        <f t="shared" si="49"/>
        <v>4778680</v>
      </c>
      <c r="AG39" s="5">
        <f t="shared" si="49"/>
        <v>10309089</v>
      </c>
      <c r="AH39" s="5">
        <f t="shared" si="49"/>
        <v>16000000</v>
      </c>
      <c r="AI39" s="5">
        <f t="shared" si="49"/>
        <v>15862546</v>
      </c>
      <c r="AJ39" s="5">
        <f t="shared" si="49"/>
        <v>0</v>
      </c>
      <c r="AK39" s="5">
        <f t="shared" si="49"/>
        <v>31862546</v>
      </c>
      <c r="AL39" s="5">
        <f t="shared" si="9"/>
        <v>42171635</v>
      </c>
      <c r="AM39" s="5">
        <f>SUM(AM40:AM43)</f>
        <v>1786766</v>
      </c>
      <c r="AN39" s="5">
        <f t="shared" ref="AN39:AS39" si="50">SUM(AN40:AN43)</f>
        <v>4129951</v>
      </c>
      <c r="AO39" s="5">
        <f t="shared" si="50"/>
        <v>4392367</v>
      </c>
      <c r="AP39" s="5">
        <f t="shared" si="50"/>
        <v>10309084</v>
      </c>
      <c r="AQ39" s="5">
        <f t="shared" si="50"/>
        <v>1450000</v>
      </c>
      <c r="AR39" s="5">
        <f t="shared" si="50"/>
        <v>22002007</v>
      </c>
      <c r="AS39" s="5">
        <f t="shared" si="50"/>
        <v>0</v>
      </c>
      <c r="AT39" s="5">
        <f>AQ39+AR39+AS39</f>
        <v>23452007</v>
      </c>
      <c r="AU39" s="5">
        <f t="shared" si="11"/>
        <v>33761091</v>
      </c>
      <c r="AV39" s="5">
        <f>SUM(AV40:AV43)</f>
        <v>1774993</v>
      </c>
      <c r="AW39" s="5">
        <f t="shared" ref="AW39:BB39" si="51">SUM(AW40:AW43)</f>
        <v>4123401</v>
      </c>
      <c r="AX39" s="5">
        <f t="shared" si="51"/>
        <v>4398917</v>
      </c>
      <c r="AY39" s="5">
        <f t="shared" si="51"/>
        <v>10297311</v>
      </c>
      <c r="AZ39" s="5">
        <f t="shared" si="51"/>
        <v>1450000</v>
      </c>
      <c r="BA39" s="5">
        <f t="shared" si="51"/>
        <v>15450000</v>
      </c>
      <c r="BB39" s="5">
        <f t="shared" si="51"/>
        <v>0</v>
      </c>
      <c r="BC39" s="5">
        <f t="shared" si="12"/>
        <v>16900000</v>
      </c>
      <c r="BD39" s="5">
        <f t="shared" si="13"/>
        <v>27197311</v>
      </c>
    </row>
    <row r="40" spans="1:56" ht="33">
      <c r="A40" s="6" t="s">
        <v>75</v>
      </c>
      <c r="B40" s="10" t="s">
        <v>76</v>
      </c>
      <c r="C40" s="8">
        <f>337544-100000</f>
        <v>237544</v>
      </c>
      <c r="D40" s="8">
        <f>1170358+691416-25000</f>
        <v>1836774</v>
      </c>
      <c r="E40" s="8">
        <v>504262</v>
      </c>
      <c r="F40" s="8">
        <f>SUM(C40:E40)</f>
        <v>2578580</v>
      </c>
      <c r="G40" s="8">
        <v>200000</v>
      </c>
      <c r="H40" s="8">
        <v>0</v>
      </c>
      <c r="I40" s="8">
        <v>0</v>
      </c>
      <c r="J40" s="8">
        <f>SUM(G40:I40)</f>
        <v>200000</v>
      </c>
      <c r="K40" s="5">
        <f t="shared" si="7"/>
        <v>2778580</v>
      </c>
      <c r="L40" s="8">
        <f>367420-10000-15000</f>
        <v>342420</v>
      </c>
      <c r="M40" s="8">
        <f>1170358+766416-10234+20468</f>
        <v>1947008</v>
      </c>
      <c r="N40" s="8">
        <v>465230</v>
      </c>
      <c r="O40" s="8">
        <f>SUM(L40:N40)</f>
        <v>2754658</v>
      </c>
      <c r="P40" s="8">
        <v>150000</v>
      </c>
      <c r="Q40" s="8">
        <v>0</v>
      </c>
      <c r="R40" s="8">
        <v>0</v>
      </c>
      <c r="S40" s="8">
        <f>SUM(P40:R40)</f>
        <v>150000</v>
      </c>
      <c r="T40" s="5">
        <f t="shared" si="41"/>
        <v>2904658</v>
      </c>
      <c r="U40" s="8">
        <v>587405</v>
      </c>
      <c r="V40" s="8">
        <v>1275569</v>
      </c>
      <c r="W40" s="8">
        <v>507087</v>
      </c>
      <c r="X40" s="8">
        <f>SUM(U40:W40)</f>
        <v>2370061</v>
      </c>
      <c r="Y40" s="8">
        <v>303198</v>
      </c>
      <c r="Z40" s="8">
        <v>0</v>
      </c>
      <c r="AA40" s="8">
        <v>0</v>
      </c>
      <c r="AB40" s="8">
        <f>SUM(Y40:AA40)</f>
        <v>303198</v>
      </c>
      <c r="AC40" s="5">
        <f t="shared" si="8"/>
        <v>2673259</v>
      </c>
      <c r="AD40" s="8">
        <v>424407</v>
      </c>
      <c r="AE40" s="8">
        <v>2103968</v>
      </c>
      <c r="AF40" s="8">
        <v>462681</v>
      </c>
      <c r="AG40" s="8">
        <f>SUM(AD40:AF40)</f>
        <v>2991056</v>
      </c>
      <c r="AH40" s="8">
        <v>1050000</v>
      </c>
      <c r="AI40" s="8">
        <v>0</v>
      </c>
      <c r="AJ40" s="8">
        <v>0</v>
      </c>
      <c r="AK40" s="8">
        <f>SUM(AH40:AJ40)</f>
        <v>1050000</v>
      </c>
      <c r="AL40" s="5">
        <f t="shared" si="9"/>
        <v>4041056</v>
      </c>
      <c r="AM40" s="8">
        <v>424403</v>
      </c>
      <c r="AN40" s="8">
        <v>2384815</v>
      </c>
      <c r="AO40" s="8">
        <v>93450</v>
      </c>
      <c r="AP40" s="8">
        <f>SUM(AM40:AO40)</f>
        <v>2902668</v>
      </c>
      <c r="AQ40" s="8">
        <v>274000</v>
      </c>
      <c r="AR40" s="8">
        <v>0</v>
      </c>
      <c r="AS40" s="8">
        <v>0</v>
      </c>
      <c r="AT40" s="5">
        <f>AQ40+AR40+AS40</f>
        <v>274000</v>
      </c>
      <c r="AU40" s="5">
        <f t="shared" si="11"/>
        <v>3176668</v>
      </c>
      <c r="AV40" s="8">
        <v>412630</v>
      </c>
      <c r="AW40" s="8">
        <v>2378265</v>
      </c>
      <c r="AX40" s="8">
        <v>100000</v>
      </c>
      <c r="AY40" s="8">
        <f>SUM(AV40:AX40)</f>
        <v>2890895</v>
      </c>
      <c r="AZ40" s="8">
        <v>219000</v>
      </c>
      <c r="BA40" s="8">
        <v>0</v>
      </c>
      <c r="BB40" s="8">
        <v>0</v>
      </c>
      <c r="BC40" s="5">
        <f t="shared" si="12"/>
        <v>219000</v>
      </c>
      <c r="BD40" s="5">
        <f t="shared" si="13"/>
        <v>3109895</v>
      </c>
    </row>
    <row r="41" spans="1:56" ht="33">
      <c r="A41" s="6" t="s">
        <v>77</v>
      </c>
      <c r="B41" s="10" t="s">
        <v>78</v>
      </c>
      <c r="C41" s="8">
        <v>506316</v>
      </c>
      <c r="D41" s="8">
        <v>179094</v>
      </c>
      <c r="E41" s="8">
        <v>378867</v>
      </c>
      <c r="F41" s="8">
        <f>SUM(C41:E41)</f>
        <v>1064277</v>
      </c>
      <c r="G41" s="8">
        <f>1900000-70000-10000</f>
        <v>1820000</v>
      </c>
      <c r="H41" s="8">
        <v>0</v>
      </c>
      <c r="I41" s="8">
        <v>0</v>
      </c>
      <c r="J41" s="8">
        <f>SUM(G41:I41)</f>
        <v>1820000</v>
      </c>
      <c r="K41" s="5">
        <f t="shared" si="7"/>
        <v>2884277</v>
      </c>
      <c r="L41" s="8">
        <f>506316-250000</f>
        <v>256316</v>
      </c>
      <c r="M41" s="8">
        <v>179094</v>
      </c>
      <c r="N41" s="8">
        <f>371000+22965</f>
        <v>393965</v>
      </c>
      <c r="O41" s="8">
        <f>SUM(L41:N41)</f>
        <v>829375</v>
      </c>
      <c r="P41" s="8">
        <v>1850000</v>
      </c>
      <c r="Q41" s="8">
        <v>0</v>
      </c>
      <c r="R41" s="8">
        <v>0</v>
      </c>
      <c r="S41" s="8">
        <f>SUM(P41:R41)</f>
        <v>1850000</v>
      </c>
      <c r="T41" s="5">
        <f t="shared" si="41"/>
        <v>2679375</v>
      </c>
      <c r="U41" s="8">
        <v>204450</v>
      </c>
      <c r="V41" s="8">
        <v>454148</v>
      </c>
      <c r="W41" s="8">
        <v>3745096</v>
      </c>
      <c r="X41" s="8">
        <f>SUM(U41:W41)</f>
        <v>4403694</v>
      </c>
      <c r="Y41" s="8">
        <v>14900000</v>
      </c>
      <c r="Z41" s="8">
        <v>19405501</v>
      </c>
      <c r="AA41" s="8">
        <v>0</v>
      </c>
      <c r="AB41" s="8">
        <f>SUM(Y41:AA41)</f>
        <v>34305501</v>
      </c>
      <c r="AC41" s="5">
        <f t="shared" si="8"/>
        <v>38709195</v>
      </c>
      <c r="AD41" s="8">
        <v>143267</v>
      </c>
      <c r="AE41" s="8">
        <v>193105</v>
      </c>
      <c r="AF41" s="8">
        <v>4315999</v>
      </c>
      <c r="AG41" s="8">
        <f>SUM(AD41:AF41)</f>
        <v>4652371</v>
      </c>
      <c r="AH41" s="8">
        <v>14950000</v>
      </c>
      <c r="AI41" s="47">
        <v>15862546</v>
      </c>
      <c r="AJ41" s="8">
        <v>0</v>
      </c>
      <c r="AK41" s="8">
        <f>SUM(AH41:AJ41)</f>
        <v>30812546</v>
      </c>
      <c r="AL41" s="5">
        <f t="shared" si="9"/>
        <v>35464917</v>
      </c>
      <c r="AM41" s="8">
        <v>143267</v>
      </c>
      <c r="AN41" s="8">
        <v>202080</v>
      </c>
      <c r="AO41" s="8">
        <v>4298917</v>
      </c>
      <c r="AP41" s="8">
        <f>SUM(AM41:AO41)</f>
        <v>4644264</v>
      </c>
      <c r="AQ41" s="8">
        <v>1176000</v>
      </c>
      <c r="AR41" s="47">
        <v>22002007</v>
      </c>
      <c r="AS41" s="8">
        <v>0</v>
      </c>
      <c r="AT41" s="5">
        <f>AQ41+AR41+AS41</f>
        <v>23178007</v>
      </c>
      <c r="AU41" s="5">
        <f t="shared" si="11"/>
        <v>27822271</v>
      </c>
      <c r="AV41" s="8">
        <v>143267</v>
      </c>
      <c r="AW41" s="8">
        <v>202080</v>
      </c>
      <c r="AX41" s="8">
        <v>4298917</v>
      </c>
      <c r="AY41" s="8">
        <f>SUM(AV41:AX41)</f>
        <v>4644264</v>
      </c>
      <c r="AZ41" s="8">
        <v>1231000</v>
      </c>
      <c r="BA41" s="47">
        <v>15450000</v>
      </c>
      <c r="BB41" s="8">
        <v>0</v>
      </c>
      <c r="BC41" s="5">
        <f t="shared" si="12"/>
        <v>16681000</v>
      </c>
      <c r="BD41" s="5">
        <f t="shared" si="13"/>
        <v>21325264</v>
      </c>
    </row>
    <row r="42" spans="1:56" ht="33">
      <c r="A42" s="6" t="s">
        <v>79</v>
      </c>
      <c r="B42" s="10" t="s">
        <v>80</v>
      </c>
      <c r="C42" s="8">
        <f>1025265-250000</f>
        <v>775265</v>
      </c>
      <c r="D42" s="8">
        <v>43684</v>
      </c>
      <c r="E42" s="8">
        <f>2840800-26000</f>
        <v>2814800</v>
      </c>
      <c r="F42" s="8">
        <f>SUM(C42:E42)</f>
        <v>3633749</v>
      </c>
      <c r="G42" s="8">
        <f>27186247-16000000</f>
        <v>11186247</v>
      </c>
      <c r="H42" s="8">
        <v>16000000</v>
      </c>
      <c r="I42" s="8">
        <v>0</v>
      </c>
      <c r="J42" s="8">
        <f>SUM(G42:I42)</f>
        <v>27186247</v>
      </c>
      <c r="K42" s="5">
        <f t="shared" si="7"/>
        <v>30819996</v>
      </c>
      <c r="L42" s="8">
        <f>1025265-250000-200000-40000-28000</f>
        <v>507265</v>
      </c>
      <c r="M42" s="8">
        <v>43684</v>
      </c>
      <c r="N42" s="8">
        <v>2865000</v>
      </c>
      <c r="O42" s="8">
        <f>SUM(L42:N42)</f>
        <v>3415949</v>
      </c>
      <c r="P42" s="8">
        <f>36183128-24433128</f>
        <v>11750000</v>
      </c>
      <c r="Q42" s="8">
        <v>24433128</v>
      </c>
      <c r="R42" s="8">
        <v>0</v>
      </c>
      <c r="S42" s="8">
        <f>SUM(P42:R42)</f>
        <v>36183128</v>
      </c>
      <c r="T42" s="5">
        <f t="shared" si="41"/>
        <v>39599077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5">
        <f t="shared" si="8"/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5">
        <f t="shared" si="9"/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5">
        <v>0</v>
      </c>
      <c r="AU42" s="5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5">
        <v>0</v>
      </c>
      <c r="BD42" s="5">
        <v>0</v>
      </c>
    </row>
    <row r="43" spans="1:56" ht="16.5">
      <c r="A43" s="9" t="s">
        <v>81</v>
      </c>
      <c r="B43" s="10" t="s">
        <v>82</v>
      </c>
      <c r="C43" s="8">
        <f>1012633-506493</f>
        <v>506140</v>
      </c>
      <c r="D43" s="8">
        <v>1105771</v>
      </c>
      <c r="E43" s="8">
        <v>566748</v>
      </c>
      <c r="F43" s="8">
        <f>SUM(C43:E43)</f>
        <v>2178659</v>
      </c>
      <c r="G43" s="8">
        <v>80000</v>
      </c>
      <c r="H43" s="8">
        <v>0</v>
      </c>
      <c r="I43" s="8">
        <v>0</v>
      </c>
      <c r="J43" s="8">
        <f>SUM(G43:I43)</f>
        <v>80000</v>
      </c>
      <c r="K43" s="5">
        <f t="shared" si="7"/>
        <v>2258659</v>
      </c>
      <c r="L43" s="8">
        <f>1012633-506493-150000-15426</f>
        <v>340714</v>
      </c>
      <c r="M43" s="8">
        <v>1105771</v>
      </c>
      <c r="N43" s="8">
        <v>560748</v>
      </c>
      <c r="O43" s="8">
        <f>SUM(L43:N43)</f>
        <v>2007233</v>
      </c>
      <c r="P43" s="8">
        <v>50000</v>
      </c>
      <c r="Q43" s="8">
        <v>0</v>
      </c>
      <c r="R43" s="8">
        <v>0</v>
      </c>
      <c r="S43" s="8">
        <f>SUM(P43:R43)</f>
        <v>50000</v>
      </c>
      <c r="T43" s="5">
        <f t="shared" si="41"/>
        <v>2057233</v>
      </c>
      <c r="U43" s="8">
        <v>1178745</v>
      </c>
      <c r="V43" s="8">
        <v>1730348</v>
      </c>
      <c r="W43" s="8">
        <v>0</v>
      </c>
      <c r="X43" s="8">
        <f>SUM(U43:W43)</f>
        <v>2909093</v>
      </c>
      <c r="Y43" s="8">
        <v>96802</v>
      </c>
      <c r="Z43" s="8">
        <v>0</v>
      </c>
      <c r="AA43" s="8">
        <v>0</v>
      </c>
      <c r="AB43" s="8">
        <f>SUM(Y43:AA43)</f>
        <v>96802</v>
      </c>
      <c r="AC43" s="5">
        <f t="shared" si="8"/>
        <v>3005895</v>
      </c>
      <c r="AD43" s="8">
        <v>1219096</v>
      </c>
      <c r="AE43" s="8">
        <v>1446566</v>
      </c>
      <c r="AF43" s="8">
        <v>0</v>
      </c>
      <c r="AG43" s="8">
        <f>SUM(AD43:AF43)</f>
        <v>2665662</v>
      </c>
      <c r="AH43" s="8">
        <v>0</v>
      </c>
      <c r="AI43" s="8"/>
      <c r="AJ43" s="8"/>
      <c r="AK43" s="8">
        <f>SUM(AH43:AJ43)</f>
        <v>0</v>
      </c>
      <c r="AL43" s="5">
        <f t="shared" si="9"/>
        <v>2665662</v>
      </c>
      <c r="AM43" s="8">
        <v>1219096</v>
      </c>
      <c r="AN43" s="8">
        <v>1543056</v>
      </c>
      <c r="AO43" s="8">
        <v>0</v>
      </c>
      <c r="AP43" s="8">
        <f>SUM(AM43:AO43)</f>
        <v>2762152</v>
      </c>
      <c r="AQ43" s="8">
        <v>0</v>
      </c>
      <c r="AR43" s="8"/>
      <c r="AS43" s="8"/>
      <c r="AT43" s="5">
        <f t="shared" ref="AT43:AT52" si="52">AQ43+AR43+AS43</f>
        <v>0</v>
      </c>
      <c r="AU43" s="5">
        <f t="shared" si="11"/>
        <v>2762152</v>
      </c>
      <c r="AV43" s="8">
        <v>1219096</v>
      </c>
      <c r="AW43" s="8">
        <v>1543056</v>
      </c>
      <c r="AX43" s="8">
        <v>0</v>
      </c>
      <c r="AY43" s="8">
        <f>SUM(AV43:AX43)</f>
        <v>2762152</v>
      </c>
      <c r="AZ43" s="8">
        <v>0</v>
      </c>
      <c r="BA43" s="8"/>
      <c r="BB43" s="8"/>
      <c r="BC43" s="5">
        <f t="shared" si="12"/>
        <v>0</v>
      </c>
      <c r="BD43" s="5">
        <f t="shared" si="13"/>
        <v>2762152</v>
      </c>
    </row>
    <row r="44" spans="1:56" ht="16.5">
      <c r="A44" s="53" t="s">
        <v>83</v>
      </c>
      <c r="B44" s="54"/>
      <c r="C44" s="5">
        <f>SUM(C45:C47)</f>
        <v>3282230</v>
      </c>
      <c r="D44" s="5">
        <f t="shared" ref="D44:J44" si="53">SUM(D45:D47)</f>
        <v>1998314</v>
      </c>
      <c r="E44" s="5">
        <f t="shared" si="53"/>
        <v>3086000</v>
      </c>
      <c r="F44" s="5">
        <f t="shared" si="53"/>
        <v>8366544</v>
      </c>
      <c r="G44" s="5">
        <f t="shared" si="53"/>
        <v>494000</v>
      </c>
      <c r="H44" s="5">
        <f t="shared" si="53"/>
        <v>0</v>
      </c>
      <c r="I44" s="5">
        <f t="shared" si="53"/>
        <v>0</v>
      </c>
      <c r="J44" s="5">
        <f t="shared" si="53"/>
        <v>494000</v>
      </c>
      <c r="K44" s="5">
        <f t="shared" si="7"/>
        <v>8860544</v>
      </c>
      <c r="L44" s="5">
        <f>SUM(L45:L47)</f>
        <v>1734130</v>
      </c>
      <c r="M44" s="5">
        <f>SUM(M45:M47)</f>
        <v>1998314</v>
      </c>
      <c r="N44" s="5">
        <f t="shared" ref="N44:S44" si="54">SUM(N45:N47)</f>
        <v>3186000</v>
      </c>
      <c r="O44" s="5">
        <f t="shared" si="54"/>
        <v>6918444</v>
      </c>
      <c r="P44" s="5">
        <f t="shared" si="54"/>
        <v>300000</v>
      </c>
      <c r="Q44" s="5">
        <f t="shared" si="54"/>
        <v>0</v>
      </c>
      <c r="R44" s="5">
        <f t="shared" si="54"/>
        <v>0</v>
      </c>
      <c r="S44" s="5">
        <f t="shared" si="54"/>
        <v>300000</v>
      </c>
      <c r="T44" s="5">
        <f t="shared" si="41"/>
        <v>7218444</v>
      </c>
      <c r="U44" s="5">
        <f>SUM(U45:U47)</f>
        <v>2913800</v>
      </c>
      <c r="V44" s="5">
        <f>SUM(V45:V47)</f>
        <v>1787820</v>
      </c>
      <c r="W44" s="5">
        <f t="shared" ref="W44:AB44" si="55">SUM(W45:W47)</f>
        <v>2304270</v>
      </c>
      <c r="X44" s="5">
        <f t="shared" si="55"/>
        <v>7005890</v>
      </c>
      <c r="Y44" s="5">
        <f t="shared" si="55"/>
        <v>450000</v>
      </c>
      <c r="Z44" s="5">
        <f t="shared" si="55"/>
        <v>0</v>
      </c>
      <c r="AA44" s="5">
        <f t="shared" si="55"/>
        <v>0</v>
      </c>
      <c r="AB44" s="5">
        <f t="shared" si="55"/>
        <v>450000</v>
      </c>
      <c r="AC44" s="5">
        <f t="shared" si="8"/>
        <v>7455890</v>
      </c>
      <c r="AD44" s="5">
        <f>SUM(AD45:AD47)</f>
        <v>1757705</v>
      </c>
      <c r="AE44" s="5">
        <f>SUM(AE45:AE47)</f>
        <v>3652088</v>
      </c>
      <c r="AF44" s="5">
        <f t="shared" ref="AF44:AK44" si="56">SUM(AF45:AF47)</f>
        <v>1253000</v>
      </c>
      <c r="AG44" s="5">
        <f t="shared" si="56"/>
        <v>6662793</v>
      </c>
      <c r="AH44" s="5">
        <f t="shared" si="56"/>
        <v>400000</v>
      </c>
      <c r="AI44" s="5">
        <f t="shared" si="56"/>
        <v>165000</v>
      </c>
      <c r="AJ44" s="5">
        <f t="shared" si="56"/>
        <v>0</v>
      </c>
      <c r="AK44" s="5">
        <f t="shared" si="56"/>
        <v>565000</v>
      </c>
      <c r="AL44" s="5">
        <f t="shared" si="9"/>
        <v>7227793</v>
      </c>
      <c r="AM44" s="5">
        <f>SUM(AM45:AM47)</f>
        <v>1757705</v>
      </c>
      <c r="AN44" s="5">
        <f t="shared" ref="AN44:AS44" si="57">SUM(AN45:AN47)</f>
        <v>3399979</v>
      </c>
      <c r="AO44" s="5">
        <f t="shared" si="57"/>
        <v>1489943</v>
      </c>
      <c r="AP44" s="5">
        <f t="shared" si="57"/>
        <v>6647627</v>
      </c>
      <c r="AQ44" s="5">
        <f t="shared" si="57"/>
        <v>250000</v>
      </c>
      <c r="AR44" s="5">
        <f t="shared" si="57"/>
        <v>165000</v>
      </c>
      <c r="AS44" s="5">
        <f t="shared" si="57"/>
        <v>0</v>
      </c>
      <c r="AT44" s="5">
        <f t="shared" si="52"/>
        <v>415000</v>
      </c>
      <c r="AU44" s="5">
        <f t="shared" si="11"/>
        <v>7062627</v>
      </c>
      <c r="AV44" s="5">
        <f>SUM(AV45:AV47)</f>
        <v>1757705</v>
      </c>
      <c r="AW44" s="5">
        <f t="shared" ref="AW44:BB44" si="58">SUM(AW45:AW47)</f>
        <v>3415145</v>
      </c>
      <c r="AX44" s="5">
        <f t="shared" si="58"/>
        <v>1420304</v>
      </c>
      <c r="AY44" s="5">
        <f t="shared" si="58"/>
        <v>6593154</v>
      </c>
      <c r="AZ44" s="5">
        <f t="shared" si="58"/>
        <v>250000</v>
      </c>
      <c r="BA44" s="5">
        <f t="shared" si="58"/>
        <v>165000</v>
      </c>
      <c r="BB44" s="5">
        <f t="shared" si="58"/>
        <v>0</v>
      </c>
      <c r="BC44" s="5">
        <f t="shared" si="12"/>
        <v>415000</v>
      </c>
      <c r="BD44" s="5">
        <f t="shared" si="13"/>
        <v>7008154</v>
      </c>
    </row>
    <row r="45" spans="1:56" ht="33">
      <c r="A45" s="6" t="s">
        <v>84</v>
      </c>
      <c r="B45" s="10" t="s">
        <v>85</v>
      </c>
      <c r="C45" s="8">
        <v>2426905</v>
      </c>
      <c r="D45" s="8">
        <f>2426905-788697</f>
        <v>1638208</v>
      </c>
      <c r="E45" s="8">
        <f>1274908-278908</f>
        <v>996000</v>
      </c>
      <c r="F45" s="8">
        <f>SUM(C45:E45)</f>
        <v>5061113</v>
      </c>
      <c r="G45" s="8">
        <f>648000-180000</f>
        <v>468000</v>
      </c>
      <c r="H45" s="8">
        <v>0</v>
      </c>
      <c r="I45" s="8">
        <v>0</v>
      </c>
      <c r="J45" s="8">
        <f>SUM(G45:I45)</f>
        <v>468000</v>
      </c>
      <c r="K45" s="5">
        <f t="shared" si="7"/>
        <v>5529113</v>
      </c>
      <c r="L45" s="8">
        <v>863677</v>
      </c>
      <c r="M45" s="8">
        <f>2426905-788697</f>
        <v>1638208</v>
      </c>
      <c r="N45" s="8">
        <v>946000</v>
      </c>
      <c r="O45" s="8">
        <f>SUM(L45:N45)</f>
        <v>3447885</v>
      </c>
      <c r="P45" s="8">
        <f>637000-337000-26000</f>
        <v>274000</v>
      </c>
      <c r="Q45" s="8"/>
      <c r="R45" s="8"/>
      <c r="S45" s="8">
        <f>SUM(P45:R45)</f>
        <v>274000</v>
      </c>
      <c r="T45" s="5">
        <f t="shared" si="41"/>
        <v>3721885</v>
      </c>
      <c r="U45" s="8">
        <v>2058687</v>
      </c>
      <c r="V45" s="8">
        <v>904677</v>
      </c>
      <c r="W45" s="8">
        <v>975413</v>
      </c>
      <c r="X45" s="8">
        <f>SUM(U45:W45)</f>
        <v>3938777</v>
      </c>
      <c r="Y45" s="8">
        <v>423000</v>
      </c>
      <c r="Z45" s="8"/>
      <c r="AA45" s="8"/>
      <c r="AB45" s="8">
        <f>SUM(Y45:AA45)</f>
        <v>423000</v>
      </c>
      <c r="AC45" s="5">
        <f t="shared" si="8"/>
        <v>4361777</v>
      </c>
      <c r="AD45" s="8">
        <v>854474</v>
      </c>
      <c r="AE45" s="8">
        <v>2525058</v>
      </c>
      <c r="AF45" s="8">
        <v>478000</v>
      </c>
      <c r="AG45" s="8">
        <f>SUM(AD45:AF45)</f>
        <v>3857532</v>
      </c>
      <c r="AH45" s="8">
        <v>373000</v>
      </c>
      <c r="AI45" s="8">
        <v>0</v>
      </c>
      <c r="AJ45" s="8">
        <v>0</v>
      </c>
      <c r="AK45" s="8">
        <f>SUM(AH45:AJ45)</f>
        <v>373000</v>
      </c>
      <c r="AL45" s="5">
        <f t="shared" si="9"/>
        <v>4230532</v>
      </c>
      <c r="AM45" s="8">
        <v>854474</v>
      </c>
      <c r="AN45" s="8">
        <v>2272949</v>
      </c>
      <c r="AO45" s="8">
        <v>714943</v>
      </c>
      <c r="AP45" s="8">
        <f>SUM(AM45:AO45)</f>
        <v>3842366</v>
      </c>
      <c r="AQ45" s="8">
        <v>223000</v>
      </c>
      <c r="AR45" s="8">
        <v>0</v>
      </c>
      <c r="AS45" s="8">
        <v>0</v>
      </c>
      <c r="AT45" s="5">
        <f t="shared" si="52"/>
        <v>223000</v>
      </c>
      <c r="AU45" s="5">
        <f t="shared" si="11"/>
        <v>4065366</v>
      </c>
      <c r="AV45" s="8">
        <v>854474</v>
      </c>
      <c r="AW45" s="8">
        <v>2288115</v>
      </c>
      <c r="AX45" s="8">
        <v>645304</v>
      </c>
      <c r="AY45" s="8">
        <f>SUM(AV45:AX45)</f>
        <v>3787893</v>
      </c>
      <c r="AZ45" s="8">
        <v>223000</v>
      </c>
      <c r="BA45" s="8">
        <v>0</v>
      </c>
      <c r="BB45" s="8">
        <v>0</v>
      </c>
      <c r="BC45" s="5">
        <f t="shared" si="12"/>
        <v>223000</v>
      </c>
      <c r="BD45" s="5">
        <f t="shared" si="13"/>
        <v>4010893</v>
      </c>
    </row>
    <row r="46" spans="1:56" ht="16.5">
      <c r="A46" s="6" t="s">
        <v>86</v>
      </c>
      <c r="B46" s="10" t="s">
        <v>87</v>
      </c>
      <c r="C46" s="25">
        <v>160317</v>
      </c>
      <c r="D46" s="8">
        <v>75000</v>
      </c>
      <c r="E46" s="8">
        <f>1230000-100000</f>
        <v>1130000</v>
      </c>
      <c r="F46" s="8">
        <f>SUM(C46:E46)</f>
        <v>1365317</v>
      </c>
      <c r="G46" s="8">
        <v>0</v>
      </c>
      <c r="H46" s="8">
        <v>0</v>
      </c>
      <c r="I46" s="8">
        <v>0</v>
      </c>
      <c r="J46" s="8">
        <f>SUM(G46:I46)</f>
        <v>0</v>
      </c>
      <c r="K46" s="5">
        <f t="shared" si="7"/>
        <v>1365317</v>
      </c>
      <c r="L46" s="24">
        <v>177138</v>
      </c>
      <c r="M46" s="8">
        <v>75000</v>
      </c>
      <c r="N46" s="8">
        <v>1248000</v>
      </c>
      <c r="O46" s="8">
        <f>SUM(L46:N46)</f>
        <v>1500138</v>
      </c>
      <c r="P46" s="8">
        <v>0</v>
      </c>
      <c r="Q46" s="8"/>
      <c r="R46" s="8"/>
      <c r="S46" s="8">
        <f>SUM(P46:R46)</f>
        <v>0</v>
      </c>
      <c r="T46" s="5">
        <f t="shared" si="41"/>
        <v>1500138</v>
      </c>
      <c r="U46" s="30">
        <v>171934</v>
      </c>
      <c r="V46" s="8">
        <v>350000</v>
      </c>
      <c r="W46" s="8">
        <v>675000</v>
      </c>
      <c r="X46" s="8">
        <f>SUM(U46:W46)</f>
        <v>1196934</v>
      </c>
      <c r="Y46" s="8">
        <v>0</v>
      </c>
      <c r="Z46" s="8"/>
      <c r="AA46" s="8"/>
      <c r="AB46" s="8">
        <f>SUM(Y46:AA46)</f>
        <v>0</v>
      </c>
      <c r="AC46" s="5">
        <f t="shared" si="8"/>
        <v>1196934</v>
      </c>
      <c r="AD46" s="30">
        <v>155411</v>
      </c>
      <c r="AE46" s="8">
        <v>450000</v>
      </c>
      <c r="AF46" s="8">
        <v>300000</v>
      </c>
      <c r="AG46" s="8">
        <f>SUM(AD46:AF46)</f>
        <v>905411</v>
      </c>
      <c r="AH46" s="8">
        <v>0</v>
      </c>
      <c r="AI46" s="8">
        <v>0</v>
      </c>
      <c r="AJ46" s="8">
        <v>0</v>
      </c>
      <c r="AK46" s="8">
        <f>SUM(AH46:AJ46)</f>
        <v>0</v>
      </c>
      <c r="AL46" s="5">
        <f t="shared" si="9"/>
        <v>905411</v>
      </c>
      <c r="AM46" s="30">
        <v>155411</v>
      </c>
      <c r="AN46" s="8">
        <v>450000</v>
      </c>
      <c r="AO46" s="8">
        <v>300000</v>
      </c>
      <c r="AP46" s="8">
        <f>SUM(AM46:AO46)</f>
        <v>905411</v>
      </c>
      <c r="AQ46" s="8">
        <v>0</v>
      </c>
      <c r="AR46" s="8">
        <v>0</v>
      </c>
      <c r="AS46" s="8">
        <v>0</v>
      </c>
      <c r="AT46" s="5">
        <f t="shared" si="52"/>
        <v>0</v>
      </c>
      <c r="AU46" s="5">
        <f t="shared" si="11"/>
        <v>905411</v>
      </c>
      <c r="AV46" s="30">
        <v>155411</v>
      </c>
      <c r="AW46" s="8">
        <v>450000</v>
      </c>
      <c r="AX46" s="8">
        <v>300000</v>
      </c>
      <c r="AY46" s="8">
        <f>SUM(AV46:AX46)</f>
        <v>905411</v>
      </c>
      <c r="AZ46" s="8">
        <v>0</v>
      </c>
      <c r="BA46" s="8">
        <v>0</v>
      </c>
      <c r="BB46" s="8">
        <v>0</v>
      </c>
      <c r="BC46" s="5">
        <f t="shared" si="12"/>
        <v>0</v>
      </c>
      <c r="BD46" s="5">
        <f t="shared" si="13"/>
        <v>905411</v>
      </c>
    </row>
    <row r="47" spans="1:56" ht="33">
      <c r="A47" s="9" t="s">
        <v>88</v>
      </c>
      <c r="B47" s="10" t="s">
        <v>89</v>
      </c>
      <c r="C47" s="8">
        <v>695008</v>
      </c>
      <c r="D47" s="8">
        <v>285106</v>
      </c>
      <c r="E47" s="8">
        <v>960000</v>
      </c>
      <c r="F47" s="8">
        <f>SUM(C47:E47)</f>
        <v>1940114</v>
      </c>
      <c r="G47" s="8">
        <v>26000</v>
      </c>
      <c r="H47" s="8">
        <v>0</v>
      </c>
      <c r="I47" s="8">
        <v>0</v>
      </c>
      <c r="J47" s="8">
        <f>SUM(G47:I47)</f>
        <v>26000</v>
      </c>
      <c r="K47" s="5">
        <f t="shared" si="7"/>
        <v>1966114</v>
      </c>
      <c r="L47" s="8">
        <v>693315</v>
      </c>
      <c r="M47" s="8">
        <v>285106</v>
      </c>
      <c r="N47" s="8">
        <v>992000</v>
      </c>
      <c r="O47" s="8">
        <f>SUM(L47:N47)</f>
        <v>1970421</v>
      </c>
      <c r="P47" s="8">
        <v>26000</v>
      </c>
      <c r="Q47" s="8"/>
      <c r="R47" s="8"/>
      <c r="S47" s="8">
        <f>SUM(P47:R47)</f>
        <v>26000</v>
      </c>
      <c r="T47" s="5">
        <f t="shared" si="41"/>
        <v>1996421</v>
      </c>
      <c r="U47" s="8">
        <v>683179</v>
      </c>
      <c r="V47" s="8">
        <v>533143</v>
      </c>
      <c r="W47" s="8">
        <v>653857</v>
      </c>
      <c r="X47" s="8">
        <f>SUM(U47:W47)</f>
        <v>1870179</v>
      </c>
      <c r="Y47" s="8">
        <v>27000</v>
      </c>
      <c r="Z47" s="8"/>
      <c r="AA47" s="8"/>
      <c r="AB47" s="8">
        <f>SUM(Y47:AA47)</f>
        <v>27000</v>
      </c>
      <c r="AC47" s="5">
        <f t="shared" si="8"/>
        <v>1897179</v>
      </c>
      <c r="AD47" s="8">
        <v>747820</v>
      </c>
      <c r="AE47" s="8">
        <v>677030</v>
      </c>
      <c r="AF47" s="8">
        <v>475000</v>
      </c>
      <c r="AG47" s="8">
        <f>SUM(AD47:AF47)</f>
        <v>1899850</v>
      </c>
      <c r="AH47" s="8">
        <v>27000</v>
      </c>
      <c r="AI47" s="47">
        <v>165000</v>
      </c>
      <c r="AJ47" s="8">
        <v>0</v>
      </c>
      <c r="AK47" s="8">
        <f>SUM(AH47:AJ47)</f>
        <v>192000</v>
      </c>
      <c r="AL47" s="5">
        <f t="shared" si="9"/>
        <v>2091850</v>
      </c>
      <c r="AM47" s="8">
        <v>747820</v>
      </c>
      <c r="AN47" s="8">
        <v>677030</v>
      </c>
      <c r="AO47" s="8">
        <v>475000</v>
      </c>
      <c r="AP47" s="8">
        <f>SUM(AM47:AO47)</f>
        <v>1899850</v>
      </c>
      <c r="AQ47" s="8">
        <v>27000</v>
      </c>
      <c r="AR47" s="47">
        <v>165000</v>
      </c>
      <c r="AS47" s="8">
        <v>0</v>
      </c>
      <c r="AT47" s="5">
        <f t="shared" si="52"/>
        <v>192000</v>
      </c>
      <c r="AU47" s="5">
        <f t="shared" si="11"/>
        <v>2091850</v>
      </c>
      <c r="AV47" s="8">
        <v>747820</v>
      </c>
      <c r="AW47" s="8">
        <v>677030</v>
      </c>
      <c r="AX47" s="8">
        <v>475000</v>
      </c>
      <c r="AY47" s="8">
        <f>SUM(AV47:AX47)</f>
        <v>1899850</v>
      </c>
      <c r="AZ47" s="8">
        <v>27000</v>
      </c>
      <c r="BA47" s="47">
        <v>165000</v>
      </c>
      <c r="BB47" s="8">
        <v>0</v>
      </c>
      <c r="BC47" s="5">
        <f t="shared" si="12"/>
        <v>192000</v>
      </c>
      <c r="BD47" s="5">
        <f t="shared" si="13"/>
        <v>2091850</v>
      </c>
    </row>
    <row r="48" spans="1:56" ht="16.5">
      <c r="A48" s="53" t="s">
        <v>90</v>
      </c>
      <c r="B48" s="54"/>
      <c r="C48" s="5">
        <f>SUM(C49:C51)</f>
        <v>23762288</v>
      </c>
      <c r="D48" s="5">
        <f t="shared" ref="D48:J48" si="59">SUM(D49:D51)</f>
        <v>7609611</v>
      </c>
      <c r="E48" s="5">
        <f t="shared" si="59"/>
        <v>17882392</v>
      </c>
      <c r="F48" s="5">
        <f t="shared" si="59"/>
        <v>49254291</v>
      </c>
      <c r="G48" s="5">
        <f t="shared" si="59"/>
        <v>6000000</v>
      </c>
      <c r="H48" s="5">
        <f t="shared" si="59"/>
        <v>6341475</v>
      </c>
      <c r="I48" s="5">
        <f t="shared" si="59"/>
        <v>7281400</v>
      </c>
      <c r="J48" s="5">
        <f t="shared" si="59"/>
        <v>19622875</v>
      </c>
      <c r="K48" s="5">
        <f t="shared" si="7"/>
        <v>68877166</v>
      </c>
      <c r="L48" s="5">
        <f>SUM(L49:L51)</f>
        <v>22277315</v>
      </c>
      <c r="M48" s="5">
        <f t="shared" ref="M48:S48" si="60">SUM(M49:M51)</f>
        <v>8304611</v>
      </c>
      <c r="N48" s="5">
        <f t="shared" si="60"/>
        <v>20187392</v>
      </c>
      <c r="O48" s="5">
        <f t="shared" si="60"/>
        <v>50769318</v>
      </c>
      <c r="P48" s="5">
        <f t="shared" si="60"/>
        <v>7637249</v>
      </c>
      <c r="Q48" s="5">
        <f t="shared" si="60"/>
        <v>4826084</v>
      </c>
      <c r="R48" s="5">
        <f t="shared" si="60"/>
        <v>377153</v>
      </c>
      <c r="S48" s="5">
        <f t="shared" si="60"/>
        <v>12840486</v>
      </c>
      <c r="T48" s="5">
        <f t="shared" si="41"/>
        <v>63609804</v>
      </c>
      <c r="U48" s="5">
        <f>SUM(U49:U51)</f>
        <v>24095900</v>
      </c>
      <c r="V48" s="5">
        <f t="shared" ref="V48:AB48" si="61">SUM(V49:V51)</f>
        <v>7183388</v>
      </c>
      <c r="W48" s="5">
        <f t="shared" si="61"/>
        <v>17391842</v>
      </c>
      <c r="X48" s="5">
        <f t="shared" si="61"/>
        <v>48671130</v>
      </c>
      <c r="Y48" s="5">
        <f t="shared" si="61"/>
        <v>32600000</v>
      </c>
      <c r="Z48" s="5">
        <f t="shared" si="61"/>
        <v>6000000</v>
      </c>
      <c r="AA48" s="5">
        <f t="shared" si="61"/>
        <v>22200690</v>
      </c>
      <c r="AB48" s="5">
        <f t="shared" si="61"/>
        <v>60800690</v>
      </c>
      <c r="AC48" s="5">
        <f t="shared" si="8"/>
        <v>109471820</v>
      </c>
      <c r="AD48" s="5">
        <f>SUM(AD49:AD51)</f>
        <v>24267045</v>
      </c>
      <c r="AE48" s="5">
        <f t="shared" ref="AE48:AK48" si="62">SUM(AE49:AE51)</f>
        <v>11407603</v>
      </c>
      <c r="AF48" s="5">
        <f t="shared" si="62"/>
        <v>17268300</v>
      </c>
      <c r="AG48" s="5">
        <f t="shared" si="62"/>
        <v>52942948</v>
      </c>
      <c r="AH48" s="5">
        <f t="shared" si="62"/>
        <v>15000000</v>
      </c>
      <c r="AI48" s="5">
        <f t="shared" si="62"/>
        <v>11249946</v>
      </c>
      <c r="AJ48" s="5">
        <f t="shared" si="62"/>
        <v>12669528</v>
      </c>
      <c r="AK48" s="5">
        <f t="shared" si="62"/>
        <v>38919474</v>
      </c>
      <c r="AL48" s="5">
        <f t="shared" si="9"/>
        <v>91862422</v>
      </c>
      <c r="AM48" s="5">
        <f>SUM(AM49:AM51)</f>
        <v>24267045</v>
      </c>
      <c r="AN48" s="5">
        <f t="shared" ref="AN48:AS48" si="63">SUM(AN49:AN51)</f>
        <v>11407603</v>
      </c>
      <c r="AO48" s="5">
        <f t="shared" si="63"/>
        <v>17268300</v>
      </c>
      <c r="AP48" s="5">
        <f t="shared" si="63"/>
        <v>52942948</v>
      </c>
      <c r="AQ48" s="5">
        <f t="shared" si="63"/>
        <v>11000000</v>
      </c>
      <c r="AR48" s="5">
        <f t="shared" si="63"/>
        <v>3000000</v>
      </c>
      <c r="AS48" s="5">
        <f t="shared" si="63"/>
        <v>9000000</v>
      </c>
      <c r="AT48" s="5">
        <f t="shared" si="52"/>
        <v>23000000</v>
      </c>
      <c r="AU48" s="5">
        <f t="shared" si="11"/>
        <v>75942948</v>
      </c>
      <c r="AV48" s="5">
        <f>SUM(AV49:AV51)</f>
        <v>24267045</v>
      </c>
      <c r="AW48" s="5">
        <f t="shared" ref="AW48:BB48" si="64">SUM(AW49:AW51)</f>
        <v>11407603</v>
      </c>
      <c r="AX48" s="5">
        <f t="shared" si="64"/>
        <v>17268300</v>
      </c>
      <c r="AY48" s="5">
        <f t="shared" si="64"/>
        <v>52942948</v>
      </c>
      <c r="AZ48" s="5">
        <f t="shared" si="64"/>
        <v>10000000</v>
      </c>
      <c r="BA48" s="5">
        <f t="shared" si="64"/>
        <v>3000000</v>
      </c>
      <c r="BB48" s="5">
        <f t="shared" si="64"/>
        <v>10000000</v>
      </c>
      <c r="BC48" s="5">
        <f t="shared" si="12"/>
        <v>23000000</v>
      </c>
      <c r="BD48" s="5">
        <f t="shared" si="13"/>
        <v>75942948</v>
      </c>
    </row>
    <row r="49" spans="1:56" ht="16.5">
      <c r="A49" s="6" t="s">
        <v>91</v>
      </c>
      <c r="B49" s="10" t="s">
        <v>92</v>
      </c>
      <c r="C49" s="8">
        <v>1371350</v>
      </c>
      <c r="D49" s="8">
        <f>2441500-700889</f>
        <v>1740611</v>
      </c>
      <c r="E49" s="8">
        <v>5752000</v>
      </c>
      <c r="F49" s="8">
        <f>SUM(C49:E49)</f>
        <v>8863961</v>
      </c>
      <c r="G49" s="8">
        <v>2857000</v>
      </c>
      <c r="H49" s="8">
        <f>200000+288000+445000+1034000+914000</f>
        <v>2881000</v>
      </c>
      <c r="I49" s="8">
        <v>1180475</v>
      </c>
      <c r="J49" s="8">
        <f>SUM(G49:I49)</f>
        <v>6918475</v>
      </c>
      <c r="K49" s="5">
        <f t="shared" si="7"/>
        <v>15782436</v>
      </c>
      <c r="L49" s="8">
        <f>2161400-85</f>
        <v>2161315</v>
      </c>
      <c r="M49" s="8">
        <v>1082400</v>
      </c>
      <c r="N49" s="8">
        <v>6275000</v>
      </c>
      <c r="O49" s="8">
        <f>SUM(L49:N49)</f>
        <v>9518715</v>
      </c>
      <c r="P49" s="8">
        <v>2327000</v>
      </c>
      <c r="Q49" s="8">
        <v>3081000</v>
      </c>
      <c r="R49" s="8"/>
      <c r="S49" s="8">
        <f>SUM(P49:R49)</f>
        <v>5408000</v>
      </c>
      <c r="T49" s="5">
        <f t="shared" si="41"/>
        <v>14926715</v>
      </c>
      <c r="U49" s="8">
        <v>2602644</v>
      </c>
      <c r="V49" s="8">
        <v>550000</v>
      </c>
      <c r="W49" s="8">
        <f>7117172-186559</f>
        <v>6930613</v>
      </c>
      <c r="X49" s="8">
        <f>SUM(U49:W49)</f>
        <v>10083257</v>
      </c>
      <c r="Y49" s="8">
        <v>13799223</v>
      </c>
      <c r="Z49" s="8">
        <f>1609000+1813220+445000+288000+200000+54000</f>
        <v>4409220</v>
      </c>
      <c r="AA49" s="8">
        <v>12100690</v>
      </c>
      <c r="AB49" s="8">
        <f>SUM(Y49:AA49)</f>
        <v>30309133</v>
      </c>
      <c r="AC49" s="5">
        <f t="shared" si="8"/>
        <v>40392390</v>
      </c>
      <c r="AD49" s="8">
        <v>2307888</v>
      </c>
      <c r="AE49" s="8">
        <v>357000</v>
      </c>
      <c r="AF49" s="8">
        <v>6633000</v>
      </c>
      <c r="AG49" s="8">
        <f>SUM(AD49:AF49)</f>
        <v>9297888</v>
      </c>
      <c r="AH49" s="8">
        <v>5752000</v>
      </c>
      <c r="AI49" s="8">
        <v>150000</v>
      </c>
      <c r="AJ49" s="8">
        <v>8694000</v>
      </c>
      <c r="AK49" s="8">
        <f>SUM(AH49:AJ49)</f>
        <v>14596000</v>
      </c>
      <c r="AL49" s="5">
        <f t="shared" si="9"/>
        <v>23893888</v>
      </c>
      <c r="AM49" s="8">
        <v>2307888</v>
      </c>
      <c r="AN49" s="8">
        <v>357000</v>
      </c>
      <c r="AO49" s="8">
        <v>6633000</v>
      </c>
      <c r="AP49" s="8">
        <f>SUM(AM49:AO49)</f>
        <v>9297888</v>
      </c>
      <c r="AQ49" s="8">
        <v>5752000</v>
      </c>
      <c r="AR49" s="8">
        <v>150000</v>
      </c>
      <c r="AS49" s="8">
        <v>9000000</v>
      </c>
      <c r="AT49" s="5">
        <f t="shared" si="52"/>
        <v>14902000</v>
      </c>
      <c r="AU49" s="5">
        <f t="shared" si="11"/>
        <v>24199888</v>
      </c>
      <c r="AV49" s="8">
        <v>2307888</v>
      </c>
      <c r="AW49" s="8">
        <v>357000</v>
      </c>
      <c r="AX49" s="8">
        <v>6633000</v>
      </c>
      <c r="AY49" s="8">
        <f>SUM(AV49:AX49)</f>
        <v>9297888</v>
      </c>
      <c r="AZ49" s="8">
        <v>4752000</v>
      </c>
      <c r="BA49" s="8">
        <v>150000</v>
      </c>
      <c r="BB49" s="8">
        <v>10000000</v>
      </c>
      <c r="BC49" s="5">
        <f t="shared" si="12"/>
        <v>14902000</v>
      </c>
      <c r="BD49" s="5">
        <f t="shared" si="13"/>
        <v>24199888</v>
      </c>
    </row>
    <row r="50" spans="1:56" ht="16.5">
      <c r="A50" s="6" t="s">
        <v>93</v>
      </c>
      <c r="B50" s="10" t="s">
        <v>94</v>
      </c>
      <c r="C50" s="8">
        <v>616200</v>
      </c>
      <c r="D50" s="8">
        <v>131000</v>
      </c>
      <c r="E50" s="8">
        <f>6695000-1460608</f>
        <v>5234392</v>
      </c>
      <c r="F50" s="8">
        <f>SUM(C50:E50)</f>
        <v>5981592</v>
      </c>
      <c r="G50" s="8">
        <f>80000+100000+70000+150000+93000+1000000</f>
        <v>1493000</v>
      </c>
      <c r="H50" s="8">
        <f>580000+1500000+200000-373925</f>
        <v>1906075</v>
      </c>
      <c r="I50" s="8">
        <v>4079925</v>
      </c>
      <c r="J50" s="8">
        <f>SUM(G50:I50)</f>
        <v>7479000</v>
      </c>
      <c r="K50" s="5">
        <f t="shared" si="7"/>
        <v>13460592</v>
      </c>
      <c r="L50" s="8">
        <v>679000</v>
      </c>
      <c r="M50" s="8">
        <v>1117211</v>
      </c>
      <c r="N50" s="8">
        <v>7568392</v>
      </c>
      <c r="O50" s="8">
        <f>SUM(L50:N50)</f>
        <v>9364603</v>
      </c>
      <c r="P50" s="8">
        <v>3830249</v>
      </c>
      <c r="Q50" s="8">
        <v>1165084</v>
      </c>
      <c r="R50" s="8">
        <v>377153</v>
      </c>
      <c r="S50" s="8">
        <f>SUM(P50:R50)</f>
        <v>5372486</v>
      </c>
      <c r="T50" s="5">
        <f t="shared" si="41"/>
        <v>14737089</v>
      </c>
      <c r="U50" s="8">
        <v>1909086</v>
      </c>
      <c r="V50" s="8">
        <v>395000</v>
      </c>
      <c r="W50" s="8">
        <v>5354367</v>
      </c>
      <c r="X50" s="8">
        <f>SUM(U50:W50)</f>
        <v>7658453</v>
      </c>
      <c r="Y50" s="8">
        <v>8516777</v>
      </c>
      <c r="Z50" s="8">
        <f>400000+1190780</f>
        <v>1590780</v>
      </c>
      <c r="AA50" s="8">
        <v>10100000</v>
      </c>
      <c r="AB50" s="8">
        <f>SUM(Y50:AA50)</f>
        <v>20207557</v>
      </c>
      <c r="AC50" s="5">
        <f t="shared" si="8"/>
        <v>27866010</v>
      </c>
      <c r="AD50" s="8">
        <v>1206535</v>
      </c>
      <c r="AE50" s="8">
        <v>105000</v>
      </c>
      <c r="AF50" s="8">
        <v>7900000</v>
      </c>
      <c r="AG50" s="8">
        <f>SUM(AD50:AF50)</f>
        <v>9211535</v>
      </c>
      <c r="AH50" s="8">
        <v>8580000</v>
      </c>
      <c r="AI50" s="47">
        <v>11099946</v>
      </c>
      <c r="AJ50" s="8">
        <v>3975528</v>
      </c>
      <c r="AK50" s="8">
        <f>SUM(AH50:AJ50)</f>
        <v>23655474</v>
      </c>
      <c r="AL50" s="5">
        <f t="shared" si="9"/>
        <v>32867009</v>
      </c>
      <c r="AM50" s="8">
        <v>1206535</v>
      </c>
      <c r="AN50" s="8">
        <v>105000</v>
      </c>
      <c r="AO50" s="8">
        <v>7900000</v>
      </c>
      <c r="AP50" s="8">
        <f>SUM(AM50:AO50)</f>
        <v>9211535</v>
      </c>
      <c r="AQ50" s="8">
        <v>4580000</v>
      </c>
      <c r="AR50" s="47">
        <v>2850000</v>
      </c>
      <c r="AS50" s="8">
        <v>0</v>
      </c>
      <c r="AT50" s="5">
        <f t="shared" si="52"/>
        <v>7430000</v>
      </c>
      <c r="AU50" s="5">
        <f t="shared" si="11"/>
        <v>16641535</v>
      </c>
      <c r="AV50" s="8">
        <v>1206535</v>
      </c>
      <c r="AW50" s="8">
        <v>105000</v>
      </c>
      <c r="AX50" s="8">
        <v>7900000</v>
      </c>
      <c r="AY50" s="8">
        <f>SUM(AV50:AX50)</f>
        <v>9211535</v>
      </c>
      <c r="AZ50" s="8">
        <v>4580000</v>
      </c>
      <c r="BA50" s="47">
        <v>2850000</v>
      </c>
      <c r="BB50" s="8">
        <v>0</v>
      </c>
      <c r="BC50" s="5">
        <f t="shared" si="12"/>
        <v>7430000</v>
      </c>
      <c r="BD50" s="5">
        <f t="shared" si="13"/>
        <v>16641535</v>
      </c>
    </row>
    <row r="51" spans="1:56" ht="33">
      <c r="A51" s="6" t="s">
        <v>95</v>
      </c>
      <c r="B51" s="10" t="s">
        <v>96</v>
      </c>
      <c r="C51" s="8">
        <f>24032000-2257262</f>
        <v>21774738</v>
      </c>
      <c r="D51" s="8">
        <v>5738000</v>
      </c>
      <c r="E51" s="8">
        <v>6896000</v>
      </c>
      <c r="F51" s="8">
        <f>SUM(C51:E51)</f>
        <v>34408738</v>
      </c>
      <c r="G51" s="8">
        <v>1650000</v>
      </c>
      <c r="H51" s="8">
        <v>1554400</v>
      </c>
      <c r="I51" s="8">
        <v>2021000</v>
      </c>
      <c r="J51" s="8">
        <f>SUM(G51:I51)</f>
        <v>5225400</v>
      </c>
      <c r="K51" s="5">
        <f t="shared" si="7"/>
        <v>39634138</v>
      </c>
      <c r="L51" s="8">
        <v>19437000</v>
      </c>
      <c r="M51" s="8">
        <v>6105000</v>
      </c>
      <c r="N51" s="8">
        <v>6344000</v>
      </c>
      <c r="O51" s="8">
        <f>SUM(L51:N51)</f>
        <v>31886000</v>
      </c>
      <c r="P51" s="8">
        <v>1480000</v>
      </c>
      <c r="Q51" s="8">
        <v>580000</v>
      </c>
      <c r="R51" s="8"/>
      <c r="S51" s="8">
        <f>SUM(P51:R51)</f>
        <v>2060000</v>
      </c>
      <c r="T51" s="5">
        <f t="shared" si="41"/>
        <v>33946000</v>
      </c>
      <c r="U51" s="8">
        <v>19584170</v>
      </c>
      <c r="V51" s="8">
        <v>6238388</v>
      </c>
      <c r="W51" s="8">
        <v>5106862</v>
      </c>
      <c r="X51" s="8">
        <f>SUM(U51:W51)</f>
        <v>30929420</v>
      </c>
      <c r="Y51" s="8">
        <v>10284000</v>
      </c>
      <c r="Z51" s="8">
        <v>0</v>
      </c>
      <c r="AA51" s="8"/>
      <c r="AB51" s="8">
        <f>SUM(Y51:AA51)</f>
        <v>10284000</v>
      </c>
      <c r="AC51" s="5">
        <f t="shared" si="8"/>
        <v>41213420</v>
      </c>
      <c r="AD51" s="8">
        <v>20752622</v>
      </c>
      <c r="AE51" s="8">
        <v>10945603</v>
      </c>
      <c r="AF51" s="8">
        <v>2735300</v>
      </c>
      <c r="AG51" s="8">
        <f>SUM(AD51:AF51)</f>
        <v>34433525</v>
      </c>
      <c r="AH51" s="8">
        <v>668000</v>
      </c>
      <c r="AI51" s="8">
        <v>0</v>
      </c>
      <c r="AJ51" s="8"/>
      <c r="AK51" s="8">
        <f>SUM(AH51:AJ51)</f>
        <v>668000</v>
      </c>
      <c r="AL51" s="5">
        <f t="shared" si="9"/>
        <v>35101525</v>
      </c>
      <c r="AM51" s="8">
        <v>20752622</v>
      </c>
      <c r="AN51" s="8">
        <v>10945603</v>
      </c>
      <c r="AO51" s="8">
        <v>2735300</v>
      </c>
      <c r="AP51" s="8">
        <f>SUM(AM51:AO51)</f>
        <v>34433525</v>
      </c>
      <c r="AQ51" s="8">
        <v>668000</v>
      </c>
      <c r="AR51" s="8">
        <v>0</v>
      </c>
      <c r="AS51" s="8"/>
      <c r="AT51" s="5">
        <f t="shared" si="52"/>
        <v>668000</v>
      </c>
      <c r="AU51" s="5">
        <f t="shared" si="11"/>
        <v>35101525</v>
      </c>
      <c r="AV51" s="8">
        <v>20752622</v>
      </c>
      <c r="AW51" s="8">
        <v>10945603</v>
      </c>
      <c r="AX51" s="8">
        <v>2735300</v>
      </c>
      <c r="AY51" s="8">
        <f>SUM(AV51:AX51)</f>
        <v>34433525</v>
      </c>
      <c r="AZ51" s="8">
        <v>668000</v>
      </c>
      <c r="BA51" s="8">
        <v>0</v>
      </c>
      <c r="BB51" s="8"/>
      <c r="BC51" s="5">
        <f t="shared" si="12"/>
        <v>668000</v>
      </c>
      <c r="BD51" s="5">
        <f t="shared" si="13"/>
        <v>35101525</v>
      </c>
    </row>
    <row r="52" spans="1:56" ht="16.5">
      <c r="A52" s="53" t="s">
        <v>97</v>
      </c>
      <c r="B52" s="54"/>
      <c r="C52" s="5">
        <f>SUM(C53:C56)</f>
        <v>24284776</v>
      </c>
      <c r="D52" s="5">
        <f t="shared" ref="D52:J52" si="65">SUM(D53:D56)</f>
        <v>1567708</v>
      </c>
      <c r="E52" s="5">
        <f t="shared" si="65"/>
        <v>24630292</v>
      </c>
      <c r="F52" s="5">
        <f t="shared" si="65"/>
        <v>50482776</v>
      </c>
      <c r="G52" s="5">
        <f t="shared" si="65"/>
        <v>32000000</v>
      </c>
      <c r="H52" s="5">
        <f t="shared" si="65"/>
        <v>0</v>
      </c>
      <c r="I52" s="5">
        <f t="shared" si="65"/>
        <v>3500000</v>
      </c>
      <c r="J52" s="5">
        <f t="shared" si="65"/>
        <v>35500000</v>
      </c>
      <c r="K52" s="5">
        <f t="shared" si="7"/>
        <v>85982776</v>
      </c>
      <c r="L52" s="5">
        <f>SUM(L53:L56)</f>
        <v>26527011</v>
      </c>
      <c r="M52" s="5">
        <f t="shared" ref="M52:S52" si="66">SUM(M53:M56)</f>
        <v>1567708</v>
      </c>
      <c r="N52" s="5">
        <f t="shared" si="66"/>
        <v>24630292</v>
      </c>
      <c r="O52" s="5">
        <f t="shared" si="66"/>
        <v>52725011</v>
      </c>
      <c r="P52" s="5">
        <f t="shared" si="66"/>
        <v>4000000</v>
      </c>
      <c r="Q52" s="5">
        <f t="shared" si="66"/>
        <v>0</v>
      </c>
      <c r="R52" s="5">
        <f t="shared" si="66"/>
        <v>4249744</v>
      </c>
      <c r="S52" s="5">
        <f t="shared" si="66"/>
        <v>8249744</v>
      </c>
      <c r="T52" s="5">
        <f t="shared" si="41"/>
        <v>60974755</v>
      </c>
      <c r="U52" s="5">
        <f>SUM(U53:U56)</f>
        <v>28031000</v>
      </c>
      <c r="V52" s="5">
        <f t="shared" ref="V52:AB52" si="67">SUM(V53:V56)</f>
        <v>890425</v>
      </c>
      <c r="W52" s="5">
        <f t="shared" si="67"/>
        <v>14764642</v>
      </c>
      <c r="X52" s="5">
        <f t="shared" si="67"/>
        <v>43686067</v>
      </c>
      <c r="Y52" s="5">
        <f t="shared" si="67"/>
        <v>11500000</v>
      </c>
      <c r="Z52" s="5">
        <f t="shared" si="67"/>
        <v>0</v>
      </c>
      <c r="AA52" s="5">
        <f t="shared" si="67"/>
        <v>2500000</v>
      </c>
      <c r="AB52" s="5">
        <f t="shared" si="67"/>
        <v>14000000</v>
      </c>
      <c r="AC52" s="5">
        <f t="shared" si="8"/>
        <v>57686067</v>
      </c>
      <c r="AD52" s="5">
        <f>SUM(AD53:AD56)</f>
        <v>27765295</v>
      </c>
      <c r="AE52" s="5">
        <f t="shared" ref="AE52:AK52" si="68">SUM(AE53:AE56)</f>
        <v>3585168</v>
      </c>
      <c r="AF52" s="5">
        <f t="shared" si="68"/>
        <v>21164000</v>
      </c>
      <c r="AG52" s="5">
        <f t="shared" si="68"/>
        <v>52514463</v>
      </c>
      <c r="AH52" s="5">
        <f t="shared" si="68"/>
        <v>17000000</v>
      </c>
      <c r="AI52" s="5">
        <f t="shared" si="68"/>
        <v>0</v>
      </c>
      <c r="AJ52" s="5">
        <f t="shared" si="68"/>
        <v>5732502</v>
      </c>
      <c r="AK52" s="5">
        <f t="shared" si="68"/>
        <v>22732502</v>
      </c>
      <c r="AL52" s="5">
        <f t="shared" si="9"/>
        <v>75246965</v>
      </c>
      <c r="AM52" s="5">
        <f>SUM(AM53:AM56)</f>
        <v>27765295</v>
      </c>
      <c r="AN52" s="5">
        <f t="shared" ref="AN52:AS52" si="69">SUM(AN53:AN56)</f>
        <v>3515168</v>
      </c>
      <c r="AO52" s="5">
        <f t="shared" si="69"/>
        <v>21234000</v>
      </c>
      <c r="AP52" s="5">
        <f t="shared" si="69"/>
        <v>52514463</v>
      </c>
      <c r="AQ52" s="5">
        <f t="shared" si="69"/>
        <v>12000000</v>
      </c>
      <c r="AR52" s="5">
        <f t="shared" si="69"/>
        <v>0</v>
      </c>
      <c r="AS52" s="5">
        <f t="shared" si="69"/>
        <v>5000000</v>
      </c>
      <c r="AT52" s="5">
        <f t="shared" si="52"/>
        <v>17000000</v>
      </c>
      <c r="AU52" s="5">
        <f t="shared" si="11"/>
        <v>69514463</v>
      </c>
      <c r="AV52" s="5">
        <f>SUM(AV53:AV56)</f>
        <v>27765295</v>
      </c>
      <c r="AW52" s="5">
        <f t="shared" ref="AW52:BB52" si="70">SUM(AW53:AW56)</f>
        <v>3515168</v>
      </c>
      <c r="AX52" s="5">
        <f t="shared" si="70"/>
        <v>21234000</v>
      </c>
      <c r="AY52" s="5">
        <f t="shared" si="70"/>
        <v>52514463</v>
      </c>
      <c r="AZ52" s="5">
        <f t="shared" si="70"/>
        <v>12000000</v>
      </c>
      <c r="BA52" s="5">
        <f t="shared" si="70"/>
        <v>0</v>
      </c>
      <c r="BB52" s="5">
        <f t="shared" si="70"/>
        <v>5000000</v>
      </c>
      <c r="BC52" s="5">
        <f t="shared" si="12"/>
        <v>17000000</v>
      </c>
      <c r="BD52" s="5">
        <f t="shared" si="13"/>
        <v>69514463</v>
      </c>
    </row>
    <row r="53" spans="1:56" ht="33">
      <c r="A53" s="6" t="s">
        <v>98</v>
      </c>
      <c r="B53" s="7" t="s">
        <v>99</v>
      </c>
      <c r="C53" s="8">
        <v>2893445</v>
      </c>
      <c r="D53" s="8">
        <v>1192417</v>
      </c>
      <c r="E53" s="8">
        <v>2311642</v>
      </c>
      <c r="F53" s="8">
        <f>C53+D53+E53</f>
        <v>6397504</v>
      </c>
      <c r="G53" s="8">
        <f>1100000</f>
        <v>1100000</v>
      </c>
      <c r="H53" s="8">
        <v>0</v>
      </c>
      <c r="I53" s="8"/>
      <c r="J53" s="8">
        <f>SUM(G53:I53)</f>
        <v>1100000</v>
      </c>
      <c r="K53" s="5">
        <f t="shared" si="7"/>
        <v>7497504</v>
      </c>
      <c r="L53" s="8">
        <v>2893445</v>
      </c>
      <c r="M53" s="8">
        <v>1192417</v>
      </c>
      <c r="N53" s="8">
        <v>2311642</v>
      </c>
      <c r="O53" s="8">
        <f>L53+M53+N53</f>
        <v>6397504</v>
      </c>
      <c r="P53" s="8">
        <f>465000</f>
        <v>465000</v>
      </c>
      <c r="Q53" s="8">
        <v>0</v>
      </c>
      <c r="R53" s="8">
        <v>0</v>
      </c>
      <c r="S53" s="8">
        <f>SUM(P53:R53)</f>
        <v>465000</v>
      </c>
      <c r="T53" s="5">
        <f t="shared" si="41"/>
        <v>6862504</v>
      </c>
      <c r="U53" s="8">
        <v>611412</v>
      </c>
      <c r="V53" s="8">
        <v>505950</v>
      </c>
      <c r="W53" s="8">
        <v>1863777</v>
      </c>
      <c r="X53" s="8">
        <f>U53+V53+W53</f>
        <v>2981139</v>
      </c>
      <c r="Y53" s="8">
        <v>0</v>
      </c>
      <c r="Z53" s="8">
        <v>0</v>
      </c>
      <c r="AA53" s="8">
        <v>0</v>
      </c>
      <c r="AB53" s="8">
        <f>SUM(Y53:AA53)</f>
        <v>0</v>
      </c>
      <c r="AC53" s="5">
        <f t="shared" si="8"/>
        <v>2981139</v>
      </c>
      <c r="AD53" s="8">
        <v>3920090</v>
      </c>
      <c r="AE53" s="8">
        <v>2951668</v>
      </c>
      <c r="AF53" s="8">
        <v>0</v>
      </c>
      <c r="AG53" s="8">
        <f>AD53+AE53+AF53</f>
        <v>6871758</v>
      </c>
      <c r="AH53" s="8">
        <v>0</v>
      </c>
      <c r="AI53" s="8">
        <v>0</v>
      </c>
      <c r="AJ53" s="8">
        <v>0</v>
      </c>
      <c r="AK53" s="8">
        <f>SUM(AH53:AJ53)</f>
        <v>0</v>
      </c>
      <c r="AL53" s="5">
        <f t="shared" si="9"/>
        <v>6871758</v>
      </c>
      <c r="AM53" s="8">
        <v>3920090</v>
      </c>
      <c r="AN53" s="8">
        <v>2951668</v>
      </c>
      <c r="AO53" s="8">
        <v>0</v>
      </c>
      <c r="AP53" s="8">
        <f>AM53+AN53+AO53</f>
        <v>6871758</v>
      </c>
      <c r="AQ53" s="8">
        <v>0</v>
      </c>
      <c r="AR53" s="8">
        <v>0</v>
      </c>
      <c r="AS53" s="8">
        <v>0</v>
      </c>
      <c r="AT53" s="8">
        <f>SUM(AQ53:AS53)</f>
        <v>0</v>
      </c>
      <c r="AU53" s="5">
        <f t="shared" si="11"/>
        <v>6871758</v>
      </c>
      <c r="AV53" s="8">
        <v>3920090</v>
      </c>
      <c r="AW53" s="8">
        <v>2951668</v>
      </c>
      <c r="AX53" s="8">
        <v>0</v>
      </c>
      <c r="AY53" s="8">
        <f>AV53+AW53+AX53</f>
        <v>6871758</v>
      </c>
      <c r="AZ53" s="8">
        <v>0</v>
      </c>
      <c r="BA53" s="8">
        <v>0</v>
      </c>
      <c r="BB53" s="8">
        <v>0</v>
      </c>
      <c r="BC53" s="8">
        <f>SUM(AZ53:BB53)</f>
        <v>0</v>
      </c>
      <c r="BD53" s="5">
        <f t="shared" si="13"/>
        <v>6871758</v>
      </c>
    </row>
    <row r="54" spans="1:56" ht="16.5">
      <c r="A54" s="6" t="s">
        <v>100</v>
      </c>
      <c r="B54" s="7" t="s">
        <v>101</v>
      </c>
      <c r="C54" s="8">
        <v>20886831</v>
      </c>
      <c r="D54" s="8">
        <v>316083</v>
      </c>
      <c r="E54" s="8">
        <v>8817650</v>
      </c>
      <c r="F54" s="8">
        <f>SUM(C54:E54)</f>
        <v>30020564</v>
      </c>
      <c r="G54" s="8">
        <f>100000</f>
        <v>100000</v>
      </c>
      <c r="H54" s="8">
        <v>0</v>
      </c>
      <c r="I54" s="8">
        <f>1000000</f>
        <v>1000000</v>
      </c>
      <c r="J54" s="8">
        <f>SUM(G54:I54)</f>
        <v>1100000</v>
      </c>
      <c r="K54" s="5">
        <f t="shared" si="7"/>
        <v>31120564</v>
      </c>
      <c r="L54" s="8">
        <v>23129066</v>
      </c>
      <c r="M54" s="8">
        <v>316083</v>
      </c>
      <c r="N54" s="8">
        <v>8817650</v>
      </c>
      <c r="O54" s="8">
        <f>SUM(L54:N54)</f>
        <v>32262799</v>
      </c>
      <c r="P54" s="8">
        <v>0</v>
      </c>
      <c r="Q54" s="8">
        <v>0</v>
      </c>
      <c r="R54" s="8">
        <v>0</v>
      </c>
      <c r="S54" s="8">
        <f>SUM(P54:R54)</f>
        <v>0</v>
      </c>
      <c r="T54" s="5">
        <f t="shared" si="41"/>
        <v>32262799</v>
      </c>
      <c r="U54" s="8">
        <v>23810845</v>
      </c>
      <c r="V54" s="8">
        <v>321050</v>
      </c>
      <c r="W54" s="8">
        <v>6758000</v>
      </c>
      <c r="X54" s="8">
        <f>SUM(U54:W54)</f>
        <v>30889895</v>
      </c>
      <c r="Y54" s="8">
        <v>11180000</v>
      </c>
      <c r="Z54" s="8">
        <v>0</v>
      </c>
      <c r="AA54" s="8">
        <v>1500000</v>
      </c>
      <c r="AB54" s="8">
        <f>SUM(Y54:AA54)</f>
        <v>12680000</v>
      </c>
      <c r="AC54" s="5">
        <f t="shared" si="8"/>
        <v>43569895</v>
      </c>
      <c r="AD54" s="8">
        <v>23411623</v>
      </c>
      <c r="AE54" s="8">
        <v>473100</v>
      </c>
      <c r="AF54" s="8">
        <v>5754000</v>
      </c>
      <c r="AG54" s="8">
        <f>SUM(AD54:AF54)</f>
        <v>29638723</v>
      </c>
      <c r="AH54" s="8">
        <v>16744500</v>
      </c>
      <c r="AJ54" s="47">
        <v>4500000</v>
      </c>
      <c r="AK54" s="8">
        <f>SUM(AH54:AJ54)</f>
        <v>21244500</v>
      </c>
      <c r="AL54" s="5">
        <f t="shared" si="9"/>
        <v>50883223</v>
      </c>
      <c r="AM54" s="8">
        <v>23411623</v>
      </c>
      <c r="AN54" s="8">
        <v>403100</v>
      </c>
      <c r="AO54" s="8">
        <v>5824000</v>
      </c>
      <c r="AP54" s="8">
        <f>SUM(AM54:AO54)</f>
        <v>29638723</v>
      </c>
      <c r="AQ54" s="8">
        <v>11744500</v>
      </c>
      <c r="AS54" s="47">
        <v>4000000</v>
      </c>
      <c r="AT54" s="8">
        <f>SUM(AQ54:AS54)</f>
        <v>15744500</v>
      </c>
      <c r="AU54" s="5">
        <f t="shared" si="11"/>
        <v>45383223</v>
      </c>
      <c r="AV54" s="8">
        <v>23411623</v>
      </c>
      <c r="AW54" s="8">
        <v>403100</v>
      </c>
      <c r="AX54" s="8">
        <v>5824000</v>
      </c>
      <c r="AY54" s="8">
        <f>SUM(AV54:AX54)</f>
        <v>29638723</v>
      </c>
      <c r="AZ54" s="8">
        <v>11744500</v>
      </c>
      <c r="BB54" s="47">
        <v>4000000</v>
      </c>
      <c r="BC54" s="8">
        <f>SUM(AZ54:BB54)</f>
        <v>15744500</v>
      </c>
      <c r="BD54" s="5">
        <f t="shared" si="13"/>
        <v>45383223</v>
      </c>
    </row>
    <row r="55" spans="1:56" ht="33">
      <c r="A55" s="6" t="s">
        <v>102</v>
      </c>
      <c r="B55" s="7" t="s">
        <v>103</v>
      </c>
      <c r="C55" s="8">
        <v>412357</v>
      </c>
      <c r="D55" s="8">
        <v>32708</v>
      </c>
      <c r="E55" s="8">
        <v>818000</v>
      </c>
      <c r="F55" s="8">
        <f>SUM(C55:E55)</f>
        <v>1263065</v>
      </c>
      <c r="G55" s="8">
        <f>100000+25000000</f>
        <v>25100000</v>
      </c>
      <c r="H55" s="8">
        <v>0</v>
      </c>
      <c r="I55" s="8">
        <f>400000</f>
        <v>400000</v>
      </c>
      <c r="J55" s="8">
        <f>SUM(G55:I55)</f>
        <v>25500000</v>
      </c>
      <c r="K55" s="5">
        <f t="shared" si="7"/>
        <v>26763065</v>
      </c>
      <c r="L55" s="8">
        <v>412357</v>
      </c>
      <c r="M55" s="8">
        <v>32708</v>
      </c>
      <c r="N55" s="8">
        <v>818000</v>
      </c>
      <c r="O55" s="8">
        <f>SUM(L55:N55)</f>
        <v>1263065</v>
      </c>
      <c r="P55" s="8">
        <v>0</v>
      </c>
      <c r="Q55" s="8">
        <v>0</v>
      </c>
      <c r="R55" s="8">
        <v>0</v>
      </c>
      <c r="S55" s="8">
        <f>SUM(P55:R55)</f>
        <v>0</v>
      </c>
      <c r="T55" s="5">
        <f t="shared" si="41"/>
        <v>1263065</v>
      </c>
      <c r="U55" s="8">
        <v>3446554</v>
      </c>
      <c r="V55" s="8">
        <v>30425</v>
      </c>
      <c r="W55" s="8">
        <v>749000</v>
      </c>
      <c r="X55" s="8">
        <f>SUM(U55:W55)</f>
        <v>4225979</v>
      </c>
      <c r="Y55" s="8"/>
      <c r="Z55" s="8">
        <v>0</v>
      </c>
      <c r="AA55" s="8">
        <v>0</v>
      </c>
      <c r="AB55" s="8">
        <f>SUM(Y55:AA55)</f>
        <v>0</v>
      </c>
      <c r="AC55" s="5">
        <f t="shared" si="8"/>
        <v>4225979</v>
      </c>
      <c r="AD55" s="8">
        <v>312409</v>
      </c>
      <c r="AE55" s="8">
        <v>56900</v>
      </c>
      <c r="AF55" s="8">
        <v>675000</v>
      </c>
      <c r="AG55" s="8">
        <f>SUM(AD55:AF55)</f>
        <v>1044309</v>
      </c>
      <c r="AH55" s="8">
        <v>0</v>
      </c>
      <c r="AI55" s="8">
        <v>0</v>
      </c>
      <c r="AJ55" s="8">
        <v>0</v>
      </c>
      <c r="AK55" s="8">
        <f>SUM(AH55:AJ55)</f>
        <v>0</v>
      </c>
      <c r="AL55" s="5">
        <f t="shared" si="9"/>
        <v>1044309</v>
      </c>
      <c r="AM55" s="8">
        <v>312409</v>
      </c>
      <c r="AN55" s="8">
        <v>56900</v>
      </c>
      <c r="AO55" s="8">
        <v>675000</v>
      </c>
      <c r="AP55" s="8">
        <f>SUM(AM55:AO55)</f>
        <v>1044309</v>
      </c>
      <c r="AQ55" s="8">
        <v>0</v>
      </c>
      <c r="AR55" s="8">
        <v>0</v>
      </c>
      <c r="AS55" s="8">
        <v>0</v>
      </c>
      <c r="AT55" s="8">
        <f>SUM(AQ55:AS55)</f>
        <v>0</v>
      </c>
      <c r="AU55" s="5">
        <f t="shared" si="11"/>
        <v>1044309</v>
      </c>
      <c r="AV55" s="8">
        <v>312409</v>
      </c>
      <c r="AW55" s="8">
        <v>56900</v>
      </c>
      <c r="AX55" s="8">
        <v>675000</v>
      </c>
      <c r="AY55" s="8">
        <f>SUM(AV55:AX55)</f>
        <v>1044309</v>
      </c>
      <c r="AZ55" s="8">
        <v>0</v>
      </c>
      <c r="BA55" s="8">
        <v>0</v>
      </c>
      <c r="BB55" s="8">
        <v>0</v>
      </c>
      <c r="BC55" s="8">
        <f>SUM(AZ55:BB55)</f>
        <v>0</v>
      </c>
      <c r="BD55" s="5">
        <f t="shared" si="13"/>
        <v>1044309</v>
      </c>
    </row>
    <row r="56" spans="1:56" ht="16.5">
      <c r="A56" s="9" t="s">
        <v>104</v>
      </c>
      <c r="B56" s="7" t="s">
        <v>105</v>
      </c>
      <c r="C56" s="8">
        <v>92143</v>
      </c>
      <c r="D56" s="8">
        <v>26500</v>
      </c>
      <c r="E56" s="8">
        <v>12683000</v>
      </c>
      <c r="F56" s="8">
        <f>SUM(C56:E56)</f>
        <v>12801643</v>
      </c>
      <c r="G56" s="8">
        <f>700000+1500000+2500000+1000000</f>
        <v>5700000</v>
      </c>
      <c r="H56" s="8">
        <v>0</v>
      </c>
      <c r="I56" s="8">
        <f>1000000+1100000</f>
        <v>2100000</v>
      </c>
      <c r="J56" s="8">
        <f>SUM(G56:I56)</f>
        <v>7800000</v>
      </c>
      <c r="K56" s="5">
        <f t="shared" si="7"/>
        <v>20601643</v>
      </c>
      <c r="L56" s="8">
        <v>92143</v>
      </c>
      <c r="M56" s="8">
        <v>26500</v>
      </c>
      <c r="N56" s="8">
        <v>12683000</v>
      </c>
      <c r="O56" s="8">
        <f>SUM(L56:N56)</f>
        <v>12801643</v>
      </c>
      <c r="P56" s="8">
        <f>180000+30000+1000000+2000000+325000</f>
        <v>3535000</v>
      </c>
      <c r="Q56" s="8">
        <v>0</v>
      </c>
      <c r="R56" s="8">
        <f>1500000+700000+2049744</f>
        <v>4249744</v>
      </c>
      <c r="S56" s="8">
        <f>SUM(P56:R56)</f>
        <v>7784744</v>
      </c>
      <c r="T56" s="5">
        <f t="shared" si="41"/>
        <v>20586387</v>
      </c>
      <c r="U56" s="8">
        <v>162189</v>
      </c>
      <c r="V56" s="8">
        <v>33000</v>
      </c>
      <c r="W56" s="8">
        <v>5393865</v>
      </c>
      <c r="X56" s="8">
        <f>SUM(U56:W56)</f>
        <v>5589054</v>
      </c>
      <c r="Y56" s="8">
        <v>320000</v>
      </c>
      <c r="Z56" s="8">
        <v>0</v>
      </c>
      <c r="AA56" s="8">
        <v>1000000</v>
      </c>
      <c r="AB56" s="8">
        <f>SUM(Y56:AA56)</f>
        <v>1320000</v>
      </c>
      <c r="AC56" s="5">
        <f t="shared" si="8"/>
        <v>6909054</v>
      </c>
      <c r="AD56" s="8">
        <v>121173</v>
      </c>
      <c r="AE56" s="8">
        <v>103500</v>
      </c>
      <c r="AF56" s="8">
        <v>14735000</v>
      </c>
      <c r="AG56" s="8">
        <f>SUM(AD56:AF56)</f>
        <v>14959673</v>
      </c>
      <c r="AH56" s="8">
        <v>255500</v>
      </c>
      <c r="AI56" s="8">
        <v>0</v>
      </c>
      <c r="AJ56" s="8">
        <v>1232502</v>
      </c>
      <c r="AK56" s="8">
        <f>SUM(AH56:AJ56)</f>
        <v>1488002</v>
      </c>
      <c r="AL56" s="5">
        <f t="shared" si="9"/>
        <v>16447675</v>
      </c>
      <c r="AM56" s="8">
        <v>121173</v>
      </c>
      <c r="AN56" s="8">
        <v>103500</v>
      </c>
      <c r="AO56" s="8">
        <v>14735000</v>
      </c>
      <c r="AP56" s="8">
        <f>SUM(AM56:AO56)</f>
        <v>14959673</v>
      </c>
      <c r="AQ56" s="8">
        <v>255500</v>
      </c>
      <c r="AR56" s="8">
        <v>0</v>
      </c>
      <c r="AS56" s="8">
        <v>1000000</v>
      </c>
      <c r="AT56" s="8">
        <f>SUM(AQ56:AS56)</f>
        <v>1255500</v>
      </c>
      <c r="AU56" s="5">
        <f t="shared" si="11"/>
        <v>16215173</v>
      </c>
      <c r="AV56" s="8">
        <v>121173</v>
      </c>
      <c r="AW56" s="8">
        <v>103500</v>
      </c>
      <c r="AX56" s="8">
        <v>14735000</v>
      </c>
      <c r="AY56" s="8">
        <f>SUM(AV56:AX56)</f>
        <v>14959673</v>
      </c>
      <c r="AZ56" s="8">
        <v>255500</v>
      </c>
      <c r="BA56" s="8">
        <v>0</v>
      </c>
      <c r="BB56" s="8">
        <v>1000000</v>
      </c>
      <c r="BC56" s="8">
        <f>SUM(AZ56:BB56)</f>
        <v>1255500</v>
      </c>
      <c r="BD56" s="5">
        <f t="shared" si="13"/>
        <v>16215173</v>
      </c>
    </row>
    <row r="57" spans="1:56" ht="16.5" customHeight="1">
      <c r="A57" s="66" t="s">
        <v>106</v>
      </c>
      <c r="B57" s="67"/>
      <c r="C57" s="5">
        <f>SUM(C58:C61)</f>
        <v>57376554</v>
      </c>
      <c r="D57" s="5">
        <f t="shared" ref="D57:J57" si="71">SUM(D58:D61)</f>
        <v>3781392</v>
      </c>
      <c r="E57" s="5">
        <f t="shared" si="71"/>
        <v>6659608</v>
      </c>
      <c r="F57" s="5">
        <f t="shared" si="71"/>
        <v>67817554</v>
      </c>
      <c r="G57" s="5">
        <f t="shared" si="71"/>
        <v>3000000</v>
      </c>
      <c r="H57" s="5">
        <f t="shared" si="71"/>
        <v>2430000</v>
      </c>
      <c r="I57" s="5">
        <f t="shared" si="71"/>
        <v>3857027</v>
      </c>
      <c r="J57" s="5">
        <f t="shared" si="71"/>
        <v>9287027</v>
      </c>
      <c r="K57" s="5">
        <f t="shared" si="7"/>
        <v>77104581</v>
      </c>
      <c r="L57" s="5">
        <f>SUM(L58:L61)</f>
        <v>59090732</v>
      </c>
      <c r="M57" s="5">
        <f t="shared" ref="M57:S57" si="72">SUM(M58:M61)</f>
        <v>4086392</v>
      </c>
      <c r="N57" s="5">
        <f t="shared" si="72"/>
        <v>6354608</v>
      </c>
      <c r="O57" s="5">
        <f t="shared" si="72"/>
        <v>69531732</v>
      </c>
      <c r="P57" s="5">
        <f t="shared" si="72"/>
        <v>1500000</v>
      </c>
      <c r="Q57" s="5">
        <f t="shared" si="72"/>
        <v>2310000</v>
      </c>
      <c r="R57" s="5">
        <f t="shared" si="72"/>
        <v>1665000</v>
      </c>
      <c r="S57" s="5">
        <f t="shared" si="72"/>
        <v>5475000</v>
      </c>
      <c r="T57" s="5">
        <f t="shared" si="41"/>
        <v>75006732</v>
      </c>
      <c r="U57" s="5">
        <f>SUM(U58:U61)</f>
        <v>64033100</v>
      </c>
      <c r="V57" s="5">
        <f t="shared" ref="V57:AB57" si="73">SUM(V58:V61)</f>
        <v>17740684</v>
      </c>
      <c r="W57" s="5">
        <f t="shared" si="73"/>
        <v>8650027</v>
      </c>
      <c r="X57" s="5">
        <f t="shared" si="73"/>
        <v>90423811</v>
      </c>
      <c r="Y57" s="5">
        <f t="shared" si="73"/>
        <v>3745000</v>
      </c>
      <c r="Z57" s="5">
        <f t="shared" si="73"/>
        <v>1386000</v>
      </c>
      <c r="AA57" s="5">
        <f t="shared" si="73"/>
        <v>3729357</v>
      </c>
      <c r="AB57" s="5">
        <f t="shared" si="73"/>
        <v>8860357</v>
      </c>
      <c r="AC57" s="5">
        <f t="shared" si="8"/>
        <v>99284168</v>
      </c>
      <c r="AD57" s="5">
        <f>SUM(AD58:AD61)</f>
        <v>64722502</v>
      </c>
      <c r="AE57" s="5">
        <f>SUM(AE58:AE61)</f>
        <v>26166988</v>
      </c>
      <c r="AF57" s="5">
        <f>SUM(AF58:AF61)</f>
        <v>5062487</v>
      </c>
      <c r="AG57" s="8">
        <f>AD57+AE57+AF57</f>
        <v>95951977</v>
      </c>
      <c r="AH57" s="5">
        <f>SUM(AH58:AH61)</f>
        <v>3761426</v>
      </c>
      <c r="AI57" s="5">
        <f>SUM(AI58:AI61)</f>
        <v>1745549</v>
      </c>
      <c r="AJ57" s="5">
        <f>SUM(AJ58:AJ61)</f>
        <v>6327298</v>
      </c>
      <c r="AK57" s="5">
        <f>SUM(AK58:AK61)</f>
        <v>11834273</v>
      </c>
      <c r="AL57" s="5">
        <f t="shared" si="9"/>
        <v>107786250</v>
      </c>
      <c r="AM57" s="5">
        <f>SUM(AM58:AM61)</f>
        <v>64722502</v>
      </c>
      <c r="AN57" s="5">
        <f t="shared" ref="AN57:AS57" si="74">SUM(AN58:AN61)</f>
        <v>22781329</v>
      </c>
      <c r="AO57" s="5">
        <f t="shared" si="74"/>
        <v>8616727</v>
      </c>
      <c r="AP57" s="5">
        <f t="shared" si="74"/>
        <v>96120558</v>
      </c>
      <c r="AQ57" s="5">
        <f t="shared" si="74"/>
        <v>3500000</v>
      </c>
      <c r="AR57" s="5">
        <f t="shared" si="74"/>
        <v>8000000</v>
      </c>
      <c r="AS57" s="5">
        <f t="shared" si="74"/>
        <v>1500000</v>
      </c>
      <c r="AT57" s="5">
        <f t="shared" ref="AT57:AT62" si="75">AQ57+AR57+AS57</f>
        <v>13000000</v>
      </c>
      <c r="AU57" s="5">
        <f t="shared" si="11"/>
        <v>109120558</v>
      </c>
      <c r="AV57" s="5">
        <f>SUM(AV58:AV61)</f>
        <v>64722502</v>
      </c>
      <c r="AW57" s="5">
        <f t="shared" ref="AW57:BB57" si="76">SUM(AW58:AW61)</f>
        <v>22824226</v>
      </c>
      <c r="AX57" s="5">
        <f t="shared" si="76"/>
        <v>8616727</v>
      </c>
      <c r="AY57" s="5">
        <f t="shared" si="76"/>
        <v>96163455</v>
      </c>
      <c r="AZ57" s="5">
        <f t="shared" si="76"/>
        <v>3000000</v>
      </c>
      <c r="BA57" s="5">
        <f t="shared" si="76"/>
        <v>8000000</v>
      </c>
      <c r="BB57" s="5">
        <f t="shared" si="76"/>
        <v>2000000</v>
      </c>
      <c r="BC57" s="5">
        <f t="shared" si="12"/>
        <v>13000000</v>
      </c>
      <c r="BD57" s="5">
        <f t="shared" si="13"/>
        <v>109163455</v>
      </c>
    </row>
    <row r="58" spans="1:56" ht="33">
      <c r="A58" s="6" t="s">
        <v>107</v>
      </c>
      <c r="B58" s="10" t="s">
        <v>108</v>
      </c>
      <c r="C58" s="8">
        <v>52075640</v>
      </c>
      <c r="D58" s="8">
        <v>2085111</v>
      </c>
      <c r="E58" s="8">
        <v>2084995</v>
      </c>
      <c r="F58" s="8">
        <f>SUM(C58:E58)</f>
        <v>56245746</v>
      </c>
      <c r="G58" s="8">
        <f>2257736+107090+85000</f>
        <v>2449826</v>
      </c>
      <c r="H58" s="8"/>
      <c r="I58" s="8"/>
      <c r="J58" s="8">
        <f>SUM(G58:I58)</f>
        <v>2449826</v>
      </c>
      <c r="K58" s="5">
        <f t="shared" si="7"/>
        <v>58695572</v>
      </c>
      <c r="L58" s="8">
        <v>53892362</v>
      </c>
      <c r="M58" s="8">
        <v>2374111</v>
      </c>
      <c r="N58" s="8">
        <v>1553795</v>
      </c>
      <c r="O58" s="8">
        <f>SUM(L58:N58)</f>
        <v>57820268</v>
      </c>
      <c r="P58" s="8">
        <v>85000</v>
      </c>
      <c r="Q58" s="8"/>
      <c r="R58" s="8"/>
      <c r="S58" s="8">
        <f>SUM(P58:R58)</f>
        <v>85000</v>
      </c>
      <c r="T58" s="5">
        <f t="shared" si="41"/>
        <v>57905268</v>
      </c>
      <c r="U58" s="8">
        <v>58627777</v>
      </c>
      <c r="V58" s="8">
        <f>2287551+2095851+10-2095861</f>
        <v>2287551</v>
      </c>
      <c r="W58" s="8">
        <v>1665198</v>
      </c>
      <c r="X58" s="8">
        <f>SUM(U58:W58)</f>
        <v>62580526</v>
      </c>
      <c r="Y58" s="8">
        <v>0</v>
      </c>
      <c r="Z58" s="8"/>
      <c r="AA58" s="8"/>
      <c r="AB58" s="8">
        <f>SUM(Y58:AA58)</f>
        <v>0</v>
      </c>
      <c r="AC58" s="5">
        <f t="shared" si="8"/>
        <v>62580526</v>
      </c>
      <c r="AD58" s="8">
        <v>59352345</v>
      </c>
      <c r="AE58" s="8">
        <v>22550449</v>
      </c>
      <c r="AF58" s="8">
        <v>1407749</v>
      </c>
      <c r="AG58" s="8">
        <f>SUM(AD58:AF58)</f>
        <v>83310543</v>
      </c>
      <c r="AH58" s="8">
        <v>0</v>
      </c>
      <c r="AI58" s="8">
        <v>0</v>
      </c>
      <c r="AJ58" s="8">
        <v>0</v>
      </c>
      <c r="AK58" s="8">
        <f>SUM(AH58:AJ58)</f>
        <v>0</v>
      </c>
      <c r="AL58" s="5">
        <f t="shared" si="9"/>
        <v>83310543</v>
      </c>
      <c r="AM58" s="8">
        <v>59352345</v>
      </c>
      <c r="AN58" s="8">
        <v>19164790</v>
      </c>
      <c r="AO58" s="8">
        <v>4700562</v>
      </c>
      <c r="AP58" s="8">
        <f>SUM(AM58:AO58)</f>
        <v>83217697</v>
      </c>
      <c r="AQ58" s="8">
        <v>0</v>
      </c>
      <c r="AR58" s="8">
        <v>0</v>
      </c>
      <c r="AS58" s="8">
        <v>0</v>
      </c>
      <c r="AT58" s="5">
        <f t="shared" si="75"/>
        <v>0</v>
      </c>
      <c r="AU58" s="5">
        <f t="shared" si="11"/>
        <v>83217697</v>
      </c>
      <c r="AV58" s="8">
        <v>59352345</v>
      </c>
      <c r="AW58" s="8">
        <v>19207687</v>
      </c>
      <c r="AX58" s="8">
        <v>4700562</v>
      </c>
      <c r="AY58" s="8">
        <f>SUM(AV58:AX58)</f>
        <v>83260594</v>
      </c>
      <c r="AZ58" s="8">
        <v>0</v>
      </c>
      <c r="BA58" s="8">
        <v>0</v>
      </c>
      <c r="BB58" s="8">
        <v>0</v>
      </c>
      <c r="BC58" s="5">
        <f t="shared" si="12"/>
        <v>0</v>
      </c>
      <c r="BD58" s="5">
        <f t="shared" si="13"/>
        <v>83260594</v>
      </c>
    </row>
    <row r="59" spans="1:56" ht="16.5">
      <c r="A59" s="6" t="s">
        <v>109</v>
      </c>
      <c r="B59" s="10" t="s">
        <v>110</v>
      </c>
      <c r="C59" s="8">
        <v>3163915</v>
      </c>
      <c r="D59" s="8">
        <f>1226281-106000</f>
        <v>1120281</v>
      </c>
      <c r="E59" s="8">
        <f>3015600-155000</f>
        <v>2860600</v>
      </c>
      <c r="F59" s="8">
        <f>SUM(C59:E59)</f>
        <v>7144796</v>
      </c>
      <c r="G59" s="8">
        <v>550174</v>
      </c>
      <c r="H59" s="8">
        <v>1927709</v>
      </c>
      <c r="I59" s="8">
        <v>2134121</v>
      </c>
      <c r="J59" s="8">
        <f>SUM(G59:I59)</f>
        <v>4612004</v>
      </c>
      <c r="K59" s="5">
        <f t="shared" si="7"/>
        <v>11756800</v>
      </c>
      <c r="L59" s="8">
        <v>3128040</v>
      </c>
      <c r="M59" s="8">
        <v>1186281</v>
      </c>
      <c r="N59" s="8">
        <f>2928600+209700</f>
        <v>3138300</v>
      </c>
      <c r="O59" s="8">
        <f>SUM(L59:N59)</f>
        <v>7452621</v>
      </c>
      <c r="P59" s="8">
        <v>622670</v>
      </c>
      <c r="Q59" s="8">
        <f>1751882+305997</f>
        <v>2057879</v>
      </c>
      <c r="R59" s="8">
        <v>1004445</v>
      </c>
      <c r="S59" s="8">
        <f>SUM(P59:R59)</f>
        <v>3684994</v>
      </c>
      <c r="T59" s="5">
        <f t="shared" si="41"/>
        <v>11137615</v>
      </c>
      <c r="U59" s="8">
        <v>3182354</v>
      </c>
      <c r="V59" s="8">
        <v>10922281</v>
      </c>
      <c r="W59" s="8">
        <v>5104807</v>
      </c>
      <c r="X59" s="8">
        <f>SUM(U59:W59)</f>
        <v>19209442</v>
      </c>
      <c r="Y59" s="8">
        <v>1832106</v>
      </c>
      <c r="Z59" s="8">
        <v>1336000</v>
      </c>
      <c r="AA59" s="8">
        <v>1465847</v>
      </c>
      <c r="AB59" s="8">
        <f>SUM(Y59:AA59)</f>
        <v>4633953</v>
      </c>
      <c r="AC59" s="5">
        <f t="shared" si="8"/>
        <v>23843395</v>
      </c>
      <c r="AD59" s="8">
        <v>3151013</v>
      </c>
      <c r="AE59" s="8">
        <v>1256348</v>
      </c>
      <c r="AF59" s="8">
        <v>3006227</v>
      </c>
      <c r="AG59" s="8">
        <f>SUM(AD59:AF59)</f>
        <v>7413588</v>
      </c>
      <c r="AH59" s="8">
        <v>1948532</v>
      </c>
      <c r="AI59" s="8">
        <v>1200000</v>
      </c>
      <c r="AJ59" s="8">
        <v>2032693</v>
      </c>
      <c r="AK59" s="8">
        <f>SUM(AH59:AJ59)</f>
        <v>5181225</v>
      </c>
      <c r="AL59" s="5">
        <f t="shared" si="9"/>
        <v>12594813</v>
      </c>
      <c r="AM59" s="8">
        <v>3151013</v>
      </c>
      <c r="AN59" s="8">
        <v>1256348</v>
      </c>
      <c r="AO59" s="8">
        <v>3267654</v>
      </c>
      <c r="AP59" s="8">
        <f>SUM(AM59:AO59)</f>
        <v>7675015</v>
      </c>
      <c r="AQ59" s="8">
        <v>1687106</v>
      </c>
      <c r="AR59" s="8">
        <v>6000000</v>
      </c>
      <c r="AS59" s="8">
        <v>0</v>
      </c>
      <c r="AT59" s="5">
        <f t="shared" si="75"/>
        <v>7687106</v>
      </c>
      <c r="AU59" s="5">
        <f t="shared" si="11"/>
        <v>15362121</v>
      </c>
      <c r="AV59" s="8">
        <v>3151013</v>
      </c>
      <c r="AW59" s="8">
        <v>1256348</v>
      </c>
      <c r="AX59" s="8">
        <v>3267654</v>
      </c>
      <c r="AY59" s="8">
        <f>SUM(AV59:AX59)</f>
        <v>7675015</v>
      </c>
      <c r="AZ59" s="8">
        <v>1437106</v>
      </c>
      <c r="BA59" s="8">
        <v>6000000</v>
      </c>
      <c r="BB59" s="8">
        <v>0</v>
      </c>
      <c r="BC59" s="5">
        <f t="shared" si="12"/>
        <v>7437106</v>
      </c>
      <c r="BD59" s="5">
        <f t="shared" si="13"/>
        <v>15112121</v>
      </c>
    </row>
    <row r="60" spans="1:56" ht="33">
      <c r="A60" s="6" t="s">
        <v>111</v>
      </c>
      <c r="B60" s="11" t="s">
        <v>112</v>
      </c>
      <c r="C60" s="8">
        <v>2080990</v>
      </c>
      <c r="D60" s="8">
        <v>554000</v>
      </c>
      <c r="E60" s="8">
        <v>1499022</v>
      </c>
      <c r="F60" s="8">
        <f>SUM(C60:E60)</f>
        <v>4134012</v>
      </c>
      <c r="G60" s="8">
        <v>0</v>
      </c>
      <c r="H60" s="8">
        <v>502291</v>
      </c>
      <c r="I60" s="8">
        <v>1722906</v>
      </c>
      <c r="J60" s="8">
        <f>SUM(G60:I60)</f>
        <v>2225197</v>
      </c>
      <c r="K60" s="5">
        <f t="shared" si="7"/>
        <v>6359209</v>
      </c>
      <c r="L60" s="8">
        <v>2016853</v>
      </c>
      <c r="M60" s="8">
        <v>504000</v>
      </c>
      <c r="N60" s="8">
        <v>1447522</v>
      </c>
      <c r="O60" s="8">
        <f>SUM(L60:N60)</f>
        <v>3968375</v>
      </c>
      <c r="P60" s="8">
        <v>663330</v>
      </c>
      <c r="Q60" s="8">
        <f>72121+180000</f>
        <v>252121</v>
      </c>
      <c r="R60" s="8">
        <v>660555</v>
      </c>
      <c r="S60" s="8">
        <f>SUM(P60:R60)</f>
        <v>1576006</v>
      </c>
      <c r="T60" s="5">
        <f t="shared" si="41"/>
        <v>5544381</v>
      </c>
      <c r="U60" s="8">
        <v>2110565</v>
      </c>
      <c r="V60" s="8">
        <v>4508852</v>
      </c>
      <c r="W60" s="8">
        <f>2285031-1000000</f>
        <v>1285031</v>
      </c>
      <c r="X60" s="8">
        <f>SUM(U60:W60)</f>
        <v>7904448</v>
      </c>
      <c r="Y60" s="8">
        <v>1912894</v>
      </c>
      <c r="Z60" s="8">
        <v>50000</v>
      </c>
      <c r="AA60" s="8">
        <v>2263510</v>
      </c>
      <c r="AB60" s="8">
        <f>SUM(Y60:AA60)</f>
        <v>4226404</v>
      </c>
      <c r="AC60" s="5">
        <f t="shared" si="8"/>
        <v>12130852</v>
      </c>
      <c r="AD60" s="8">
        <v>2102972</v>
      </c>
      <c r="AE60" s="8">
        <v>2070191</v>
      </c>
      <c r="AF60" s="8">
        <v>507171</v>
      </c>
      <c r="AG60" s="8">
        <f>SUM(AD60:AF60)</f>
        <v>4680334</v>
      </c>
      <c r="AH60" s="8">
        <v>1812894</v>
      </c>
      <c r="AI60" s="8">
        <v>545549</v>
      </c>
      <c r="AJ60" s="8">
        <v>4294605</v>
      </c>
      <c r="AK60" s="8">
        <f>SUM(AH60:AJ60)</f>
        <v>6653048</v>
      </c>
      <c r="AL60" s="5">
        <f t="shared" si="9"/>
        <v>11333382</v>
      </c>
      <c r="AM60" s="8">
        <v>2102972</v>
      </c>
      <c r="AN60" s="8">
        <v>2070191</v>
      </c>
      <c r="AO60" s="8">
        <v>507171</v>
      </c>
      <c r="AP60" s="8">
        <f>SUM(AM60:AO60)</f>
        <v>4680334</v>
      </c>
      <c r="AQ60" s="8">
        <v>1812894</v>
      </c>
      <c r="AR60" s="8">
        <v>2000000</v>
      </c>
      <c r="AS60" s="8">
        <v>1500000</v>
      </c>
      <c r="AT60" s="5">
        <f t="shared" si="75"/>
        <v>5312894</v>
      </c>
      <c r="AU60" s="5">
        <f t="shared" si="11"/>
        <v>9993228</v>
      </c>
      <c r="AV60" s="8">
        <v>2102972</v>
      </c>
      <c r="AW60" s="8">
        <v>2070191</v>
      </c>
      <c r="AX60" s="8">
        <v>507171</v>
      </c>
      <c r="AY60" s="8">
        <f>SUM(AV60:AX60)</f>
        <v>4680334</v>
      </c>
      <c r="AZ60" s="8">
        <v>1562894</v>
      </c>
      <c r="BA60" s="8">
        <v>2000000</v>
      </c>
      <c r="BB60" s="8">
        <v>2000000</v>
      </c>
      <c r="BC60" s="5">
        <f t="shared" si="12"/>
        <v>5562894</v>
      </c>
      <c r="BD60" s="5">
        <f t="shared" si="13"/>
        <v>10243228</v>
      </c>
    </row>
    <row r="61" spans="1:56" ht="33">
      <c r="A61" s="9" t="s">
        <v>113</v>
      </c>
      <c r="B61" s="11" t="s">
        <v>114</v>
      </c>
      <c r="C61" s="8">
        <v>56009</v>
      </c>
      <c r="D61" s="8">
        <v>22000</v>
      </c>
      <c r="E61" s="8">
        <v>214991</v>
      </c>
      <c r="F61" s="8">
        <f>SUM(C61:E61)</f>
        <v>293000</v>
      </c>
      <c r="G61" s="8">
        <v>0</v>
      </c>
      <c r="H61" s="8">
        <v>0</v>
      </c>
      <c r="I61" s="8">
        <v>0</v>
      </c>
      <c r="J61" s="8">
        <f>SUM(G61:I61)</f>
        <v>0</v>
      </c>
      <c r="K61" s="5">
        <f t="shared" si="7"/>
        <v>293000</v>
      </c>
      <c r="L61" s="8">
        <v>53477</v>
      </c>
      <c r="M61" s="8">
        <v>22000</v>
      </c>
      <c r="N61" s="8">
        <v>214991</v>
      </c>
      <c r="O61" s="8">
        <f>L61+M61+N61</f>
        <v>290468</v>
      </c>
      <c r="P61" s="8">
        <v>129000</v>
      </c>
      <c r="Q61" s="8"/>
      <c r="R61" s="8"/>
      <c r="S61" s="8">
        <f>SUM(P61:R61)</f>
        <v>129000</v>
      </c>
      <c r="T61" s="5">
        <f t="shared" si="41"/>
        <v>419468</v>
      </c>
      <c r="U61" s="8">
        <v>112404</v>
      </c>
      <c r="V61" s="8">
        <v>22000</v>
      </c>
      <c r="W61" s="8">
        <v>594991</v>
      </c>
      <c r="X61" s="8">
        <f>U61+V61+W61</f>
        <v>729395</v>
      </c>
      <c r="Y61" s="8">
        <v>0</v>
      </c>
      <c r="Z61" s="8"/>
      <c r="AA61" s="8"/>
      <c r="AB61" s="8">
        <f>SUM(Y61:AA61)</f>
        <v>0</v>
      </c>
      <c r="AC61" s="5">
        <f t="shared" si="8"/>
        <v>729395</v>
      </c>
      <c r="AD61" s="8">
        <v>116172</v>
      </c>
      <c r="AE61" s="8">
        <v>290000</v>
      </c>
      <c r="AF61" s="8">
        <v>141340</v>
      </c>
      <c r="AG61" s="8">
        <f>SUM(AD61:AF61)</f>
        <v>547512</v>
      </c>
      <c r="AH61" s="8">
        <v>0</v>
      </c>
      <c r="AI61" s="8">
        <v>0</v>
      </c>
      <c r="AJ61" s="8"/>
      <c r="AK61" s="8">
        <f>SUM(AH61:AJ61)</f>
        <v>0</v>
      </c>
      <c r="AL61" s="5">
        <f t="shared" si="9"/>
        <v>547512</v>
      </c>
      <c r="AM61" s="8">
        <v>116172</v>
      </c>
      <c r="AN61" s="8">
        <v>290000</v>
      </c>
      <c r="AO61" s="8">
        <v>141340</v>
      </c>
      <c r="AP61" s="8">
        <f>SUM(AM61:AO61)</f>
        <v>547512</v>
      </c>
      <c r="AQ61" s="8">
        <v>0</v>
      </c>
      <c r="AR61" s="8">
        <v>0</v>
      </c>
      <c r="AS61" s="8"/>
      <c r="AT61" s="5">
        <f t="shared" si="75"/>
        <v>0</v>
      </c>
      <c r="AU61" s="5">
        <f t="shared" si="11"/>
        <v>547512</v>
      </c>
      <c r="AV61" s="8">
        <v>116172</v>
      </c>
      <c r="AW61" s="8">
        <v>290000</v>
      </c>
      <c r="AX61" s="8">
        <v>141340</v>
      </c>
      <c r="AY61" s="8">
        <f>SUM(AV61:AX61)</f>
        <v>547512</v>
      </c>
      <c r="AZ61" s="8">
        <v>0</v>
      </c>
      <c r="BA61" s="8">
        <v>0</v>
      </c>
      <c r="BB61" s="8"/>
      <c r="BC61" s="5">
        <f t="shared" si="12"/>
        <v>0</v>
      </c>
      <c r="BD61" s="5">
        <f t="shared" si="13"/>
        <v>547512</v>
      </c>
    </row>
    <row r="62" spans="1:56" ht="16.5">
      <c r="A62" s="53" t="s">
        <v>115</v>
      </c>
      <c r="B62" s="54"/>
      <c r="C62" s="5">
        <f>SUM(C63:C65)</f>
        <v>78324676</v>
      </c>
      <c r="D62" s="5">
        <f t="shared" ref="D62:J62" si="77">SUM(D63:D65)</f>
        <v>4587771</v>
      </c>
      <c r="E62" s="5">
        <f t="shared" si="77"/>
        <v>11757584</v>
      </c>
      <c r="F62" s="5">
        <f t="shared" si="77"/>
        <v>94670031</v>
      </c>
      <c r="G62" s="5">
        <f t="shared" si="77"/>
        <v>7239440</v>
      </c>
      <c r="H62" s="5">
        <f t="shared" si="77"/>
        <v>0</v>
      </c>
      <c r="I62" s="5">
        <f t="shared" si="77"/>
        <v>5881800</v>
      </c>
      <c r="J62" s="5">
        <f t="shared" si="77"/>
        <v>13121240</v>
      </c>
      <c r="K62" s="5">
        <f t="shared" si="7"/>
        <v>107791271</v>
      </c>
      <c r="L62" s="5">
        <f>SUM(L63:L65)</f>
        <v>82540994</v>
      </c>
      <c r="M62" s="5">
        <f t="shared" ref="M62:S62" si="78">SUM(M63:M65)</f>
        <v>3822621</v>
      </c>
      <c r="N62" s="5">
        <f t="shared" si="78"/>
        <v>17255466</v>
      </c>
      <c r="O62" s="5">
        <f t="shared" si="78"/>
        <v>103619081</v>
      </c>
      <c r="P62" s="5">
        <f t="shared" si="78"/>
        <v>7000000</v>
      </c>
      <c r="Q62" s="5">
        <f t="shared" si="78"/>
        <v>0</v>
      </c>
      <c r="R62" s="5">
        <f t="shared" si="78"/>
        <v>3432567</v>
      </c>
      <c r="S62" s="5">
        <f t="shared" si="78"/>
        <v>10432567</v>
      </c>
      <c r="T62" s="5">
        <f t="shared" si="41"/>
        <v>114051648</v>
      </c>
      <c r="U62" s="5">
        <f>SUM(U63:U65)</f>
        <v>86448800</v>
      </c>
      <c r="V62" s="5">
        <f t="shared" ref="V62:AB62" si="79">SUM(V63:V65)</f>
        <v>10989602</v>
      </c>
      <c r="W62" s="5">
        <f t="shared" si="79"/>
        <v>16122086</v>
      </c>
      <c r="X62" s="5">
        <f t="shared" si="79"/>
        <v>113560488</v>
      </c>
      <c r="Y62" s="5">
        <f t="shared" si="79"/>
        <v>3490000</v>
      </c>
      <c r="Z62" s="5">
        <f t="shared" si="79"/>
        <v>1750000</v>
      </c>
      <c r="AA62" s="5">
        <f t="shared" si="79"/>
        <v>0</v>
      </c>
      <c r="AB62" s="5">
        <f t="shared" si="79"/>
        <v>5240000</v>
      </c>
      <c r="AC62" s="5">
        <f t="shared" si="8"/>
        <v>118800488</v>
      </c>
      <c r="AD62" s="5">
        <f t="shared" ref="AD62:AK62" si="80">SUM(AD63:AD65)</f>
        <v>88409494</v>
      </c>
      <c r="AE62" s="5">
        <f t="shared" si="80"/>
        <v>12171769</v>
      </c>
      <c r="AF62" s="5">
        <f t="shared" si="80"/>
        <v>13924934</v>
      </c>
      <c r="AG62" s="5">
        <f t="shared" si="80"/>
        <v>114506197</v>
      </c>
      <c r="AH62" s="5">
        <f t="shared" si="80"/>
        <v>8820000</v>
      </c>
      <c r="AI62" s="5">
        <f t="shared" si="80"/>
        <v>2500000</v>
      </c>
      <c r="AJ62" s="5">
        <f t="shared" si="80"/>
        <v>421850</v>
      </c>
      <c r="AK62" s="5">
        <f t="shared" si="80"/>
        <v>11741850</v>
      </c>
      <c r="AL62" s="5">
        <f t="shared" si="9"/>
        <v>126248047</v>
      </c>
      <c r="AM62" s="5">
        <f t="shared" ref="AM62:AS62" si="81">SUM(AM63:AM65)</f>
        <v>88409494</v>
      </c>
      <c r="AN62" s="5">
        <f t="shared" si="81"/>
        <v>10781328</v>
      </c>
      <c r="AO62" s="5">
        <f t="shared" si="81"/>
        <v>15315376</v>
      </c>
      <c r="AP62" s="5">
        <f t="shared" si="81"/>
        <v>114506198</v>
      </c>
      <c r="AQ62" s="5">
        <f t="shared" si="81"/>
        <v>6500000</v>
      </c>
      <c r="AR62" s="5">
        <f t="shared" si="81"/>
        <v>500000</v>
      </c>
      <c r="AS62" s="5">
        <f t="shared" si="81"/>
        <v>0</v>
      </c>
      <c r="AT62" s="5">
        <f t="shared" si="75"/>
        <v>7000000</v>
      </c>
      <c r="AU62" s="5">
        <f t="shared" si="11"/>
        <v>121506198</v>
      </c>
      <c r="AV62" s="5">
        <f t="shared" ref="AV62:BB62" si="82">SUM(AV63:AV65)</f>
        <v>88409494</v>
      </c>
      <c r="AW62" s="5">
        <f t="shared" si="82"/>
        <v>10781328</v>
      </c>
      <c r="AX62" s="5">
        <f t="shared" si="82"/>
        <v>15315376</v>
      </c>
      <c r="AY62" s="5">
        <f t="shared" si="82"/>
        <v>114506198</v>
      </c>
      <c r="AZ62" s="5">
        <f t="shared" si="82"/>
        <v>6000000</v>
      </c>
      <c r="BA62" s="5">
        <f t="shared" si="82"/>
        <v>500000</v>
      </c>
      <c r="BB62" s="5">
        <f t="shared" si="82"/>
        <v>0</v>
      </c>
      <c r="BC62" s="5">
        <f t="shared" si="12"/>
        <v>6500000</v>
      </c>
      <c r="BD62" s="5">
        <f t="shared" si="13"/>
        <v>121006198</v>
      </c>
    </row>
    <row r="63" spans="1:56" ht="33">
      <c r="A63" s="6" t="s">
        <v>116</v>
      </c>
      <c r="B63" s="7" t="s">
        <v>117</v>
      </c>
      <c r="C63" s="8">
        <v>9162338</v>
      </c>
      <c r="D63" s="8">
        <v>466053</v>
      </c>
      <c r="E63" s="8">
        <v>861797</v>
      </c>
      <c r="F63" s="8">
        <f>C63+D63+E63</f>
        <v>10490188</v>
      </c>
      <c r="G63" s="8">
        <f>3031900+885094+2698177+76820</f>
        <v>6691991</v>
      </c>
      <c r="H63" s="8"/>
      <c r="I63" s="8">
        <v>1923760</v>
      </c>
      <c r="J63" s="8">
        <f>SUM(G63:I63)</f>
        <v>8615751</v>
      </c>
      <c r="K63" s="5">
        <f t="shared" si="7"/>
        <v>19105939</v>
      </c>
      <c r="L63" s="8">
        <v>15926161</v>
      </c>
      <c r="M63" s="8">
        <v>1998121</v>
      </c>
      <c r="N63" s="8">
        <v>8018820</v>
      </c>
      <c r="O63" s="8">
        <f>SUM(L63:N63)</f>
        <v>25943102</v>
      </c>
      <c r="P63" s="8">
        <f>1000000+3000000</f>
        <v>4000000</v>
      </c>
      <c r="Q63" s="8"/>
      <c r="R63" s="8"/>
      <c r="S63" s="8">
        <f>SUM(P63:R63)</f>
        <v>4000000</v>
      </c>
      <c r="T63" s="5">
        <f t="shared" si="41"/>
        <v>29943102</v>
      </c>
      <c r="U63" s="8">
        <v>82446659</v>
      </c>
      <c r="V63" s="8">
        <v>9049926</v>
      </c>
      <c r="W63" s="8">
        <v>1852763</v>
      </c>
      <c r="X63" s="8">
        <f>SUM(U63:W63)</f>
        <v>93349348</v>
      </c>
      <c r="Y63" s="8">
        <v>0</v>
      </c>
      <c r="Z63" s="8">
        <v>0</v>
      </c>
      <c r="AA63" s="8"/>
      <c r="AB63" s="8">
        <f>SUM(Y63:AA63)</f>
        <v>0</v>
      </c>
      <c r="AC63" s="5">
        <f t="shared" si="8"/>
        <v>93349348</v>
      </c>
      <c r="AD63" s="8">
        <v>87256269</v>
      </c>
      <c r="AE63" s="8">
        <v>5214202</v>
      </c>
      <c r="AF63" s="8">
        <v>684000</v>
      </c>
      <c r="AG63" s="8">
        <f>SUM(AD63:AF63)</f>
        <v>93154471</v>
      </c>
      <c r="AH63" s="8">
        <v>0</v>
      </c>
      <c r="AI63" s="8"/>
      <c r="AJ63" s="8"/>
      <c r="AK63" s="8">
        <f>SUM(AH63:AJ63)</f>
        <v>0</v>
      </c>
      <c r="AL63" s="5">
        <f t="shared" si="9"/>
        <v>93154471</v>
      </c>
      <c r="AM63" s="8">
        <v>87256269</v>
      </c>
      <c r="AN63" s="8">
        <v>5214202</v>
      </c>
      <c r="AO63" s="8">
        <v>684000</v>
      </c>
      <c r="AP63" s="8">
        <f>SUM(AM63:AO63)</f>
        <v>93154471</v>
      </c>
      <c r="AQ63" s="8">
        <v>0</v>
      </c>
      <c r="AR63" s="8"/>
      <c r="AS63" s="8"/>
      <c r="AT63" s="8">
        <f>SUM(AQ63:AS63)</f>
        <v>0</v>
      </c>
      <c r="AU63" s="5">
        <f t="shared" si="11"/>
        <v>93154471</v>
      </c>
      <c r="AV63" s="8">
        <v>87256269</v>
      </c>
      <c r="AW63" s="8">
        <v>5214202</v>
      </c>
      <c r="AX63" s="8">
        <v>684000</v>
      </c>
      <c r="AY63" s="8">
        <f>SUM(AV63:AX63)</f>
        <v>93154471</v>
      </c>
      <c r="AZ63" s="8">
        <v>0</v>
      </c>
      <c r="BA63" s="8"/>
      <c r="BB63" s="8"/>
      <c r="BC63" s="8">
        <f>SUM(AZ63:BB63)</f>
        <v>0</v>
      </c>
      <c r="BD63" s="5">
        <f t="shared" si="13"/>
        <v>93154471</v>
      </c>
    </row>
    <row r="64" spans="1:56" ht="16.5">
      <c r="A64" s="6" t="s">
        <v>118</v>
      </c>
      <c r="B64" s="7" t="s">
        <v>119</v>
      </c>
      <c r="C64" s="8">
        <v>66636892</v>
      </c>
      <c r="D64" s="8">
        <v>1045105</v>
      </c>
      <c r="E64" s="8">
        <v>3011013</v>
      </c>
      <c r="F64" s="8">
        <f>SUM(C64:E64)</f>
        <v>70693010</v>
      </c>
      <c r="G64" s="8">
        <v>100730</v>
      </c>
      <c r="H64" s="8"/>
      <c r="I64" s="8">
        <v>76670</v>
      </c>
      <c r="J64" s="8">
        <f>SUM(G64:I64)</f>
        <v>177400</v>
      </c>
      <c r="K64" s="5">
        <f t="shared" si="7"/>
        <v>70870410</v>
      </c>
      <c r="L64" s="8">
        <v>14089387</v>
      </c>
      <c r="M64" s="8">
        <v>541634</v>
      </c>
      <c r="N64" s="8">
        <v>6977047</v>
      </c>
      <c r="O64" s="8">
        <f>SUM(L64:N64)</f>
        <v>21608068</v>
      </c>
      <c r="P64" s="8">
        <v>1900000</v>
      </c>
      <c r="Q64" s="8"/>
      <c r="R64" s="8"/>
      <c r="S64" s="8">
        <f>SUM(P64:R64)</f>
        <v>1900000</v>
      </c>
      <c r="T64" s="5">
        <f t="shared" si="41"/>
        <v>23508068</v>
      </c>
      <c r="U64" s="8">
        <v>484345</v>
      </c>
      <c r="V64" s="8">
        <v>251478</v>
      </c>
      <c r="W64" s="8">
        <v>12367752</v>
      </c>
      <c r="X64" s="8">
        <f>SUM(U64:W64)</f>
        <v>13103575</v>
      </c>
      <c r="Y64" s="8">
        <v>3490000</v>
      </c>
      <c r="Z64" s="8">
        <v>1750000</v>
      </c>
      <c r="AA64" s="8"/>
      <c r="AB64" s="8">
        <f>SUM(Y64:AA64)</f>
        <v>5240000</v>
      </c>
      <c r="AC64" s="5">
        <f t="shared" si="8"/>
        <v>18343575</v>
      </c>
      <c r="AD64" s="8">
        <v>484346</v>
      </c>
      <c r="AE64" s="8">
        <v>1929694</v>
      </c>
      <c r="AF64" s="8">
        <v>11193982</v>
      </c>
      <c r="AG64" s="8">
        <f>SUM(AD64:AF64)</f>
        <v>13608022</v>
      </c>
      <c r="AH64" s="8">
        <v>8820000</v>
      </c>
      <c r="AI64" s="8">
        <v>2500000</v>
      </c>
      <c r="AJ64" s="8">
        <v>421850</v>
      </c>
      <c r="AK64" s="8">
        <f>SUM(AH64:AJ64)</f>
        <v>11741850</v>
      </c>
      <c r="AL64" s="5">
        <f t="shared" si="9"/>
        <v>25349872</v>
      </c>
      <c r="AM64" s="8">
        <v>484346</v>
      </c>
      <c r="AN64" s="8">
        <v>539253</v>
      </c>
      <c r="AO64" s="8">
        <v>12584424</v>
      </c>
      <c r="AP64" s="8">
        <f>SUM(AM64:AO64)</f>
        <v>13608023</v>
      </c>
      <c r="AQ64" s="8">
        <v>6500000</v>
      </c>
      <c r="AR64" s="8">
        <v>500000</v>
      </c>
      <c r="AS64" s="8"/>
      <c r="AT64" s="8">
        <f>SUM(AQ64:AS64)</f>
        <v>7000000</v>
      </c>
      <c r="AU64" s="5">
        <f t="shared" si="11"/>
        <v>20608023</v>
      </c>
      <c r="AV64" s="8">
        <v>484346</v>
      </c>
      <c r="AW64" s="8">
        <v>539253</v>
      </c>
      <c r="AX64" s="8">
        <v>12584424</v>
      </c>
      <c r="AY64" s="8">
        <f>SUM(AV64:AX64)</f>
        <v>13608023</v>
      </c>
      <c r="AZ64" s="8">
        <v>6000000</v>
      </c>
      <c r="BA64" s="8">
        <v>500000</v>
      </c>
      <c r="BB64" s="8">
        <v>0</v>
      </c>
      <c r="BC64" s="8">
        <f>SUM(AZ64:BB64)</f>
        <v>6500000</v>
      </c>
      <c r="BD64" s="5">
        <f t="shared" si="13"/>
        <v>20108023</v>
      </c>
    </row>
    <row r="65" spans="1:56" ht="16.5">
      <c r="A65" s="9" t="s">
        <v>120</v>
      </c>
      <c r="B65" s="7" t="s">
        <v>121</v>
      </c>
      <c r="C65" s="8">
        <v>2525446</v>
      </c>
      <c r="D65" s="8">
        <v>3076613</v>
      </c>
      <c r="E65" s="8">
        <v>7884774</v>
      </c>
      <c r="F65" s="8">
        <f>SUM(C65:E65)</f>
        <v>13486833</v>
      </c>
      <c r="G65" s="8">
        <f>207628+239091</f>
        <v>446719</v>
      </c>
      <c r="H65" s="8"/>
      <c r="I65" s="8">
        <v>3881370</v>
      </c>
      <c r="J65" s="8">
        <f>SUM(G65:I65)</f>
        <v>4328089</v>
      </c>
      <c r="K65" s="5">
        <f t="shared" si="7"/>
        <v>17814922</v>
      </c>
      <c r="L65" s="8">
        <v>52525446</v>
      </c>
      <c r="M65" s="8">
        <v>1282866</v>
      </c>
      <c r="N65" s="8">
        <v>2259599</v>
      </c>
      <c r="O65" s="8">
        <f>SUM(L65:N65)</f>
        <v>56067911</v>
      </c>
      <c r="P65" s="8">
        <v>1100000</v>
      </c>
      <c r="Q65" s="8"/>
      <c r="R65" s="8">
        <v>3432567</v>
      </c>
      <c r="S65" s="8">
        <f>SUM(P65:R65)</f>
        <v>4532567</v>
      </c>
      <c r="T65" s="5">
        <f t="shared" si="41"/>
        <v>60600478</v>
      </c>
      <c r="U65" s="8">
        <v>3517796</v>
      </c>
      <c r="V65" s="8">
        <v>1688198</v>
      </c>
      <c r="W65" s="8">
        <v>1901571</v>
      </c>
      <c r="X65" s="8">
        <f>SUM(U65:W65)</f>
        <v>7107565</v>
      </c>
      <c r="Y65" s="8">
        <v>0</v>
      </c>
      <c r="Z65" s="8"/>
      <c r="AA65" s="8">
        <v>0</v>
      </c>
      <c r="AB65" s="8">
        <f>SUM(Y65:AA65)</f>
        <v>0</v>
      </c>
      <c r="AC65" s="5">
        <f t="shared" si="8"/>
        <v>7107565</v>
      </c>
      <c r="AD65" s="8">
        <v>668879</v>
      </c>
      <c r="AE65" s="8">
        <v>5027873</v>
      </c>
      <c r="AF65" s="8">
        <v>2046952</v>
      </c>
      <c r="AG65" s="8">
        <f>SUM(AD65:AF65)</f>
        <v>7743704</v>
      </c>
      <c r="AH65" s="8">
        <v>0</v>
      </c>
      <c r="AI65" s="8">
        <v>0</v>
      </c>
      <c r="AJ65" s="8">
        <v>0</v>
      </c>
      <c r="AK65" s="8">
        <f>SUM(AH65:AJ65)</f>
        <v>0</v>
      </c>
      <c r="AL65" s="5">
        <f t="shared" si="9"/>
        <v>7743704</v>
      </c>
      <c r="AM65" s="8">
        <v>668879</v>
      </c>
      <c r="AN65" s="8">
        <v>5027873</v>
      </c>
      <c r="AO65" s="8">
        <v>2046952</v>
      </c>
      <c r="AP65" s="8">
        <f>SUM(AM65:AO65)</f>
        <v>7743704</v>
      </c>
      <c r="AQ65" s="8">
        <v>0</v>
      </c>
      <c r="AR65" s="8">
        <v>0</v>
      </c>
      <c r="AS65" s="8">
        <v>0</v>
      </c>
      <c r="AT65" s="8">
        <f>SUM(AQ65:AS65)</f>
        <v>0</v>
      </c>
      <c r="AU65" s="5">
        <f t="shared" si="11"/>
        <v>7743704</v>
      </c>
      <c r="AV65" s="8">
        <v>668879</v>
      </c>
      <c r="AW65" s="8">
        <v>5027873</v>
      </c>
      <c r="AX65" s="8">
        <v>2046952</v>
      </c>
      <c r="AY65" s="8">
        <f>SUM(AV65:AX65)</f>
        <v>7743704</v>
      </c>
      <c r="AZ65" s="8">
        <v>0</v>
      </c>
      <c r="BA65" s="8">
        <v>0</v>
      </c>
      <c r="BB65" s="8">
        <v>0</v>
      </c>
      <c r="BC65" s="8">
        <f>SUM(AZ65:BB65)</f>
        <v>0</v>
      </c>
      <c r="BD65" s="5">
        <f t="shared" si="13"/>
        <v>7743704</v>
      </c>
    </row>
    <row r="66" spans="1:56" ht="16.5">
      <c r="A66" s="53" t="s">
        <v>122</v>
      </c>
      <c r="B66" s="54"/>
      <c r="C66" s="5">
        <f t="shared" ref="C66:J66" si="83">SUM(C67:C73)</f>
        <v>617294</v>
      </c>
      <c r="D66" s="5">
        <f t="shared" si="83"/>
        <v>621291</v>
      </c>
      <c r="E66" s="5">
        <f t="shared" si="83"/>
        <v>3793412</v>
      </c>
      <c r="F66" s="5">
        <f t="shared" si="83"/>
        <v>5031997</v>
      </c>
      <c r="G66" s="5">
        <f t="shared" si="83"/>
        <v>7225056</v>
      </c>
      <c r="H66" s="5">
        <f t="shared" si="83"/>
        <v>0</v>
      </c>
      <c r="I66" s="5">
        <f t="shared" si="83"/>
        <v>9713565</v>
      </c>
      <c r="J66" s="5">
        <f t="shared" si="83"/>
        <v>26652186</v>
      </c>
      <c r="K66" s="5">
        <f t="shared" si="7"/>
        <v>31684183</v>
      </c>
      <c r="L66" s="5">
        <f>SUM(L67:L73)</f>
        <v>670359</v>
      </c>
      <c r="M66" s="5">
        <f>SUM(M67:M73)</f>
        <v>764248</v>
      </c>
      <c r="N66" s="5">
        <f>SUM(N67:N73)</f>
        <v>3750455</v>
      </c>
      <c r="O66" s="5">
        <f>SUM(O67:O73)</f>
        <v>5185062</v>
      </c>
      <c r="P66" s="5">
        <f>P67+P68+P73</f>
        <v>8474243</v>
      </c>
      <c r="Q66" s="5">
        <f>SUM(Q67:Q73)</f>
        <v>0</v>
      </c>
      <c r="R66" s="5">
        <f>SUM(R67:R73)</f>
        <v>12083500</v>
      </c>
      <c r="S66" s="5">
        <f>R66+P66</f>
        <v>20557743</v>
      </c>
      <c r="T66" s="5">
        <f>O66+S66</f>
        <v>25742805</v>
      </c>
      <c r="U66" s="5">
        <f t="shared" ref="U66:AB66" si="84">U67+U68</f>
        <v>11400</v>
      </c>
      <c r="V66" s="5">
        <f t="shared" si="84"/>
        <v>688494</v>
      </c>
      <c r="W66" s="5">
        <f t="shared" si="84"/>
        <v>694592</v>
      </c>
      <c r="X66" s="5">
        <f t="shared" si="84"/>
        <v>1394486</v>
      </c>
      <c r="Y66" s="5">
        <f t="shared" si="84"/>
        <v>3740000</v>
      </c>
      <c r="Z66" s="5">
        <f t="shared" si="84"/>
        <v>0</v>
      </c>
      <c r="AA66" s="5">
        <f t="shared" si="84"/>
        <v>8000000</v>
      </c>
      <c r="AB66" s="5">
        <f t="shared" si="84"/>
        <v>11740000</v>
      </c>
      <c r="AC66" s="5">
        <f t="shared" si="8"/>
        <v>13134486</v>
      </c>
      <c r="AD66" s="5">
        <f>AD67+AD69+AD70</f>
        <v>306554</v>
      </c>
      <c r="AE66" s="5">
        <f t="shared" ref="AE66:AF66" si="85">AE67+AE69+AE70</f>
        <v>1864105</v>
      </c>
      <c r="AF66" s="5">
        <f t="shared" si="85"/>
        <v>419808</v>
      </c>
      <c r="AG66" s="5">
        <f>AD66+AE66+AF66</f>
        <v>2590467</v>
      </c>
      <c r="AH66" s="5">
        <f>AH67+AH68+AH69+AH70</f>
        <v>5000000</v>
      </c>
      <c r="AI66" s="5">
        <f>AI67+AI68+AI69+AI70</f>
        <v>2105622</v>
      </c>
      <c r="AJ66" s="5">
        <f>AJ67+AJ68+AJ69+AJ70</f>
        <v>0</v>
      </c>
      <c r="AK66" s="5">
        <f>AH66+AI66</f>
        <v>7105622</v>
      </c>
      <c r="AL66" s="5">
        <f>AG66+AK66</f>
        <v>9696089</v>
      </c>
      <c r="AM66" s="5">
        <f>AM67+AM68</f>
        <v>253072</v>
      </c>
      <c r="AN66" s="5">
        <f>AN67+AN68</f>
        <v>862667</v>
      </c>
      <c r="AO66" s="5">
        <f>AO67+AO68+AO69+AO70</f>
        <v>1421246</v>
      </c>
      <c r="AP66" s="5">
        <f>AP67+AP68</f>
        <v>1496985</v>
      </c>
      <c r="AQ66" s="5">
        <f>AQ67+AQ68+AQ69+AQ70</f>
        <v>4000000</v>
      </c>
      <c r="AR66" s="5">
        <f>AR67+AR68+AR69+AR70</f>
        <v>4000000</v>
      </c>
      <c r="AS66" s="5">
        <f>AS67+AS68+AS69+AS70</f>
        <v>0</v>
      </c>
      <c r="AT66" s="5">
        <f>AT67+AT68+AT69+AT70</f>
        <v>8000000</v>
      </c>
      <c r="AU66" s="5">
        <f>AP66+AT66</f>
        <v>9496985</v>
      </c>
      <c r="AV66" s="5">
        <f>AV67+AV68</f>
        <v>253072</v>
      </c>
      <c r="AW66" s="5">
        <f>AW67+AW68</f>
        <v>862667</v>
      </c>
      <c r="AX66" s="5">
        <f>AX67+AX68+AX69+AX70</f>
        <v>1421246</v>
      </c>
      <c r="AY66" s="5">
        <f>AY67+AY68</f>
        <v>1496985</v>
      </c>
      <c r="AZ66" s="5">
        <f>AZ67+AZ68+AZ69+AZ70</f>
        <v>4000000</v>
      </c>
      <c r="BA66" s="5">
        <f>BA67+BA68+BA69+BA70</f>
        <v>4000000</v>
      </c>
      <c r="BB66" s="5">
        <f>BB67+BB68+BB69+BB70</f>
        <v>0</v>
      </c>
      <c r="BC66" s="5">
        <f>BC67+BC68+BC69+BC70</f>
        <v>8000000</v>
      </c>
      <c r="BD66" s="5">
        <f>AY66+BC66</f>
        <v>9496985</v>
      </c>
    </row>
    <row r="67" spans="1:56" ht="33">
      <c r="A67" s="6" t="s">
        <v>123</v>
      </c>
      <c r="B67" s="7" t="s">
        <v>124</v>
      </c>
      <c r="C67" s="8">
        <v>387357</v>
      </c>
      <c r="D67" s="8">
        <v>529000</v>
      </c>
      <c r="E67" s="8">
        <v>495000</v>
      </c>
      <c r="F67" s="8">
        <f>C67+D67+E67</f>
        <v>1411357</v>
      </c>
      <c r="G67" s="8">
        <f>320000+500000+1637023+700000+350000</f>
        <v>3507023</v>
      </c>
      <c r="H67" s="8">
        <v>0</v>
      </c>
      <c r="I67" s="8">
        <v>0</v>
      </c>
      <c r="J67" s="5">
        <f>G67+H67+I68</f>
        <v>3507023</v>
      </c>
      <c r="K67" s="5">
        <f t="shared" si="7"/>
        <v>4918380</v>
      </c>
      <c r="L67" s="8">
        <v>405359</v>
      </c>
      <c r="M67" s="8">
        <v>696248</v>
      </c>
      <c r="N67" s="8">
        <v>772455</v>
      </c>
      <c r="O67" s="8">
        <f>L67+M67+N67</f>
        <v>1874062</v>
      </c>
      <c r="P67" s="8">
        <f>600000+4674243+700000+1500000</f>
        <v>7474243</v>
      </c>
      <c r="Q67" s="8">
        <v>0</v>
      </c>
      <c r="R67" s="8">
        <v>0</v>
      </c>
      <c r="S67" s="5">
        <f>R67+P67</f>
        <v>7474243</v>
      </c>
      <c r="T67" s="5">
        <f t="shared" ref="T67:T80" si="86">O67+S67</f>
        <v>9348305</v>
      </c>
      <c r="U67" s="8">
        <v>11400</v>
      </c>
      <c r="V67" s="8">
        <v>688494</v>
      </c>
      <c r="W67" s="8">
        <v>0</v>
      </c>
      <c r="X67" s="8">
        <f>U67+V67+W67</f>
        <v>699894</v>
      </c>
      <c r="Y67" s="8">
        <v>0</v>
      </c>
      <c r="Z67" s="8">
        <v>0</v>
      </c>
      <c r="AA67" s="8">
        <v>0</v>
      </c>
      <c r="AB67" s="5">
        <f>AA67+Y67</f>
        <v>0</v>
      </c>
      <c r="AC67" s="5">
        <f t="shared" si="8"/>
        <v>699894</v>
      </c>
      <c r="AD67" s="8">
        <v>253072</v>
      </c>
      <c r="AE67" s="8">
        <v>1864105</v>
      </c>
      <c r="AF67" s="8">
        <v>279808</v>
      </c>
      <c r="AG67" s="8">
        <f>AD67+AE67+AF67</f>
        <v>2396985</v>
      </c>
      <c r="AH67" s="8">
        <v>0</v>
      </c>
      <c r="AI67" s="8">
        <v>0</v>
      </c>
      <c r="AJ67" s="8">
        <v>0</v>
      </c>
      <c r="AK67" s="5">
        <f t="shared" ref="AK67:AK73" si="87">AH67+AI67+AJ67</f>
        <v>0</v>
      </c>
      <c r="AL67" s="5">
        <f t="shared" si="9"/>
        <v>2396985</v>
      </c>
      <c r="AM67" s="8">
        <v>253072</v>
      </c>
      <c r="AN67" s="8">
        <v>862667</v>
      </c>
      <c r="AO67" s="8">
        <v>381246</v>
      </c>
      <c r="AP67" s="8">
        <f>AM67+AN67+AO67</f>
        <v>1496985</v>
      </c>
      <c r="AQ67" s="8">
        <v>0</v>
      </c>
      <c r="AR67" s="8">
        <v>0</v>
      </c>
      <c r="AS67" s="8">
        <v>0</v>
      </c>
      <c r="AT67" s="5">
        <f>AS67+AQ67</f>
        <v>0</v>
      </c>
      <c r="AU67" s="5">
        <f t="shared" si="11"/>
        <v>1496985</v>
      </c>
      <c r="AV67" s="8">
        <v>253072</v>
      </c>
      <c r="AW67" s="8">
        <v>862667</v>
      </c>
      <c r="AX67" s="8">
        <v>381246</v>
      </c>
      <c r="AY67" s="8">
        <f>AV67+AW67+AX67</f>
        <v>1496985</v>
      </c>
      <c r="AZ67" s="8">
        <v>0</v>
      </c>
      <c r="BA67" s="8">
        <v>0</v>
      </c>
      <c r="BB67" s="8">
        <v>0</v>
      </c>
      <c r="BC67" s="5">
        <f>BB67+AZ67</f>
        <v>0</v>
      </c>
      <c r="BD67" s="5">
        <f t="shared" si="13"/>
        <v>1496985</v>
      </c>
    </row>
    <row r="68" spans="1:56" ht="16.5">
      <c r="A68" s="6" t="s">
        <v>125</v>
      </c>
      <c r="B68" s="7" t="s">
        <v>126</v>
      </c>
      <c r="C68" s="8">
        <v>139100</v>
      </c>
      <c r="D68" s="8">
        <v>62291</v>
      </c>
      <c r="E68" s="8">
        <v>3268412</v>
      </c>
      <c r="F68" s="8">
        <f>C68+D68+E68</f>
        <v>3469803</v>
      </c>
      <c r="G68" s="8">
        <v>500000</v>
      </c>
      <c r="H68" s="8"/>
      <c r="I68" s="8"/>
      <c r="J68" s="5">
        <f>G68+H68+I73</f>
        <v>10213565</v>
      </c>
      <c r="K68" s="5">
        <f t="shared" si="7"/>
        <v>13683368</v>
      </c>
      <c r="L68" s="8">
        <v>145000</v>
      </c>
      <c r="M68" s="8">
        <v>18000</v>
      </c>
      <c r="N68" s="8">
        <v>2935000</v>
      </c>
      <c r="O68" s="8">
        <f>L68+M68+N68</f>
        <v>3098000</v>
      </c>
      <c r="P68" s="8"/>
      <c r="Q68" s="8"/>
      <c r="R68" s="8">
        <v>12083500</v>
      </c>
      <c r="S68" s="5">
        <f>R68+P68</f>
        <v>12083500</v>
      </c>
      <c r="T68" s="5">
        <f t="shared" si="86"/>
        <v>15181500</v>
      </c>
      <c r="U68" s="8">
        <v>0</v>
      </c>
      <c r="V68" s="8">
        <v>0</v>
      </c>
      <c r="W68" s="8">
        <v>694592</v>
      </c>
      <c r="X68" s="8">
        <f>U68+V68+W68</f>
        <v>694592</v>
      </c>
      <c r="Y68" s="8">
        <v>3740000</v>
      </c>
      <c r="Z68" s="8"/>
      <c r="AA68" s="8">
        <v>8000000</v>
      </c>
      <c r="AB68" s="5">
        <f>AA68+Y68</f>
        <v>11740000</v>
      </c>
      <c r="AC68" s="5">
        <f t="shared" si="8"/>
        <v>12434592</v>
      </c>
      <c r="AD68" s="8">
        <v>0</v>
      </c>
      <c r="AE68" s="8">
        <v>0</v>
      </c>
      <c r="AF68" s="8">
        <v>0</v>
      </c>
      <c r="AG68" s="8">
        <f t="shared" ref="AG68:AG73" si="88">AD68+AE68+AF68</f>
        <v>0</v>
      </c>
      <c r="AH68" s="8">
        <v>1400000</v>
      </c>
      <c r="AI68" s="8">
        <v>0</v>
      </c>
      <c r="AJ68" s="8">
        <v>0</v>
      </c>
      <c r="AK68" s="5">
        <f t="shared" si="87"/>
        <v>1400000</v>
      </c>
      <c r="AL68" s="5">
        <f t="shared" si="9"/>
        <v>1400000</v>
      </c>
      <c r="AM68" s="8">
        <v>0</v>
      </c>
      <c r="AN68" s="8">
        <v>0</v>
      </c>
      <c r="AO68" s="8">
        <v>0</v>
      </c>
      <c r="AP68" s="8">
        <f t="shared" ref="AP68" si="89">AM68+AN68+AO68</f>
        <v>0</v>
      </c>
      <c r="AQ68" s="8">
        <v>1000000</v>
      </c>
      <c r="AR68" s="8">
        <v>0</v>
      </c>
      <c r="AS68" s="8">
        <v>0</v>
      </c>
      <c r="AT68" s="5">
        <f t="shared" ref="AT68:AT69" si="90">AS68+AQ68</f>
        <v>1000000</v>
      </c>
      <c r="AU68" s="5">
        <f t="shared" si="11"/>
        <v>1000000</v>
      </c>
      <c r="AV68" s="8">
        <v>0</v>
      </c>
      <c r="AW68" s="8">
        <v>0</v>
      </c>
      <c r="AX68" s="8">
        <v>0</v>
      </c>
      <c r="AY68" s="8">
        <f t="shared" ref="AY68" si="91">AV68+AW68+AX68</f>
        <v>0</v>
      </c>
      <c r="AZ68" s="8">
        <v>1000000</v>
      </c>
      <c r="BA68" s="8">
        <v>0</v>
      </c>
      <c r="BB68" s="8">
        <v>0</v>
      </c>
      <c r="BC68" s="5">
        <f t="shared" ref="BC68:BC69" si="92">BB68+AZ68</f>
        <v>1000000</v>
      </c>
      <c r="BD68" s="5">
        <f t="shared" si="13"/>
        <v>1000000</v>
      </c>
    </row>
    <row r="69" spans="1:56" ht="33">
      <c r="A69" s="41"/>
      <c r="B69" s="20" t="s">
        <v>127</v>
      </c>
      <c r="C69" s="42"/>
      <c r="D69" s="43"/>
      <c r="E69" s="42"/>
      <c r="F69" s="43"/>
      <c r="G69" s="42"/>
      <c r="H69" s="43"/>
      <c r="I69" s="42"/>
      <c r="J69" s="44"/>
      <c r="K69" s="45"/>
      <c r="L69" s="42"/>
      <c r="M69" s="43"/>
      <c r="N69" s="42"/>
      <c r="O69" s="43"/>
      <c r="P69" s="42"/>
      <c r="Q69" s="43"/>
      <c r="R69" s="42"/>
      <c r="S69" s="44"/>
      <c r="T69" s="44"/>
      <c r="U69" s="43"/>
      <c r="V69" s="43"/>
      <c r="W69" s="43"/>
      <c r="X69" s="43"/>
      <c r="Y69" s="43"/>
      <c r="Z69" s="43"/>
      <c r="AA69" s="43"/>
      <c r="AB69" s="44"/>
      <c r="AC69" s="5">
        <f t="shared" si="8"/>
        <v>0</v>
      </c>
      <c r="AD69" s="43">
        <v>17047</v>
      </c>
      <c r="AE69" s="43">
        <v>0</v>
      </c>
      <c r="AF69" s="43">
        <v>120000</v>
      </c>
      <c r="AG69" s="8">
        <f>AD69+AE69+AF69</f>
        <v>137047</v>
      </c>
      <c r="AH69" s="43">
        <v>2450000</v>
      </c>
      <c r="AI69" s="43">
        <v>0</v>
      </c>
      <c r="AJ69" s="43"/>
      <c r="AK69" s="5">
        <f t="shared" si="87"/>
        <v>2450000</v>
      </c>
      <c r="AL69" s="5">
        <f t="shared" si="9"/>
        <v>2587047</v>
      </c>
      <c r="AM69" s="43">
        <v>17047</v>
      </c>
      <c r="AN69" s="43">
        <v>0</v>
      </c>
      <c r="AO69" s="43">
        <v>1020000</v>
      </c>
      <c r="AP69" s="8">
        <f>AM69+AN69+AO69</f>
        <v>1037047</v>
      </c>
      <c r="AQ69" s="43">
        <v>1500000</v>
      </c>
      <c r="AR69" s="43">
        <v>0</v>
      </c>
      <c r="AS69" s="43"/>
      <c r="AT69" s="5">
        <f t="shared" si="90"/>
        <v>1500000</v>
      </c>
      <c r="AU69" s="5">
        <f t="shared" si="11"/>
        <v>2537047</v>
      </c>
      <c r="AV69" s="43">
        <v>17047</v>
      </c>
      <c r="AW69" s="43">
        <v>0</v>
      </c>
      <c r="AX69" s="43">
        <v>1020000</v>
      </c>
      <c r="AY69" s="8">
        <f>AV69+AW69+AX69</f>
        <v>1037047</v>
      </c>
      <c r="AZ69" s="43">
        <v>1500000</v>
      </c>
      <c r="BA69" s="43">
        <v>0</v>
      </c>
      <c r="BB69" s="43"/>
      <c r="BC69" s="5">
        <f t="shared" si="92"/>
        <v>1500000</v>
      </c>
      <c r="BD69" s="5">
        <f t="shared" si="13"/>
        <v>2537047</v>
      </c>
    </row>
    <row r="70" spans="1:56" ht="16.5">
      <c r="A70" s="41"/>
      <c r="B70" s="20" t="s">
        <v>128</v>
      </c>
      <c r="C70" s="42"/>
      <c r="D70" s="43"/>
      <c r="E70" s="42"/>
      <c r="F70" s="43"/>
      <c r="G70" s="42"/>
      <c r="H70" s="43"/>
      <c r="I70" s="42"/>
      <c r="J70" s="44"/>
      <c r="K70" s="45"/>
      <c r="L70" s="42"/>
      <c r="M70" s="43"/>
      <c r="N70" s="42"/>
      <c r="O70" s="43"/>
      <c r="P70" s="42"/>
      <c r="Q70" s="43"/>
      <c r="R70" s="42"/>
      <c r="S70" s="44"/>
      <c r="T70" s="44"/>
      <c r="U70" s="43"/>
      <c r="V70" s="43"/>
      <c r="W70" s="43"/>
      <c r="X70" s="43"/>
      <c r="Y70" s="43"/>
      <c r="Z70" s="43"/>
      <c r="AA70" s="43"/>
      <c r="AB70" s="44"/>
      <c r="AC70" s="5">
        <f t="shared" si="8"/>
        <v>0</v>
      </c>
      <c r="AD70" s="43">
        <v>36435</v>
      </c>
      <c r="AE70" s="43">
        <v>0</v>
      </c>
      <c r="AF70" s="43">
        <v>20000</v>
      </c>
      <c r="AG70" s="8">
        <f t="shared" si="88"/>
        <v>56435</v>
      </c>
      <c r="AH70" s="43">
        <v>1150000</v>
      </c>
      <c r="AI70" s="51">
        <v>2105622</v>
      </c>
      <c r="AJ70" s="43">
        <v>0</v>
      </c>
      <c r="AK70" s="5">
        <f t="shared" si="87"/>
        <v>3255622</v>
      </c>
      <c r="AL70" s="5">
        <f t="shared" si="9"/>
        <v>3312057</v>
      </c>
      <c r="AM70" s="43">
        <v>36435</v>
      </c>
      <c r="AN70" s="43">
        <v>0</v>
      </c>
      <c r="AO70" s="43">
        <v>20000</v>
      </c>
      <c r="AP70" s="8">
        <f t="shared" ref="AP70" si="93">AM70+AN70+AO70</f>
        <v>56435</v>
      </c>
      <c r="AQ70" s="43">
        <v>1500000</v>
      </c>
      <c r="AR70" s="51">
        <v>4000000</v>
      </c>
      <c r="AS70" s="43">
        <v>0</v>
      </c>
      <c r="AT70" s="44">
        <f>AQ70+AR70+AS70</f>
        <v>5500000</v>
      </c>
      <c r="AU70" s="5">
        <f t="shared" si="11"/>
        <v>5556435</v>
      </c>
      <c r="AV70" s="43">
        <v>36435</v>
      </c>
      <c r="AW70" s="43">
        <v>0</v>
      </c>
      <c r="AX70" s="43">
        <v>20000</v>
      </c>
      <c r="AY70" s="8">
        <f t="shared" ref="AY70" si="94">AV70+AW70+AX70</f>
        <v>56435</v>
      </c>
      <c r="AZ70" s="43">
        <v>1500000</v>
      </c>
      <c r="BA70" s="51">
        <v>4000000</v>
      </c>
      <c r="BB70" s="43">
        <v>0</v>
      </c>
      <c r="BC70" s="44">
        <f>AZ70+BA70+BB70</f>
        <v>5500000</v>
      </c>
      <c r="BD70" s="44">
        <f>AY70+BC70</f>
        <v>5556435</v>
      </c>
    </row>
    <row r="71" spans="1:56" ht="16.5">
      <c r="A71" s="53" t="s">
        <v>129</v>
      </c>
      <c r="B71" s="54"/>
      <c r="C71" s="53"/>
      <c r="D71" s="54"/>
      <c r="E71" s="53"/>
      <c r="F71" s="54"/>
      <c r="G71" s="53"/>
      <c r="H71" s="54"/>
      <c r="I71" s="32"/>
      <c r="J71" s="33"/>
      <c r="K71" s="32"/>
      <c r="L71" s="32"/>
      <c r="M71" s="33"/>
      <c r="N71" s="32"/>
      <c r="O71" s="33"/>
      <c r="P71" s="32"/>
      <c r="Q71" s="33"/>
      <c r="R71" s="32"/>
      <c r="S71" s="33"/>
      <c r="T71" s="33"/>
      <c r="U71" s="35">
        <f>U72+U73</f>
        <v>887700</v>
      </c>
      <c r="V71" s="35">
        <f>V72+V73</f>
        <v>509580</v>
      </c>
      <c r="W71" s="35">
        <f>W72+W73</f>
        <v>3849895</v>
      </c>
      <c r="X71" s="35">
        <f>U71+V71+W71</f>
        <v>5247175</v>
      </c>
      <c r="Y71" s="35">
        <f>Y72+Y73</f>
        <v>0</v>
      </c>
      <c r="Z71" s="35">
        <f>Z72+Z73</f>
        <v>0</v>
      </c>
      <c r="AA71" s="35">
        <f>AA72+AA73</f>
        <v>0</v>
      </c>
      <c r="AB71" s="35">
        <f>Y71+Z71+AA71</f>
        <v>0</v>
      </c>
      <c r="AC71" s="5">
        <f t="shared" si="8"/>
        <v>5247175</v>
      </c>
      <c r="AD71" s="35">
        <f>AD72+AD73</f>
        <v>613606</v>
      </c>
      <c r="AE71" s="35">
        <f>AE72+AE73</f>
        <v>1023113</v>
      </c>
      <c r="AF71" s="35">
        <f>AF72+AF73</f>
        <v>3661791</v>
      </c>
      <c r="AG71" s="35">
        <f t="shared" si="88"/>
        <v>5298510</v>
      </c>
      <c r="AH71" s="35">
        <f>AH72+AH73</f>
        <v>100000</v>
      </c>
      <c r="AI71" s="35">
        <f>AI72+AI73</f>
        <v>0</v>
      </c>
      <c r="AJ71" s="35">
        <v>0</v>
      </c>
      <c r="AK71" s="35">
        <f t="shared" si="87"/>
        <v>100000</v>
      </c>
      <c r="AL71" s="5">
        <f t="shared" si="9"/>
        <v>5398510</v>
      </c>
      <c r="AM71" s="35">
        <f>AM72+AM73</f>
        <v>613606</v>
      </c>
      <c r="AN71" s="35">
        <f>AN72+AN73</f>
        <v>727209</v>
      </c>
      <c r="AO71" s="35">
        <f>AO72+AO73</f>
        <v>3957695</v>
      </c>
      <c r="AP71" s="35">
        <f t="shared" ref="AP71:AP73" si="95">AM71+AN71+AO71</f>
        <v>5298510</v>
      </c>
      <c r="AQ71" s="35">
        <f>AQ72+AQ73</f>
        <v>100000</v>
      </c>
      <c r="AR71" s="35">
        <f>AR72+AR73</f>
        <v>0</v>
      </c>
      <c r="AS71" s="35">
        <v>0</v>
      </c>
      <c r="AT71" s="35">
        <f>AQ71+AR71+AS71</f>
        <v>100000</v>
      </c>
      <c r="AU71" s="35">
        <f>AP71+AT71</f>
        <v>5398510</v>
      </c>
      <c r="AV71" s="35">
        <f>AV72+AV73</f>
        <v>613606</v>
      </c>
      <c r="AW71" s="35">
        <f>AW72+AW73</f>
        <v>727209</v>
      </c>
      <c r="AX71" s="35">
        <f>AX72+AX73</f>
        <v>3957695</v>
      </c>
      <c r="AY71" s="35">
        <f t="shared" ref="AY71:AY73" si="96">AV71+AW71+AX71</f>
        <v>5298510</v>
      </c>
      <c r="AZ71" s="35">
        <f>AZ72+AZ73</f>
        <v>100000</v>
      </c>
      <c r="BA71" s="35">
        <f>BA72+BA73</f>
        <v>0</v>
      </c>
      <c r="BB71" s="35">
        <v>0</v>
      </c>
      <c r="BC71" s="35">
        <f>AZ71+BA71+BB71</f>
        <v>100000</v>
      </c>
      <c r="BD71" s="35">
        <f>AY71+BC71</f>
        <v>5398510</v>
      </c>
    </row>
    <row r="72" spans="1:56" ht="33">
      <c r="A72" s="34" t="s">
        <v>123</v>
      </c>
      <c r="B72" s="7" t="s">
        <v>130</v>
      </c>
      <c r="C72" s="8"/>
      <c r="D72" s="8"/>
      <c r="E72" s="8"/>
      <c r="F72" s="8"/>
      <c r="G72" s="8"/>
      <c r="H72" s="8"/>
      <c r="I72" s="8"/>
      <c r="J72" s="5"/>
      <c r="K72" s="5"/>
      <c r="L72" s="8"/>
      <c r="M72" s="8"/>
      <c r="N72" s="8"/>
      <c r="O72" s="8"/>
      <c r="P72" s="8"/>
      <c r="Q72" s="8"/>
      <c r="R72" s="8"/>
      <c r="S72" s="5"/>
      <c r="T72" s="5"/>
      <c r="U72" s="8">
        <v>751212</v>
      </c>
      <c r="V72" s="8">
        <v>278412</v>
      </c>
      <c r="W72" s="8">
        <v>283404</v>
      </c>
      <c r="X72" s="35">
        <f>U72+V72+W72</f>
        <v>1313028</v>
      </c>
      <c r="Y72" s="8"/>
      <c r="Z72" s="8"/>
      <c r="AA72" s="8"/>
      <c r="AB72" s="35">
        <f>Y72+Z72+AA72</f>
        <v>0</v>
      </c>
      <c r="AC72" s="5">
        <f t="shared" si="8"/>
        <v>1313028</v>
      </c>
      <c r="AD72" s="8">
        <v>429025</v>
      </c>
      <c r="AE72" s="8">
        <v>686788</v>
      </c>
      <c r="AF72" s="8">
        <v>251904</v>
      </c>
      <c r="AG72" s="35">
        <f t="shared" si="88"/>
        <v>1367717</v>
      </c>
      <c r="AH72" s="8"/>
      <c r="AI72" s="8"/>
      <c r="AJ72" s="8"/>
      <c r="AK72" s="35">
        <f t="shared" si="87"/>
        <v>0</v>
      </c>
      <c r="AL72" s="5">
        <f t="shared" ref="AL72:AL135" si="97">AG72+AK72</f>
        <v>1367717</v>
      </c>
      <c r="AM72" s="8">
        <v>429025</v>
      </c>
      <c r="AN72" s="8">
        <v>686788</v>
      </c>
      <c r="AO72" s="8">
        <v>251904</v>
      </c>
      <c r="AP72" s="35">
        <f t="shared" si="95"/>
        <v>1367717</v>
      </c>
      <c r="AQ72" s="8"/>
      <c r="AR72" s="8"/>
      <c r="AS72" s="8"/>
      <c r="AT72" s="5"/>
      <c r="AU72" s="35">
        <f>AP72+AT72</f>
        <v>1367717</v>
      </c>
      <c r="AV72" s="8">
        <v>429025</v>
      </c>
      <c r="AW72" s="8">
        <v>686788</v>
      </c>
      <c r="AX72" s="8">
        <v>251904</v>
      </c>
      <c r="AY72" s="35">
        <f t="shared" si="96"/>
        <v>1367717</v>
      </c>
      <c r="AZ72" s="8"/>
      <c r="BA72" s="8"/>
      <c r="BB72" s="8"/>
      <c r="BC72" s="5"/>
      <c r="BD72" s="35">
        <f>AY72+BC72</f>
        <v>1367717</v>
      </c>
    </row>
    <row r="73" spans="1:56" ht="33">
      <c r="A73" s="9" t="s">
        <v>131</v>
      </c>
      <c r="B73" s="7" t="s">
        <v>132</v>
      </c>
      <c r="C73" s="8">
        <v>90837</v>
      </c>
      <c r="D73" s="8">
        <v>30000</v>
      </c>
      <c r="E73" s="8">
        <v>30000</v>
      </c>
      <c r="F73" s="8">
        <f>C73+D73+E73</f>
        <v>150837</v>
      </c>
      <c r="G73" s="8">
        <f>630000+1520000+168033+900000</f>
        <v>3218033</v>
      </c>
      <c r="H73" s="8"/>
      <c r="I73" s="8">
        <v>9713565</v>
      </c>
      <c r="J73" s="5">
        <f>G73+H73+I73</f>
        <v>12931598</v>
      </c>
      <c r="K73" s="5">
        <f t="shared" si="7"/>
        <v>13082435</v>
      </c>
      <c r="L73" s="8">
        <v>120000</v>
      </c>
      <c r="M73" s="8">
        <v>50000</v>
      </c>
      <c r="N73" s="8">
        <v>43000</v>
      </c>
      <c r="O73" s="8">
        <f>L73+M73+N73</f>
        <v>213000</v>
      </c>
      <c r="P73" s="8">
        <f>1000000</f>
        <v>1000000</v>
      </c>
      <c r="Q73" s="8"/>
      <c r="R73" s="8"/>
      <c r="S73" s="5">
        <f>R73+P73</f>
        <v>1000000</v>
      </c>
      <c r="T73" s="5">
        <f t="shared" si="86"/>
        <v>1213000</v>
      </c>
      <c r="U73" s="8">
        <f>16021+35035+22158+63274</f>
        <v>136488</v>
      </c>
      <c r="V73" s="8">
        <v>231168</v>
      </c>
      <c r="W73" s="8">
        <v>3566491</v>
      </c>
      <c r="X73" s="35">
        <f>U73+V73+W73</f>
        <v>3934147</v>
      </c>
      <c r="Y73" s="8">
        <v>0</v>
      </c>
      <c r="Z73" s="8"/>
      <c r="AA73" s="8"/>
      <c r="AB73" s="35">
        <f>Y73+Z73+AA73</f>
        <v>0</v>
      </c>
      <c r="AC73" s="5">
        <f t="shared" si="8"/>
        <v>3934147</v>
      </c>
      <c r="AD73" s="8">
        <v>184581</v>
      </c>
      <c r="AE73" s="8">
        <v>336325</v>
      </c>
      <c r="AF73" s="8">
        <v>3409887</v>
      </c>
      <c r="AG73" s="35">
        <f t="shared" si="88"/>
        <v>3930793</v>
      </c>
      <c r="AH73" s="8">
        <v>100000</v>
      </c>
      <c r="AI73" s="8"/>
      <c r="AJ73" s="8"/>
      <c r="AK73" s="35">
        <f t="shared" si="87"/>
        <v>100000</v>
      </c>
      <c r="AL73" s="5">
        <f t="shared" si="97"/>
        <v>4030793</v>
      </c>
      <c r="AM73" s="8">
        <v>184581</v>
      </c>
      <c r="AN73" s="8">
        <v>40421</v>
      </c>
      <c r="AO73" s="8">
        <v>3705791</v>
      </c>
      <c r="AP73" s="35">
        <f t="shared" si="95"/>
        <v>3930793</v>
      </c>
      <c r="AQ73" s="8">
        <v>100000</v>
      </c>
      <c r="AR73" s="8"/>
      <c r="AS73" s="8"/>
      <c r="AT73" s="5">
        <v>0</v>
      </c>
      <c r="AU73" s="35">
        <f>AP73+AT73</f>
        <v>3930793</v>
      </c>
      <c r="AV73" s="8">
        <v>184581</v>
      </c>
      <c r="AW73" s="8">
        <v>40421</v>
      </c>
      <c r="AX73" s="8">
        <v>3705791</v>
      </c>
      <c r="AY73" s="35">
        <f t="shared" si="96"/>
        <v>3930793</v>
      </c>
      <c r="AZ73" s="8">
        <v>100000</v>
      </c>
      <c r="BA73" s="8"/>
      <c r="BB73" s="8"/>
      <c r="BC73" s="5">
        <v>0</v>
      </c>
      <c r="BD73" s="35">
        <f>AY73+BC73</f>
        <v>3930793</v>
      </c>
    </row>
    <row r="74" spans="1:56" ht="16.5">
      <c r="A74" s="53" t="s">
        <v>133</v>
      </c>
      <c r="B74" s="54"/>
      <c r="C74" s="5">
        <f>SUM(C75:C79)</f>
        <v>885009</v>
      </c>
      <c r="D74" s="5">
        <f t="shared" ref="D74:J74" si="98">SUM(D75:D79)</f>
        <v>910740</v>
      </c>
      <c r="E74" s="5">
        <f t="shared" si="98"/>
        <v>1623220</v>
      </c>
      <c r="F74" s="5">
        <f t="shared" si="98"/>
        <v>3418969</v>
      </c>
      <c r="G74" s="5">
        <f t="shared" si="98"/>
        <v>37771000</v>
      </c>
      <c r="H74" s="5">
        <f t="shared" si="98"/>
        <v>9028858</v>
      </c>
      <c r="I74" s="5">
        <f t="shared" si="98"/>
        <v>44781142</v>
      </c>
      <c r="J74" s="5">
        <f t="shared" si="98"/>
        <v>91581000</v>
      </c>
      <c r="K74" s="5">
        <f t="shared" si="7"/>
        <v>94999969</v>
      </c>
      <c r="L74" s="5">
        <f>SUM(L75:L79)</f>
        <v>897924</v>
      </c>
      <c r="M74" s="5">
        <f t="shared" ref="M74:S74" si="99">SUM(M75:M79)</f>
        <v>1010740</v>
      </c>
      <c r="N74" s="5">
        <f t="shared" si="99"/>
        <v>1623220</v>
      </c>
      <c r="O74" s="5">
        <f t="shared" si="99"/>
        <v>3531884</v>
      </c>
      <c r="P74" s="5">
        <f t="shared" si="99"/>
        <v>31562336</v>
      </c>
      <c r="Q74" s="5">
        <f t="shared" si="99"/>
        <v>1100000</v>
      </c>
      <c r="R74" s="5">
        <f t="shared" si="99"/>
        <v>27037273</v>
      </c>
      <c r="S74" s="5">
        <f t="shared" si="99"/>
        <v>59699609</v>
      </c>
      <c r="T74" s="5">
        <f t="shared" si="86"/>
        <v>63231493</v>
      </c>
      <c r="U74" s="5">
        <f>SUM(U75:U79)</f>
        <v>1064900</v>
      </c>
      <c r="V74" s="5">
        <f t="shared" ref="V74:AB74" si="100">SUM(V75:V79)</f>
        <v>1438918</v>
      </c>
      <c r="W74" s="5">
        <f t="shared" si="100"/>
        <v>1589225</v>
      </c>
      <c r="X74" s="5">
        <f t="shared" si="100"/>
        <v>4093043</v>
      </c>
      <c r="Y74" s="5">
        <f t="shared" si="100"/>
        <v>73335000</v>
      </c>
      <c r="Z74" s="5">
        <f t="shared" si="100"/>
        <v>0</v>
      </c>
      <c r="AA74" s="5">
        <f t="shared" si="100"/>
        <v>26100000</v>
      </c>
      <c r="AB74" s="5">
        <f t="shared" si="100"/>
        <v>99435000</v>
      </c>
      <c r="AC74" s="5">
        <f t="shared" si="8"/>
        <v>103528043</v>
      </c>
      <c r="AD74" s="5">
        <f>SUM(AD75:AD79)</f>
        <v>1078696</v>
      </c>
      <c r="AE74" s="5">
        <f t="shared" ref="AE74:AK74" si="101">SUM(AE75:AE79)</f>
        <v>2030095</v>
      </c>
      <c r="AF74" s="5">
        <f t="shared" si="101"/>
        <v>673500</v>
      </c>
      <c r="AG74" s="5">
        <f t="shared" si="101"/>
        <v>3782291</v>
      </c>
      <c r="AH74" s="5">
        <f t="shared" si="101"/>
        <v>96030346</v>
      </c>
      <c r="AI74" s="5">
        <f t="shared" si="101"/>
        <v>1500000</v>
      </c>
      <c r="AJ74" s="5">
        <f t="shared" si="101"/>
        <v>5298299</v>
      </c>
      <c r="AK74" s="5">
        <f t="shared" si="101"/>
        <v>102828645</v>
      </c>
      <c r="AL74" s="5">
        <f t="shared" si="97"/>
        <v>106610936</v>
      </c>
      <c r="AM74" s="5">
        <f>SUM(AM75:AM79)</f>
        <v>1078695</v>
      </c>
      <c r="AN74" s="5">
        <f t="shared" ref="AN74:AS74" si="102">SUM(AN75:AN79)</f>
        <v>2082094</v>
      </c>
      <c r="AO74" s="5">
        <f t="shared" si="102"/>
        <v>621500</v>
      </c>
      <c r="AP74" s="5">
        <f t="shared" si="102"/>
        <v>3782289</v>
      </c>
      <c r="AQ74" s="5">
        <f t="shared" si="102"/>
        <v>85000000</v>
      </c>
      <c r="AR74" s="5">
        <f t="shared" si="102"/>
        <v>0</v>
      </c>
      <c r="AS74" s="5">
        <f t="shared" si="102"/>
        <v>11500000</v>
      </c>
      <c r="AT74" s="5">
        <f>AQ74+AR74+AS74</f>
        <v>96500000</v>
      </c>
      <c r="AU74" s="5">
        <f t="shared" si="11"/>
        <v>100282289</v>
      </c>
      <c r="AV74" s="5">
        <f>SUM(AV75:AV79)</f>
        <v>1078695</v>
      </c>
      <c r="AW74" s="5">
        <f t="shared" ref="AW74:BB74" si="103">SUM(AW75:AW79)</f>
        <v>2082094</v>
      </c>
      <c r="AX74" s="5">
        <f t="shared" si="103"/>
        <v>621500</v>
      </c>
      <c r="AY74" s="5">
        <f t="shared" si="103"/>
        <v>3782289</v>
      </c>
      <c r="AZ74" s="5">
        <f t="shared" si="103"/>
        <v>80000000</v>
      </c>
      <c r="BA74" s="5">
        <f t="shared" si="103"/>
        <v>0</v>
      </c>
      <c r="BB74" s="5">
        <f t="shared" si="103"/>
        <v>10000000</v>
      </c>
      <c r="BC74" s="5">
        <f t="shared" si="12"/>
        <v>90000000</v>
      </c>
      <c r="BD74" s="5">
        <f t="shared" si="13"/>
        <v>93782289</v>
      </c>
    </row>
    <row r="75" spans="1:56" ht="33">
      <c r="A75" s="6" t="s">
        <v>134</v>
      </c>
      <c r="B75" s="7" t="s">
        <v>135</v>
      </c>
      <c r="C75" s="8">
        <v>330701</v>
      </c>
      <c r="D75" s="8">
        <v>743740</v>
      </c>
      <c r="E75" s="8">
        <v>324220</v>
      </c>
      <c r="F75" s="8">
        <f>SUM(C75:E75)</f>
        <v>1398661</v>
      </c>
      <c r="G75" s="8">
        <v>9442379</v>
      </c>
      <c r="H75" s="8">
        <v>1082000</v>
      </c>
      <c r="I75" s="8">
        <v>1711142</v>
      </c>
      <c r="J75" s="8">
        <f>SUM(G75:I75)</f>
        <v>12235521</v>
      </c>
      <c r="K75" s="5">
        <f t="shared" si="7"/>
        <v>13634182</v>
      </c>
      <c r="L75" s="8">
        <v>330701</v>
      </c>
      <c r="M75" s="8">
        <v>847740</v>
      </c>
      <c r="N75" s="8">
        <v>324220</v>
      </c>
      <c r="O75" s="8">
        <f>SUM(L75:N75)</f>
        <v>1502661</v>
      </c>
      <c r="P75" s="8">
        <f>2434000+1000000+110000</f>
        <v>3544000</v>
      </c>
      <c r="Q75" s="8"/>
      <c r="R75" s="8"/>
      <c r="S75" s="8">
        <f>SUM(P75:R75)</f>
        <v>3544000</v>
      </c>
      <c r="T75" s="5">
        <f t="shared" si="86"/>
        <v>5046661</v>
      </c>
      <c r="U75" s="8">
        <v>407594</v>
      </c>
      <c r="V75" s="8">
        <v>854918</v>
      </c>
      <c r="W75" s="8">
        <v>989225</v>
      </c>
      <c r="X75" s="8">
        <f>SUM(U75:W75)</f>
        <v>2251737</v>
      </c>
      <c r="Y75" s="8">
        <v>0</v>
      </c>
      <c r="Z75" s="8"/>
      <c r="AA75" s="8"/>
      <c r="AB75" s="8">
        <f>SUM(Y75:AA75)</f>
        <v>0</v>
      </c>
      <c r="AC75" s="5">
        <f t="shared" si="8"/>
        <v>2251737</v>
      </c>
      <c r="AD75" s="8">
        <v>394768</v>
      </c>
      <c r="AE75" s="8">
        <v>1603218</v>
      </c>
      <c r="AF75" s="8">
        <v>0</v>
      </c>
      <c r="AG75" s="8">
        <f>SUM(AD75:AF75)</f>
        <v>1997986</v>
      </c>
      <c r="AH75" s="8">
        <v>0</v>
      </c>
      <c r="AI75" s="8"/>
      <c r="AJ75" s="8"/>
      <c r="AK75" s="8">
        <f>SUM(AH75:AJ75)</f>
        <v>0</v>
      </c>
      <c r="AL75" s="5">
        <f t="shared" si="97"/>
        <v>1997986</v>
      </c>
      <c r="AM75" s="8">
        <v>394768</v>
      </c>
      <c r="AN75" s="8">
        <v>1655217</v>
      </c>
      <c r="AO75" s="8">
        <v>0</v>
      </c>
      <c r="AP75" s="8">
        <f>SUM(AM75:AO75)</f>
        <v>2049985</v>
      </c>
      <c r="AQ75" s="8">
        <v>0</v>
      </c>
      <c r="AR75" s="8"/>
      <c r="AS75" s="8"/>
      <c r="AT75" s="8">
        <f>SUM(AQ75:AS75)</f>
        <v>0</v>
      </c>
      <c r="AU75" s="5">
        <f t="shared" si="11"/>
        <v>2049985</v>
      </c>
      <c r="AV75" s="8">
        <v>394768</v>
      </c>
      <c r="AW75" s="8">
        <v>1655217</v>
      </c>
      <c r="AX75" s="8">
        <v>0</v>
      </c>
      <c r="AY75" s="8">
        <f>SUM(AV75:AX75)</f>
        <v>2049985</v>
      </c>
      <c r="AZ75" s="8">
        <v>0</v>
      </c>
      <c r="BA75" s="8"/>
      <c r="BB75" s="8"/>
      <c r="BC75" s="8">
        <f>SUM(AZ75:BB75)</f>
        <v>0</v>
      </c>
      <c r="BD75" s="5">
        <f t="shared" si="13"/>
        <v>2049985</v>
      </c>
    </row>
    <row r="76" spans="1:56" ht="33">
      <c r="A76" s="6" t="s">
        <v>136</v>
      </c>
      <c r="B76" s="12" t="s">
        <v>137</v>
      </c>
      <c r="C76" s="8">
        <v>363985</v>
      </c>
      <c r="D76" s="8">
        <v>143000</v>
      </c>
      <c r="E76" s="8">
        <v>1213000</v>
      </c>
      <c r="F76" s="8">
        <f>SUM(C76:E76)</f>
        <v>1719985</v>
      </c>
      <c r="G76" s="8">
        <v>11081621</v>
      </c>
      <c r="H76" s="8">
        <v>4092000</v>
      </c>
      <c r="I76" s="8">
        <f>1200000+900000+5528000+5000000+4798000</f>
        <v>17426000</v>
      </c>
      <c r="J76" s="8">
        <f>SUM(G76:I76)</f>
        <v>32599621</v>
      </c>
      <c r="K76" s="5">
        <f t="shared" ref="K76:K124" si="104">F76+J76</f>
        <v>34319606</v>
      </c>
      <c r="L76" s="8">
        <v>372615</v>
      </c>
      <c r="M76" s="8">
        <v>138000</v>
      </c>
      <c r="N76" s="8">
        <v>1149500</v>
      </c>
      <c r="O76" s="8">
        <f>SUM(L76:N76)</f>
        <v>1660115</v>
      </c>
      <c r="P76" s="8">
        <f>2975000+250000+249250+1000000</f>
        <v>4474250</v>
      </c>
      <c r="Q76" s="8">
        <v>600000</v>
      </c>
      <c r="R76" s="8">
        <f>4500000+50000+2500000+7417375+350000</f>
        <v>14817375</v>
      </c>
      <c r="S76" s="8">
        <f>SUM(P76:R76)</f>
        <v>19891625</v>
      </c>
      <c r="T76" s="5">
        <f t="shared" si="86"/>
        <v>21551740</v>
      </c>
      <c r="U76" s="8">
        <v>416889</v>
      </c>
      <c r="V76" s="8">
        <v>413000</v>
      </c>
      <c r="W76" s="8">
        <v>500000</v>
      </c>
      <c r="X76" s="8">
        <f>SUM(U76:W76)</f>
        <v>1329889</v>
      </c>
      <c r="Y76" s="8">
        <v>68335000</v>
      </c>
      <c r="Z76" s="8">
        <v>0</v>
      </c>
      <c r="AA76" s="8">
        <v>15686214</v>
      </c>
      <c r="AB76" s="8">
        <f>SUM(Y76:AA76)</f>
        <v>84021214</v>
      </c>
      <c r="AC76" s="5">
        <f t="shared" ref="AC76:AC124" si="105">X76+AB76</f>
        <v>85351103</v>
      </c>
      <c r="AD76" s="8">
        <v>445228</v>
      </c>
      <c r="AE76" s="8">
        <v>305046</v>
      </c>
      <c r="AF76" s="8">
        <v>566500</v>
      </c>
      <c r="AG76" s="8">
        <f>SUM(AD76:AF76)</f>
        <v>1316774</v>
      </c>
      <c r="AH76" s="8">
        <v>83030346</v>
      </c>
      <c r="AI76" s="8">
        <v>1500000</v>
      </c>
      <c r="AJ76" s="8">
        <v>5298299</v>
      </c>
      <c r="AK76" s="8">
        <f>SUM(AH76:AJ76)</f>
        <v>89828645</v>
      </c>
      <c r="AL76" s="5">
        <f t="shared" si="97"/>
        <v>91145419</v>
      </c>
      <c r="AM76" s="8">
        <v>445227</v>
      </c>
      <c r="AN76" s="8">
        <v>305046</v>
      </c>
      <c r="AO76" s="8">
        <v>514500</v>
      </c>
      <c r="AP76" s="8">
        <f>SUM(AM76:AO76)</f>
        <v>1264773</v>
      </c>
      <c r="AQ76" s="8">
        <v>71030346</v>
      </c>
      <c r="AR76" s="8">
        <v>0</v>
      </c>
      <c r="AS76" s="8">
        <v>11500000</v>
      </c>
      <c r="AT76" s="8">
        <f>SUM(AQ76:AS76)</f>
        <v>82530346</v>
      </c>
      <c r="AU76" s="5">
        <f t="shared" ref="AU76:AU143" si="106">AP76+AT76</f>
        <v>83795119</v>
      </c>
      <c r="AV76" s="8">
        <v>445227</v>
      </c>
      <c r="AW76" s="8">
        <v>305046</v>
      </c>
      <c r="AX76" s="8">
        <v>514500</v>
      </c>
      <c r="AY76" s="8">
        <f>SUM(AV76:AX76)</f>
        <v>1264773</v>
      </c>
      <c r="AZ76" s="8">
        <v>70030346</v>
      </c>
      <c r="BA76" s="8">
        <v>0</v>
      </c>
      <c r="BB76" s="8">
        <v>10000000</v>
      </c>
      <c r="BC76" s="8">
        <f>SUM(AZ76:BB76)</f>
        <v>80030346</v>
      </c>
      <c r="BD76" s="5">
        <f t="shared" ref="BD76:BD144" si="107">AY76+BC76</f>
        <v>81295119</v>
      </c>
    </row>
    <row r="77" spans="1:56" ht="33">
      <c r="A77" s="6" t="s">
        <v>138</v>
      </c>
      <c r="B77" s="10" t="s">
        <v>139</v>
      </c>
      <c r="C77" s="8">
        <v>121797</v>
      </c>
      <c r="D77" s="8">
        <v>0</v>
      </c>
      <c r="E77" s="8">
        <v>0</v>
      </c>
      <c r="F77" s="8">
        <f>SUM(C77:E77)</f>
        <v>121797</v>
      </c>
      <c r="G77" s="8">
        <v>10938000</v>
      </c>
      <c r="H77" s="8">
        <v>3854858</v>
      </c>
      <c r="I77" s="8">
        <f>4000000+1500000+2000000+6000000+1350000+1000000+2000000</f>
        <v>17850000</v>
      </c>
      <c r="J77" s="8">
        <f>SUM(G77:I77)</f>
        <v>32642858</v>
      </c>
      <c r="K77" s="5">
        <f t="shared" si="104"/>
        <v>32764655</v>
      </c>
      <c r="L77" s="8">
        <v>110783</v>
      </c>
      <c r="M77" s="8">
        <v>5000</v>
      </c>
      <c r="N77" s="8">
        <v>34500</v>
      </c>
      <c r="O77" s="8">
        <f>SUM(L77:N77)</f>
        <v>150283</v>
      </c>
      <c r="P77" s="8">
        <v>15544965</v>
      </c>
      <c r="Q77" s="8">
        <v>500000</v>
      </c>
      <c r="R77" s="8"/>
      <c r="S77" s="8">
        <f>SUM(P77:R77)</f>
        <v>16044965</v>
      </c>
      <c r="T77" s="5">
        <f t="shared" si="86"/>
        <v>16195248</v>
      </c>
      <c r="U77" s="8">
        <v>123798</v>
      </c>
      <c r="V77" s="8">
        <v>45000</v>
      </c>
      <c r="W77" s="8">
        <v>0</v>
      </c>
      <c r="X77" s="8">
        <f>SUM(U77:W77)</f>
        <v>168798</v>
      </c>
      <c r="Y77" s="8">
        <v>0</v>
      </c>
      <c r="Z77" s="8">
        <v>0</v>
      </c>
      <c r="AA77" s="8"/>
      <c r="AB77" s="8">
        <f>SUM(Y77:AA77)</f>
        <v>0</v>
      </c>
      <c r="AC77" s="5">
        <f t="shared" si="105"/>
        <v>168798</v>
      </c>
      <c r="AD77" s="8">
        <v>119797</v>
      </c>
      <c r="AE77" s="8">
        <v>35378</v>
      </c>
      <c r="AF77" s="8">
        <v>0</v>
      </c>
      <c r="AG77" s="8">
        <f>SUM(AD77:AF77)</f>
        <v>155175</v>
      </c>
      <c r="AH77" s="8">
        <v>0</v>
      </c>
      <c r="AI77" s="8">
        <v>0</v>
      </c>
      <c r="AJ77" s="8"/>
      <c r="AK77" s="8">
        <f>SUM(AH77:AJ77)</f>
        <v>0</v>
      </c>
      <c r="AL77" s="5">
        <f t="shared" si="97"/>
        <v>155175</v>
      </c>
      <c r="AM77" s="8">
        <v>119797</v>
      </c>
      <c r="AN77" s="8">
        <v>35378</v>
      </c>
      <c r="AO77" s="8">
        <v>0</v>
      </c>
      <c r="AP77" s="8">
        <f>SUM(AM77:AO77)</f>
        <v>155175</v>
      </c>
      <c r="AQ77" s="8">
        <v>0</v>
      </c>
      <c r="AR77" s="8">
        <v>0</v>
      </c>
      <c r="AS77" s="8"/>
      <c r="AT77" s="8">
        <f>SUM(AQ77:AS77)</f>
        <v>0</v>
      </c>
      <c r="AU77" s="5">
        <f t="shared" si="106"/>
        <v>155175</v>
      </c>
      <c r="AV77" s="8">
        <v>119797</v>
      </c>
      <c r="AW77" s="8">
        <v>35378</v>
      </c>
      <c r="AX77" s="8">
        <v>0</v>
      </c>
      <c r="AY77" s="8">
        <f>SUM(AV77:AX77)</f>
        <v>155175</v>
      </c>
      <c r="AZ77" s="8">
        <v>0</v>
      </c>
      <c r="BA77" s="8">
        <v>0</v>
      </c>
      <c r="BB77" s="8"/>
      <c r="BC77" s="8">
        <f>SUM(AZ77:BB77)</f>
        <v>0</v>
      </c>
      <c r="BD77" s="5">
        <f t="shared" si="107"/>
        <v>155175</v>
      </c>
    </row>
    <row r="78" spans="1:56" ht="16.5">
      <c r="A78" s="6" t="s">
        <v>140</v>
      </c>
      <c r="B78" s="10" t="s">
        <v>141</v>
      </c>
      <c r="C78" s="8">
        <v>41589</v>
      </c>
      <c r="D78" s="8">
        <v>9000</v>
      </c>
      <c r="E78" s="8">
        <v>20000</v>
      </c>
      <c r="F78" s="8">
        <f>SUM(C78:E78)</f>
        <v>70589</v>
      </c>
      <c r="G78" s="8">
        <v>0</v>
      </c>
      <c r="H78" s="8"/>
      <c r="I78" s="8"/>
      <c r="J78" s="8">
        <f>SUM(G78:I78)</f>
        <v>0</v>
      </c>
      <c r="K78" s="5">
        <f t="shared" si="104"/>
        <v>70589</v>
      </c>
      <c r="L78" s="8">
        <v>45616</v>
      </c>
      <c r="M78" s="8">
        <v>10000</v>
      </c>
      <c r="N78" s="8">
        <v>37000</v>
      </c>
      <c r="O78" s="8">
        <f>SUM(L78:N78)</f>
        <v>92616</v>
      </c>
      <c r="P78" s="8"/>
      <c r="Q78" s="8"/>
      <c r="R78" s="8"/>
      <c r="S78" s="8">
        <f>SUM(P78:R78)</f>
        <v>0</v>
      </c>
      <c r="T78" s="5">
        <f t="shared" si="86"/>
        <v>92616</v>
      </c>
      <c r="U78" s="8">
        <v>55554</v>
      </c>
      <c r="V78" s="8">
        <v>73000</v>
      </c>
      <c r="W78" s="8">
        <v>0</v>
      </c>
      <c r="X78" s="8">
        <f>SUM(U78:W78)</f>
        <v>128554</v>
      </c>
      <c r="Y78" s="8"/>
      <c r="Z78" s="8"/>
      <c r="AA78" s="8"/>
      <c r="AB78" s="8">
        <f>SUM(Y78:AA78)</f>
        <v>0</v>
      </c>
      <c r="AC78" s="5">
        <f t="shared" si="105"/>
        <v>128554</v>
      </c>
      <c r="AD78" s="8">
        <v>52885</v>
      </c>
      <c r="AE78" s="8">
        <v>43453</v>
      </c>
      <c r="AF78" s="8">
        <v>17000</v>
      </c>
      <c r="AG78" s="8">
        <f>SUM(AD78:AF78)</f>
        <v>113338</v>
      </c>
      <c r="AH78" s="8"/>
      <c r="AI78" s="8"/>
      <c r="AJ78" s="8"/>
      <c r="AK78" s="8">
        <f>SUM(AH78:AJ78)</f>
        <v>0</v>
      </c>
      <c r="AL78" s="5">
        <f t="shared" si="97"/>
        <v>113338</v>
      </c>
      <c r="AM78" s="8">
        <v>52885</v>
      </c>
      <c r="AN78" s="8">
        <v>43453</v>
      </c>
      <c r="AO78" s="8">
        <v>17000</v>
      </c>
      <c r="AP78" s="8">
        <f>SUM(AM78:AO78)</f>
        <v>113338</v>
      </c>
      <c r="AQ78" s="8"/>
      <c r="AR78" s="8"/>
      <c r="AS78" s="8"/>
      <c r="AT78" s="8">
        <f>SUM(AQ78:AS78)</f>
        <v>0</v>
      </c>
      <c r="AU78" s="5">
        <f t="shared" si="106"/>
        <v>113338</v>
      </c>
      <c r="AV78" s="8">
        <v>52885</v>
      </c>
      <c r="AW78" s="8">
        <v>43453</v>
      </c>
      <c r="AX78" s="8">
        <v>17000</v>
      </c>
      <c r="AY78" s="8">
        <f>SUM(AV78:AX78)</f>
        <v>113338</v>
      </c>
      <c r="AZ78" s="8"/>
      <c r="BA78" s="8"/>
      <c r="BB78" s="8"/>
      <c r="BC78" s="8">
        <f>SUM(AZ78:BB78)</f>
        <v>0</v>
      </c>
      <c r="BD78" s="5">
        <f t="shared" si="107"/>
        <v>113338</v>
      </c>
    </row>
    <row r="79" spans="1:56" ht="16.5">
      <c r="A79" s="9" t="s">
        <v>142</v>
      </c>
      <c r="B79" s="10" t="s">
        <v>143</v>
      </c>
      <c r="C79" s="8">
        <v>26937</v>
      </c>
      <c r="D79" s="8">
        <v>15000</v>
      </c>
      <c r="E79" s="8">
        <v>66000</v>
      </c>
      <c r="F79" s="8">
        <f>SUM(C79:E79)</f>
        <v>107937</v>
      </c>
      <c r="G79" s="8">
        <v>6309000</v>
      </c>
      <c r="H79" s="8"/>
      <c r="I79" s="8">
        <v>7794000</v>
      </c>
      <c r="J79" s="8">
        <f>SUM(G79:I79)</f>
        <v>14103000</v>
      </c>
      <c r="K79" s="5">
        <f t="shared" si="104"/>
        <v>14210937</v>
      </c>
      <c r="L79" s="8">
        <v>38209</v>
      </c>
      <c r="M79" s="8">
        <v>10000</v>
      </c>
      <c r="N79" s="8">
        <v>78000</v>
      </c>
      <c r="O79" s="8">
        <f>SUM(L79:N79)</f>
        <v>126209</v>
      </c>
      <c r="P79" s="8">
        <v>7999121</v>
      </c>
      <c r="Q79" s="8"/>
      <c r="R79" s="8">
        <v>12219898</v>
      </c>
      <c r="S79" s="8">
        <f>SUM(P79:R79)</f>
        <v>20219019</v>
      </c>
      <c r="T79" s="5">
        <f t="shared" si="86"/>
        <v>20345228</v>
      </c>
      <c r="U79" s="8">
        <v>61065</v>
      </c>
      <c r="V79" s="8">
        <v>53000</v>
      </c>
      <c r="W79" s="8">
        <v>100000</v>
      </c>
      <c r="X79" s="8">
        <f>SUM(U79:W79)</f>
        <v>214065</v>
      </c>
      <c r="Y79" s="8">
        <v>5000000</v>
      </c>
      <c r="Z79" s="8"/>
      <c r="AA79" s="8">
        <v>10413786</v>
      </c>
      <c r="AB79" s="8">
        <f>SUM(Y79:AA79)</f>
        <v>15413786</v>
      </c>
      <c r="AC79" s="5">
        <f t="shared" si="105"/>
        <v>15627851</v>
      </c>
      <c r="AD79" s="8">
        <v>66018</v>
      </c>
      <c r="AE79" s="8">
        <v>43000</v>
      </c>
      <c r="AF79" s="8">
        <v>90000</v>
      </c>
      <c r="AG79" s="8">
        <f>SUM(AD79:AF79)</f>
        <v>199018</v>
      </c>
      <c r="AH79" s="8">
        <v>13000000</v>
      </c>
      <c r="AI79" s="8"/>
      <c r="AJ79" s="8">
        <v>0</v>
      </c>
      <c r="AK79" s="8">
        <f>SUM(AH79:AJ79)</f>
        <v>13000000</v>
      </c>
      <c r="AL79" s="5">
        <f t="shared" si="97"/>
        <v>13199018</v>
      </c>
      <c r="AM79" s="8">
        <v>66018</v>
      </c>
      <c r="AN79" s="8">
        <v>43000</v>
      </c>
      <c r="AO79" s="8">
        <v>90000</v>
      </c>
      <c r="AP79" s="8">
        <f>SUM(AM79:AO79)</f>
        <v>199018</v>
      </c>
      <c r="AQ79" s="8">
        <v>13969654</v>
      </c>
      <c r="AR79" s="8"/>
      <c r="AS79" s="8">
        <v>0</v>
      </c>
      <c r="AT79" s="8">
        <f>SUM(AQ79:AS79)</f>
        <v>13969654</v>
      </c>
      <c r="AU79" s="5">
        <f t="shared" si="106"/>
        <v>14168672</v>
      </c>
      <c r="AV79" s="8">
        <v>66018</v>
      </c>
      <c r="AW79" s="8">
        <v>43000</v>
      </c>
      <c r="AX79" s="8">
        <v>90000</v>
      </c>
      <c r="AY79" s="8">
        <f>SUM(AV79:AX79)</f>
        <v>199018</v>
      </c>
      <c r="AZ79" s="8">
        <v>9969654</v>
      </c>
      <c r="BA79" s="8"/>
      <c r="BB79" s="8">
        <v>0</v>
      </c>
      <c r="BC79" s="8">
        <f>SUM(AZ79:BB79)</f>
        <v>9969654</v>
      </c>
      <c r="BD79" s="5">
        <f t="shared" si="107"/>
        <v>10168672</v>
      </c>
    </row>
    <row r="80" spans="1:56" ht="16.5">
      <c r="A80" s="53" t="s">
        <v>144</v>
      </c>
      <c r="B80" s="54"/>
      <c r="C80" s="5">
        <f>SUM(C81:C84)</f>
        <v>647575</v>
      </c>
      <c r="D80" s="5">
        <f t="shared" ref="D80:J80" si="108">SUM(D81:D84)</f>
        <v>874594</v>
      </c>
      <c r="E80" s="5">
        <f t="shared" si="108"/>
        <v>1126655</v>
      </c>
      <c r="F80" s="5">
        <f t="shared" si="108"/>
        <v>2648824</v>
      </c>
      <c r="G80" s="5">
        <f t="shared" si="108"/>
        <v>1006000</v>
      </c>
      <c r="H80" s="5">
        <f t="shared" si="108"/>
        <v>488489</v>
      </c>
      <c r="I80" s="5">
        <f t="shared" si="108"/>
        <v>0</v>
      </c>
      <c r="J80" s="5">
        <f t="shared" si="108"/>
        <v>1494489</v>
      </c>
      <c r="K80" s="5">
        <f t="shared" si="104"/>
        <v>4143313</v>
      </c>
      <c r="L80" s="5">
        <f>SUM(L81:L84)</f>
        <v>727960</v>
      </c>
      <c r="M80" s="5">
        <f t="shared" ref="M80:S80" si="109">SUM(M81:M84)</f>
        <v>1096248</v>
      </c>
      <c r="N80" s="5">
        <f t="shared" si="109"/>
        <v>1005000</v>
      </c>
      <c r="O80" s="5">
        <f t="shared" si="109"/>
        <v>2829208</v>
      </c>
      <c r="P80" s="5">
        <f t="shared" si="109"/>
        <v>500000</v>
      </c>
      <c r="Q80" s="5">
        <f t="shared" si="109"/>
        <v>0</v>
      </c>
      <c r="R80" s="5">
        <f t="shared" si="109"/>
        <v>0</v>
      </c>
      <c r="S80" s="5">
        <f t="shared" si="109"/>
        <v>500000</v>
      </c>
      <c r="T80" s="5">
        <f t="shared" si="86"/>
        <v>3329208</v>
      </c>
      <c r="U80" s="5">
        <f>SUM(U81:U84)</f>
        <v>1113500</v>
      </c>
      <c r="V80" s="5">
        <f t="shared" ref="V80:AB80" si="110">SUM(V81:V84)</f>
        <v>1039550</v>
      </c>
      <c r="W80" s="5">
        <f t="shared" si="110"/>
        <v>809675</v>
      </c>
      <c r="X80" s="5">
        <f t="shared" si="110"/>
        <v>2962725</v>
      </c>
      <c r="Y80" s="5">
        <f t="shared" si="110"/>
        <v>400000</v>
      </c>
      <c r="Z80" s="5">
        <f t="shared" si="110"/>
        <v>0</v>
      </c>
      <c r="AA80" s="5">
        <f t="shared" si="110"/>
        <v>0</v>
      </c>
      <c r="AB80" s="5">
        <f t="shared" si="110"/>
        <v>400000</v>
      </c>
      <c r="AC80" s="5">
        <f t="shared" si="105"/>
        <v>3362725</v>
      </c>
      <c r="AD80" s="5">
        <f>SUM(AD81:AD84)</f>
        <v>752287</v>
      </c>
      <c r="AE80" s="5">
        <f t="shared" ref="AE80:AK80" si="111">SUM(AE81:AE84)</f>
        <v>1554743</v>
      </c>
      <c r="AF80" s="5">
        <f t="shared" si="111"/>
        <v>489000</v>
      </c>
      <c r="AG80" s="5">
        <f t="shared" si="111"/>
        <v>2796030</v>
      </c>
      <c r="AH80" s="5">
        <f t="shared" si="111"/>
        <v>600000</v>
      </c>
      <c r="AI80" s="5">
        <f t="shared" si="111"/>
        <v>0</v>
      </c>
      <c r="AJ80" s="5">
        <f t="shared" si="111"/>
        <v>0</v>
      </c>
      <c r="AK80" s="5">
        <f t="shared" si="111"/>
        <v>600000</v>
      </c>
      <c r="AL80" s="5">
        <f t="shared" si="97"/>
        <v>3396030</v>
      </c>
      <c r="AM80" s="5">
        <f>SUM(AM81:AM84)</f>
        <v>752287</v>
      </c>
      <c r="AN80" s="5">
        <f t="shared" ref="AN80:AS80" si="112">SUM(AN81:AN84)</f>
        <v>1554743</v>
      </c>
      <c r="AO80" s="5">
        <f t="shared" si="112"/>
        <v>489000</v>
      </c>
      <c r="AP80" s="5">
        <f t="shared" si="112"/>
        <v>2796030</v>
      </c>
      <c r="AQ80" s="5">
        <f t="shared" si="112"/>
        <v>500000</v>
      </c>
      <c r="AR80" s="5">
        <f t="shared" si="112"/>
        <v>0</v>
      </c>
      <c r="AS80" s="5">
        <f t="shared" si="112"/>
        <v>0</v>
      </c>
      <c r="AT80" s="5">
        <f t="shared" ref="AT80:AT88" si="113">AQ80+AR80+AS80</f>
        <v>500000</v>
      </c>
      <c r="AU80" s="5">
        <f t="shared" si="106"/>
        <v>3296030</v>
      </c>
      <c r="AV80" s="5">
        <f>SUM(AV81:AV84)</f>
        <v>752287</v>
      </c>
      <c r="AW80" s="5">
        <f t="shared" ref="AW80:BB80" si="114">SUM(AW81:AW84)</f>
        <v>1554743</v>
      </c>
      <c r="AX80" s="5">
        <f t="shared" si="114"/>
        <v>489000</v>
      </c>
      <c r="AY80" s="5">
        <f t="shared" si="114"/>
        <v>2796030</v>
      </c>
      <c r="AZ80" s="5">
        <f t="shared" si="114"/>
        <v>500000</v>
      </c>
      <c r="BA80" s="5">
        <f t="shared" si="114"/>
        <v>0</v>
      </c>
      <c r="BB80" s="5">
        <f t="shared" si="114"/>
        <v>0</v>
      </c>
      <c r="BC80" s="5">
        <f t="shared" ref="BC80:BC143" si="115">AZ80+BA80+BB80</f>
        <v>500000</v>
      </c>
      <c r="BD80" s="5">
        <f t="shared" si="107"/>
        <v>3296030</v>
      </c>
    </row>
    <row r="81" spans="1:56" ht="33">
      <c r="A81" s="6" t="s">
        <v>145</v>
      </c>
      <c r="B81" s="10" t="s">
        <v>146</v>
      </c>
      <c r="C81" s="8">
        <v>298862</v>
      </c>
      <c r="D81" s="8">
        <v>602794</v>
      </c>
      <c r="E81" s="8">
        <v>328828</v>
      </c>
      <c r="F81" s="5">
        <f>C81+D81+E81</f>
        <v>1230484</v>
      </c>
      <c r="G81" s="8">
        <v>651000</v>
      </c>
      <c r="H81" s="8"/>
      <c r="I81" s="8"/>
      <c r="J81" s="8">
        <f>SUM(G81:I81)</f>
        <v>651000</v>
      </c>
      <c r="K81" s="5">
        <f t="shared" si="104"/>
        <v>1881484</v>
      </c>
      <c r="L81" s="8">
        <v>349871</v>
      </c>
      <c r="M81" s="8">
        <f>696700+143548+30000</f>
        <v>870248</v>
      </c>
      <c r="N81" s="8">
        <v>204000</v>
      </c>
      <c r="O81" s="8">
        <f>SUM(L81:N81)</f>
        <v>1424119</v>
      </c>
      <c r="P81" s="8"/>
      <c r="Q81" s="8"/>
      <c r="R81" s="8"/>
      <c r="S81" s="8">
        <f>SUM(P81:R81)</f>
        <v>0</v>
      </c>
      <c r="T81" s="5">
        <f>O81+S81</f>
        <v>1424119</v>
      </c>
      <c r="U81" s="8">
        <v>735411</v>
      </c>
      <c r="V81" s="8">
        <v>813550</v>
      </c>
      <c r="W81" s="8">
        <f>204000-24246</f>
        <v>179754</v>
      </c>
      <c r="X81" s="8">
        <f>SUM(U81:W81)</f>
        <v>1728715</v>
      </c>
      <c r="Y81" s="8"/>
      <c r="Z81" s="8"/>
      <c r="AA81" s="8"/>
      <c r="AB81" s="8">
        <f>SUM(Y81:AA81)</f>
        <v>0</v>
      </c>
      <c r="AC81" s="5">
        <f t="shared" si="105"/>
        <v>1728715</v>
      </c>
      <c r="AD81" s="8">
        <v>268335</v>
      </c>
      <c r="AE81" s="8">
        <v>1156743</v>
      </c>
      <c r="AF81" s="8">
        <v>0</v>
      </c>
      <c r="AG81" s="8">
        <f>SUM(AD81:AF81)</f>
        <v>1425078</v>
      </c>
      <c r="AH81" s="8"/>
      <c r="AI81" s="8"/>
      <c r="AJ81" s="8"/>
      <c r="AK81" s="8">
        <f>SUM(AH81:AJ81)</f>
        <v>0</v>
      </c>
      <c r="AL81" s="5">
        <f t="shared" si="97"/>
        <v>1425078</v>
      </c>
      <c r="AM81" s="8">
        <v>268335</v>
      </c>
      <c r="AN81" s="8">
        <v>1156743</v>
      </c>
      <c r="AO81" s="8">
        <v>0</v>
      </c>
      <c r="AP81" s="8">
        <f>SUM(AM81:AO81)</f>
        <v>1425078</v>
      </c>
      <c r="AQ81" s="8"/>
      <c r="AR81" s="8"/>
      <c r="AS81" s="8"/>
      <c r="AT81" s="5">
        <f t="shared" si="113"/>
        <v>0</v>
      </c>
      <c r="AU81" s="5">
        <f t="shared" si="106"/>
        <v>1425078</v>
      </c>
      <c r="AV81" s="8">
        <v>268335</v>
      </c>
      <c r="AW81" s="8">
        <v>1156743</v>
      </c>
      <c r="AX81" s="8">
        <v>0</v>
      </c>
      <c r="AY81" s="8">
        <f>SUM(AV81:AX81)</f>
        <v>1425078</v>
      </c>
      <c r="AZ81" s="8"/>
      <c r="BA81" s="8"/>
      <c r="BB81" s="8"/>
      <c r="BC81" s="5">
        <f t="shared" si="115"/>
        <v>0</v>
      </c>
      <c r="BD81" s="5">
        <f t="shared" si="107"/>
        <v>1425078</v>
      </c>
    </row>
    <row r="82" spans="1:56" ht="16.5">
      <c r="A82" s="6" t="s">
        <v>147</v>
      </c>
      <c r="B82" s="7" t="s">
        <v>148</v>
      </c>
      <c r="C82" s="8">
        <v>30070</v>
      </c>
      <c r="D82" s="8">
        <v>23800</v>
      </c>
      <c r="E82" s="8">
        <v>231700</v>
      </c>
      <c r="F82" s="5">
        <f>C82+D82+E82</f>
        <v>285570</v>
      </c>
      <c r="G82" s="8"/>
      <c r="H82" s="8"/>
      <c r="I82" s="8"/>
      <c r="J82" s="8">
        <f>SUM(G82:I82)</f>
        <v>0</v>
      </c>
      <c r="K82" s="5">
        <f t="shared" si="104"/>
        <v>285570</v>
      </c>
      <c r="L82" s="8">
        <v>23548</v>
      </c>
      <c r="M82" s="8">
        <v>30000</v>
      </c>
      <c r="N82" s="8">
        <v>75000</v>
      </c>
      <c r="O82" s="8">
        <f>SUM(L82:N82)</f>
        <v>128548</v>
      </c>
      <c r="P82" s="8">
        <v>0</v>
      </c>
      <c r="Q82" s="8"/>
      <c r="R82" s="8"/>
      <c r="S82" s="8">
        <f>SUM(P82:R82)</f>
        <v>0</v>
      </c>
      <c r="T82" s="5">
        <f>O82+S82</f>
        <v>128548</v>
      </c>
      <c r="U82" s="8">
        <v>23548</v>
      </c>
      <c r="V82" s="8">
        <v>30000</v>
      </c>
      <c r="W82" s="8">
        <v>75000</v>
      </c>
      <c r="X82" s="8">
        <f>SUM(U82:W82)</f>
        <v>128548</v>
      </c>
      <c r="Y82" s="8">
        <v>0</v>
      </c>
      <c r="Z82" s="8"/>
      <c r="AA82" s="8"/>
      <c r="AB82" s="8">
        <f>SUM(Y82:AA82)</f>
        <v>0</v>
      </c>
      <c r="AC82" s="5">
        <f t="shared" si="105"/>
        <v>128548</v>
      </c>
      <c r="AD82" s="8">
        <v>152057</v>
      </c>
      <c r="AE82" s="8">
        <v>65000</v>
      </c>
      <c r="AF82" s="8">
        <v>489000</v>
      </c>
      <c r="AG82" s="8">
        <f>SUM(AD82:AF82)</f>
        <v>706057</v>
      </c>
      <c r="AH82" s="8">
        <v>0</v>
      </c>
      <c r="AI82" s="8">
        <v>0</v>
      </c>
      <c r="AJ82" s="8">
        <v>0</v>
      </c>
      <c r="AK82" s="8">
        <f>SUM(AH82:AJ82)</f>
        <v>0</v>
      </c>
      <c r="AL82" s="5">
        <f t="shared" si="97"/>
        <v>706057</v>
      </c>
      <c r="AM82" s="8">
        <v>152057</v>
      </c>
      <c r="AN82" s="8">
        <v>65000</v>
      </c>
      <c r="AO82" s="8">
        <v>489000</v>
      </c>
      <c r="AP82" s="8">
        <f>SUM(AM82:AO82)</f>
        <v>706057</v>
      </c>
      <c r="AQ82" s="8">
        <v>0</v>
      </c>
      <c r="AR82" s="8">
        <v>0</v>
      </c>
      <c r="AS82" s="8">
        <v>0</v>
      </c>
      <c r="AT82" s="5">
        <f t="shared" si="113"/>
        <v>0</v>
      </c>
      <c r="AU82" s="5">
        <f t="shared" si="106"/>
        <v>706057</v>
      </c>
      <c r="AV82" s="8">
        <v>152057</v>
      </c>
      <c r="AW82" s="8">
        <v>65000</v>
      </c>
      <c r="AX82" s="8">
        <v>489000</v>
      </c>
      <c r="AY82" s="8">
        <f>SUM(AV82:AX82)</f>
        <v>706057</v>
      </c>
      <c r="AZ82" s="8">
        <v>0</v>
      </c>
      <c r="BA82" s="8">
        <v>0</v>
      </c>
      <c r="BB82" s="8">
        <v>0</v>
      </c>
      <c r="BC82" s="5">
        <f t="shared" si="115"/>
        <v>0</v>
      </c>
      <c r="BD82" s="5">
        <f t="shared" si="107"/>
        <v>706057</v>
      </c>
    </row>
    <row r="83" spans="1:56" ht="16.5">
      <c r="A83" s="6" t="s">
        <v>149</v>
      </c>
      <c r="B83" s="7" t="s">
        <v>150</v>
      </c>
      <c r="C83" s="8">
        <v>108396</v>
      </c>
      <c r="D83" s="8">
        <v>34000</v>
      </c>
      <c r="E83" s="8">
        <v>74600</v>
      </c>
      <c r="F83" s="5">
        <f>C83+D83+E83</f>
        <v>216996</v>
      </c>
      <c r="G83" s="8">
        <v>355000</v>
      </c>
      <c r="H83" s="8">
        <v>488489</v>
      </c>
      <c r="I83" s="8">
        <v>0</v>
      </c>
      <c r="J83" s="8">
        <f>SUM(G83:I83)</f>
        <v>843489</v>
      </c>
      <c r="K83" s="5">
        <f t="shared" si="104"/>
        <v>1060485</v>
      </c>
      <c r="L83" s="8">
        <v>85865</v>
      </c>
      <c r="M83" s="8">
        <v>40000</v>
      </c>
      <c r="N83" s="8">
        <v>60000</v>
      </c>
      <c r="O83" s="8">
        <f>SUM(L83:N83)</f>
        <v>185865</v>
      </c>
      <c r="P83" s="8">
        <v>0</v>
      </c>
      <c r="Q83" s="8">
        <v>0</v>
      </c>
      <c r="R83" s="8">
        <v>0</v>
      </c>
      <c r="S83" s="8">
        <f>SUM(P83:R83)</f>
        <v>0</v>
      </c>
      <c r="T83" s="5">
        <f>O83+S83</f>
        <v>185865</v>
      </c>
      <c r="U83" s="8">
        <v>85865</v>
      </c>
      <c r="V83" s="8">
        <v>40000</v>
      </c>
      <c r="W83" s="8">
        <v>60000</v>
      </c>
      <c r="X83" s="8">
        <f>SUM(U83:W83)</f>
        <v>185865</v>
      </c>
      <c r="Y83" s="8">
        <v>0</v>
      </c>
      <c r="Z83" s="8">
        <v>0</v>
      </c>
      <c r="AA83" s="8">
        <v>0</v>
      </c>
      <c r="AB83" s="8">
        <f>SUM(Y83:AA83)</f>
        <v>0</v>
      </c>
      <c r="AC83" s="5">
        <f t="shared" si="105"/>
        <v>185865</v>
      </c>
      <c r="AD83" s="8">
        <v>331895</v>
      </c>
      <c r="AE83" s="8">
        <v>333000</v>
      </c>
      <c r="AF83" s="8">
        <v>0</v>
      </c>
      <c r="AG83" s="8">
        <f>SUM(AD83:AF83)</f>
        <v>664895</v>
      </c>
      <c r="AH83" s="8">
        <v>600000</v>
      </c>
      <c r="AI83" s="8">
        <v>0</v>
      </c>
      <c r="AJ83" s="8">
        <v>0</v>
      </c>
      <c r="AK83" s="8">
        <f>SUM(AH83:AJ83)</f>
        <v>600000</v>
      </c>
      <c r="AL83" s="5">
        <f t="shared" si="97"/>
        <v>1264895</v>
      </c>
      <c r="AM83" s="8">
        <v>331895</v>
      </c>
      <c r="AN83" s="8">
        <v>333000</v>
      </c>
      <c r="AO83" s="8">
        <v>0</v>
      </c>
      <c r="AP83" s="8">
        <f>SUM(AM83:AO83)</f>
        <v>664895</v>
      </c>
      <c r="AQ83" s="8">
        <v>500000</v>
      </c>
      <c r="AR83" s="8">
        <v>0</v>
      </c>
      <c r="AS83" s="8">
        <v>0</v>
      </c>
      <c r="AT83" s="5">
        <f t="shared" si="113"/>
        <v>500000</v>
      </c>
      <c r="AU83" s="5">
        <f t="shared" si="106"/>
        <v>1164895</v>
      </c>
      <c r="AV83" s="8">
        <v>331895</v>
      </c>
      <c r="AW83" s="8">
        <v>333000</v>
      </c>
      <c r="AX83" s="8">
        <v>0</v>
      </c>
      <c r="AY83" s="8">
        <f>SUM(AV83:AX83)</f>
        <v>664895</v>
      </c>
      <c r="AZ83" s="8">
        <v>500000</v>
      </c>
      <c r="BA83" s="8">
        <v>0</v>
      </c>
      <c r="BB83" s="8">
        <v>0</v>
      </c>
      <c r="BC83" s="5">
        <f t="shared" si="115"/>
        <v>500000</v>
      </c>
      <c r="BD83" s="5">
        <f t="shared" si="107"/>
        <v>1164895</v>
      </c>
    </row>
    <row r="84" spans="1:56" ht="16.5">
      <c r="A84" s="9" t="s">
        <v>151</v>
      </c>
      <c r="B84" s="7" t="s">
        <v>152</v>
      </c>
      <c r="C84" s="8">
        <v>210247</v>
      </c>
      <c r="D84" s="8">
        <v>214000</v>
      </c>
      <c r="E84" s="8">
        <f>875281-283754-100000</f>
        <v>491527</v>
      </c>
      <c r="F84" s="5">
        <f>C84+D84+E84</f>
        <v>915774</v>
      </c>
      <c r="G84" s="8">
        <v>0</v>
      </c>
      <c r="H84" s="8">
        <v>0</v>
      </c>
      <c r="I84" s="8"/>
      <c r="J84" s="8">
        <f>SUM(G84:I84)</f>
        <v>0</v>
      </c>
      <c r="K84" s="5">
        <f t="shared" si="104"/>
        <v>915774</v>
      </c>
      <c r="L84" s="8">
        <v>268676</v>
      </c>
      <c r="M84" s="8">
        <v>156000</v>
      </c>
      <c r="N84" s="8">
        <v>666000</v>
      </c>
      <c r="O84" s="8">
        <f>SUM(L84:N84)</f>
        <v>1090676</v>
      </c>
      <c r="P84" s="8">
        <v>500000</v>
      </c>
      <c r="Q84" s="8"/>
      <c r="R84" s="8"/>
      <c r="S84" s="8">
        <f>SUM(P84:R84)</f>
        <v>500000</v>
      </c>
      <c r="T84" s="5">
        <f>O84+S84</f>
        <v>1590676</v>
      </c>
      <c r="U84" s="8">
        <v>268676</v>
      </c>
      <c r="V84" s="8">
        <v>156000</v>
      </c>
      <c r="W84" s="8">
        <v>494921</v>
      </c>
      <c r="X84" s="8">
        <f>SUM(U84:W84)</f>
        <v>919597</v>
      </c>
      <c r="Y84" s="8">
        <v>400000</v>
      </c>
      <c r="Z84" s="8"/>
      <c r="AA84" s="8"/>
      <c r="AB84" s="8">
        <f>SUM(Y84:AA84)</f>
        <v>400000</v>
      </c>
      <c r="AC84" s="5">
        <f t="shared" si="105"/>
        <v>1319597</v>
      </c>
      <c r="AD84" s="8">
        <v>0</v>
      </c>
      <c r="AE84" s="8">
        <v>0</v>
      </c>
      <c r="AF84" s="8">
        <v>0</v>
      </c>
      <c r="AG84" s="8">
        <f>SUM(AD84:AF84)</f>
        <v>0</v>
      </c>
      <c r="AH84" s="8">
        <v>0</v>
      </c>
      <c r="AI84" s="8"/>
      <c r="AJ84" s="8"/>
      <c r="AK84" s="8">
        <f>SUM(AH84:AJ84)</f>
        <v>0</v>
      </c>
      <c r="AL84" s="5">
        <f t="shared" si="97"/>
        <v>0</v>
      </c>
      <c r="AM84" s="8">
        <v>0</v>
      </c>
      <c r="AN84" s="8">
        <v>0</v>
      </c>
      <c r="AO84" s="8">
        <v>0</v>
      </c>
      <c r="AP84" s="8">
        <f>SUM(AM84:AO84)</f>
        <v>0</v>
      </c>
      <c r="AQ84" s="8">
        <v>0</v>
      </c>
      <c r="AR84" s="8"/>
      <c r="AS84" s="8"/>
      <c r="AT84" s="5">
        <f t="shared" si="113"/>
        <v>0</v>
      </c>
      <c r="AU84" s="5">
        <f t="shared" si="106"/>
        <v>0</v>
      </c>
      <c r="AV84" s="8">
        <v>0</v>
      </c>
      <c r="AW84" s="8">
        <v>0</v>
      </c>
      <c r="AX84" s="8">
        <v>0</v>
      </c>
      <c r="AY84" s="8">
        <f>SUM(AV84:AX84)</f>
        <v>0</v>
      </c>
      <c r="AZ84" s="8">
        <v>0</v>
      </c>
      <c r="BA84" s="8"/>
      <c r="BB84" s="8"/>
      <c r="BC84" s="5">
        <f t="shared" si="115"/>
        <v>0</v>
      </c>
      <c r="BD84" s="5">
        <f t="shared" si="107"/>
        <v>0</v>
      </c>
    </row>
    <row r="85" spans="1:56" ht="16.5">
      <c r="A85" s="53" t="s">
        <v>153</v>
      </c>
      <c r="B85" s="54"/>
      <c r="C85" s="5">
        <f>SUM(C86:C87)</f>
        <v>848138</v>
      </c>
      <c r="D85" s="5">
        <f t="shared" ref="D85:J85" si="116">SUM(D86:D87)</f>
        <v>429827</v>
      </c>
      <c r="E85" s="5">
        <f t="shared" si="116"/>
        <v>225750</v>
      </c>
      <c r="F85" s="5">
        <f t="shared" si="116"/>
        <v>1503715</v>
      </c>
      <c r="G85" s="5">
        <f t="shared" si="116"/>
        <v>32926185</v>
      </c>
      <c r="H85" s="5">
        <f t="shared" si="116"/>
        <v>3250000</v>
      </c>
      <c r="I85" s="5">
        <f t="shared" si="116"/>
        <v>16250000</v>
      </c>
      <c r="J85" s="5">
        <f t="shared" si="116"/>
        <v>52426185</v>
      </c>
      <c r="K85" s="5">
        <f t="shared" si="104"/>
        <v>53929900</v>
      </c>
      <c r="L85" s="5">
        <f>SUM(L86:L87)</f>
        <v>650967</v>
      </c>
      <c r="M85" s="5">
        <f t="shared" ref="M85:S85" si="117">SUM(M86:M87)</f>
        <v>529827</v>
      </c>
      <c r="N85" s="5">
        <f t="shared" si="117"/>
        <v>225750</v>
      </c>
      <c r="O85" s="5">
        <f t="shared" si="117"/>
        <v>1406544</v>
      </c>
      <c r="P85" s="5">
        <f t="shared" si="117"/>
        <v>30346530</v>
      </c>
      <c r="Q85" s="5">
        <f t="shared" si="117"/>
        <v>9000000</v>
      </c>
      <c r="R85" s="5">
        <f t="shared" si="117"/>
        <v>10735458</v>
      </c>
      <c r="S85" s="5">
        <f t="shared" si="117"/>
        <v>50081988</v>
      </c>
      <c r="T85" s="5">
        <f t="shared" ref="T85:T123" si="118">O85+S85</f>
        <v>51488532</v>
      </c>
      <c r="U85" s="5">
        <f>SUM(U86:U87)</f>
        <v>1686700</v>
      </c>
      <c r="V85" s="5">
        <f t="shared" ref="V85:AB85" si="119">SUM(V86:V87)</f>
        <v>506610</v>
      </c>
      <c r="W85" s="5">
        <f t="shared" si="119"/>
        <v>439392</v>
      </c>
      <c r="X85" s="5">
        <f t="shared" si="119"/>
        <v>2632702</v>
      </c>
      <c r="Y85" s="5">
        <f t="shared" si="119"/>
        <v>38000000</v>
      </c>
      <c r="Z85" s="5">
        <f t="shared" si="119"/>
        <v>6508499</v>
      </c>
      <c r="AA85" s="5">
        <f t="shared" si="119"/>
        <v>9000000</v>
      </c>
      <c r="AB85" s="5">
        <f t="shared" si="119"/>
        <v>53508499</v>
      </c>
      <c r="AC85" s="5">
        <f t="shared" si="105"/>
        <v>56141201</v>
      </c>
      <c r="AD85" s="5">
        <f t="shared" ref="AD85:AK85" si="120">SUM(AD86:AD87)</f>
        <v>727456</v>
      </c>
      <c r="AE85" s="5">
        <f t="shared" si="120"/>
        <v>1338424</v>
      </c>
      <c r="AF85" s="5">
        <f t="shared" si="120"/>
        <v>180000</v>
      </c>
      <c r="AG85" s="5">
        <f t="shared" si="120"/>
        <v>2245880</v>
      </c>
      <c r="AH85" s="5">
        <f t="shared" si="120"/>
        <v>21920874</v>
      </c>
      <c r="AI85" s="5">
        <f t="shared" si="120"/>
        <v>5000000</v>
      </c>
      <c r="AJ85" s="5">
        <f t="shared" si="120"/>
        <v>30000000</v>
      </c>
      <c r="AK85" s="5">
        <f t="shared" si="120"/>
        <v>56920874</v>
      </c>
      <c r="AL85" s="5">
        <f t="shared" si="97"/>
        <v>59166754</v>
      </c>
      <c r="AM85" s="5">
        <f t="shared" ref="AM85:AS85" si="121">SUM(AM86:AM87)</f>
        <v>727456</v>
      </c>
      <c r="AN85" s="5">
        <f t="shared" si="121"/>
        <v>851175</v>
      </c>
      <c r="AO85" s="5">
        <f t="shared" si="121"/>
        <v>180000</v>
      </c>
      <c r="AP85" s="5">
        <f t="shared" si="121"/>
        <v>1758631</v>
      </c>
      <c r="AQ85" s="5">
        <f t="shared" si="121"/>
        <v>20000000</v>
      </c>
      <c r="AR85" s="5">
        <f t="shared" si="121"/>
        <v>6000000</v>
      </c>
      <c r="AS85" s="5">
        <f t="shared" si="121"/>
        <v>35000000</v>
      </c>
      <c r="AT85" s="5">
        <f t="shared" si="113"/>
        <v>61000000</v>
      </c>
      <c r="AU85" s="5">
        <f t="shared" si="106"/>
        <v>62758631</v>
      </c>
      <c r="AV85" s="5">
        <f t="shared" ref="AV85:BB85" si="122">SUM(AV86:AV87)</f>
        <v>727456</v>
      </c>
      <c r="AW85" s="5">
        <f t="shared" si="122"/>
        <v>1338425</v>
      </c>
      <c r="AX85" s="5">
        <f t="shared" si="122"/>
        <v>180000</v>
      </c>
      <c r="AY85" s="5">
        <f t="shared" si="122"/>
        <v>1818862</v>
      </c>
      <c r="AZ85" s="5">
        <f t="shared" si="122"/>
        <v>25000000</v>
      </c>
      <c r="BA85" s="5">
        <f t="shared" si="122"/>
        <v>8000000</v>
      </c>
      <c r="BB85" s="5">
        <f t="shared" si="122"/>
        <v>30000000</v>
      </c>
      <c r="BC85" s="5">
        <f t="shared" si="115"/>
        <v>63000000</v>
      </c>
      <c r="BD85" s="5">
        <f t="shared" si="107"/>
        <v>64818862</v>
      </c>
    </row>
    <row r="86" spans="1:56" ht="33">
      <c r="A86" s="6" t="s">
        <v>154</v>
      </c>
      <c r="B86" s="7" t="s">
        <v>155</v>
      </c>
      <c r="C86" s="8">
        <v>622743</v>
      </c>
      <c r="D86" s="8">
        <v>427827</v>
      </c>
      <c r="E86" s="8">
        <v>225750</v>
      </c>
      <c r="F86" s="8">
        <f>SUM(C86:E86)</f>
        <v>1276320</v>
      </c>
      <c r="G86" s="8">
        <f>250000+751854</f>
        <v>1001854</v>
      </c>
      <c r="H86" s="8">
        <v>0</v>
      </c>
      <c r="I86" s="8">
        <v>0</v>
      </c>
      <c r="J86" s="8">
        <f>SUM(G86:I86)</f>
        <v>1001854</v>
      </c>
      <c r="K86" s="5">
        <f t="shared" si="104"/>
        <v>2278174</v>
      </c>
      <c r="L86" s="8">
        <v>452448</v>
      </c>
      <c r="M86" s="8">
        <v>417826</v>
      </c>
      <c r="N86" s="8">
        <v>225750</v>
      </c>
      <c r="O86" s="8">
        <f>SUM(L86:N86)</f>
        <v>1096024</v>
      </c>
      <c r="P86" s="8">
        <v>0</v>
      </c>
      <c r="Q86" s="8">
        <v>0</v>
      </c>
      <c r="R86" s="8">
        <v>0</v>
      </c>
      <c r="S86" s="8">
        <f>SUM(P86:R86)</f>
        <v>0</v>
      </c>
      <c r="T86" s="5">
        <f t="shared" si="118"/>
        <v>1096024</v>
      </c>
      <c r="U86" s="8">
        <v>429590</v>
      </c>
      <c r="V86" s="8">
        <v>491610</v>
      </c>
      <c r="W86" s="8">
        <v>201392</v>
      </c>
      <c r="X86" s="8">
        <f>SUM(U86:W86)</f>
        <v>1122592</v>
      </c>
      <c r="Y86" s="8">
        <v>0</v>
      </c>
      <c r="Z86" s="8">
        <v>0</v>
      </c>
      <c r="AA86" s="8">
        <v>0</v>
      </c>
      <c r="AB86" s="8">
        <f>SUM(Y86:AA86)</f>
        <v>0</v>
      </c>
      <c r="AC86" s="5">
        <f t="shared" si="105"/>
        <v>1122592</v>
      </c>
      <c r="AD86" s="8">
        <v>484238</v>
      </c>
      <c r="AE86" s="8">
        <v>1285424</v>
      </c>
      <c r="AF86" s="8">
        <v>0</v>
      </c>
      <c r="AG86" s="8">
        <f>SUM(AD86:AF86)</f>
        <v>1769662</v>
      </c>
      <c r="AH86" s="8">
        <v>930000</v>
      </c>
      <c r="AI86" s="8">
        <v>0</v>
      </c>
      <c r="AJ86" s="8">
        <v>0</v>
      </c>
      <c r="AK86" s="8">
        <f>SUM(AH86:AJ86)</f>
        <v>930000</v>
      </c>
      <c r="AL86" s="5">
        <f t="shared" si="97"/>
        <v>2699662</v>
      </c>
      <c r="AM86" s="8">
        <v>484238</v>
      </c>
      <c r="AN86" s="8">
        <v>798175</v>
      </c>
      <c r="AO86" s="8">
        <v>0</v>
      </c>
      <c r="AP86" s="8">
        <f>SUM(AM86:AO86)</f>
        <v>1282413</v>
      </c>
      <c r="AQ86" s="8">
        <v>930000</v>
      </c>
      <c r="AR86" s="8">
        <v>0</v>
      </c>
      <c r="AS86" s="8">
        <v>0</v>
      </c>
      <c r="AT86" s="5">
        <f t="shared" si="113"/>
        <v>930000</v>
      </c>
      <c r="AU86" s="5">
        <f t="shared" si="106"/>
        <v>2212413</v>
      </c>
      <c r="AV86" s="8">
        <v>484238</v>
      </c>
      <c r="AW86" s="8">
        <v>1285425</v>
      </c>
      <c r="AX86" s="8">
        <v>0</v>
      </c>
      <c r="AY86" s="8">
        <v>1342644</v>
      </c>
      <c r="AZ86" s="8">
        <v>930000</v>
      </c>
      <c r="BA86" s="8">
        <v>0</v>
      </c>
      <c r="BB86" s="8">
        <v>0</v>
      </c>
      <c r="BC86" s="5">
        <f t="shared" si="115"/>
        <v>930000</v>
      </c>
      <c r="BD86" s="5">
        <f t="shared" si="107"/>
        <v>2272644</v>
      </c>
    </row>
    <row r="87" spans="1:56" ht="16.5">
      <c r="A87" s="6" t="s">
        <v>156</v>
      </c>
      <c r="B87" s="7" t="s">
        <v>157</v>
      </c>
      <c r="C87" s="8">
        <v>225395</v>
      </c>
      <c r="D87" s="8">
        <v>2000</v>
      </c>
      <c r="E87" s="8"/>
      <c r="F87" s="8">
        <f>SUM(C87:E87)</f>
        <v>227395</v>
      </c>
      <c r="G87" s="8">
        <v>31924331</v>
      </c>
      <c r="H87" s="8">
        <v>3250000</v>
      </c>
      <c r="I87" s="8">
        <v>16250000</v>
      </c>
      <c r="J87" s="8">
        <f>SUM(G87:I87)</f>
        <v>51424331</v>
      </c>
      <c r="K87" s="5">
        <f t="shared" si="104"/>
        <v>51651726</v>
      </c>
      <c r="L87" s="8">
        <v>198519</v>
      </c>
      <c r="M87" s="8">
        <v>112001</v>
      </c>
      <c r="N87" s="8">
        <v>0</v>
      </c>
      <c r="O87" s="8">
        <f>SUM(L87:N87)</f>
        <v>310520</v>
      </c>
      <c r="P87" s="8">
        <f>396874+150000+200000+983000+3500000+3801875+21314781</f>
        <v>30346530</v>
      </c>
      <c r="Q87" s="8">
        <f>2000000+7000000</f>
        <v>9000000</v>
      </c>
      <c r="R87" s="8">
        <f>212123+10523335</f>
        <v>10735458</v>
      </c>
      <c r="S87" s="8">
        <f>SUM(P87:R87)</f>
        <v>50081988</v>
      </c>
      <c r="T87" s="5">
        <f t="shared" si="118"/>
        <v>50392508</v>
      </c>
      <c r="U87" s="8">
        <v>1257110</v>
      </c>
      <c r="V87" s="8">
        <v>15000</v>
      </c>
      <c r="W87" s="8">
        <v>238000</v>
      </c>
      <c r="X87" s="8">
        <f>SUM(U87:W87)</f>
        <v>1510110</v>
      </c>
      <c r="Y87" s="8">
        <v>38000000</v>
      </c>
      <c r="Z87" s="8">
        <v>6508499</v>
      </c>
      <c r="AA87" s="8">
        <v>9000000</v>
      </c>
      <c r="AB87" s="8">
        <f>SUM(Y87:AA87)</f>
        <v>53508499</v>
      </c>
      <c r="AC87" s="5">
        <f t="shared" si="105"/>
        <v>55018609</v>
      </c>
      <c r="AD87" s="8">
        <v>243218</v>
      </c>
      <c r="AE87" s="8">
        <v>53000</v>
      </c>
      <c r="AF87" s="8">
        <v>180000</v>
      </c>
      <c r="AG87" s="8">
        <f>SUM(AD87:AF87)</f>
        <v>476218</v>
      </c>
      <c r="AH87" s="8">
        <v>20990874</v>
      </c>
      <c r="AI87" s="8">
        <v>5000000</v>
      </c>
      <c r="AJ87" s="8">
        <v>30000000</v>
      </c>
      <c r="AK87" s="8">
        <f>SUM(AH87:AJ87)</f>
        <v>55990874</v>
      </c>
      <c r="AL87" s="5">
        <f t="shared" si="97"/>
        <v>56467092</v>
      </c>
      <c r="AM87" s="8">
        <v>243218</v>
      </c>
      <c r="AN87" s="8">
        <v>53000</v>
      </c>
      <c r="AO87" s="8">
        <v>180000</v>
      </c>
      <c r="AP87" s="8">
        <f>SUM(AM87:AO87)</f>
        <v>476218</v>
      </c>
      <c r="AQ87" s="8">
        <v>19070000</v>
      </c>
      <c r="AR87" s="8">
        <v>6000000</v>
      </c>
      <c r="AS87" s="8">
        <v>35000000</v>
      </c>
      <c r="AT87" s="5">
        <f t="shared" si="113"/>
        <v>60070000</v>
      </c>
      <c r="AU87" s="5">
        <f t="shared" si="106"/>
        <v>60546218</v>
      </c>
      <c r="AV87" s="8">
        <v>243218</v>
      </c>
      <c r="AW87" s="8">
        <v>53000</v>
      </c>
      <c r="AX87" s="8">
        <v>180000</v>
      </c>
      <c r="AY87" s="8">
        <f>SUM(AV87:AX87)</f>
        <v>476218</v>
      </c>
      <c r="AZ87" s="8">
        <v>24070000</v>
      </c>
      <c r="BA87" s="8">
        <v>8000000</v>
      </c>
      <c r="BB87" s="8">
        <v>30000000</v>
      </c>
      <c r="BC87" s="5">
        <f t="shared" si="115"/>
        <v>62070000</v>
      </c>
      <c r="BD87" s="5">
        <f t="shared" si="107"/>
        <v>62546218</v>
      </c>
    </row>
    <row r="88" spans="1:56" ht="16.5">
      <c r="A88" s="53" t="s">
        <v>158</v>
      </c>
      <c r="B88" s="54"/>
      <c r="C88" s="5">
        <f>SUM(C89:C93)</f>
        <v>3114048</v>
      </c>
      <c r="D88" s="5">
        <f t="shared" ref="D88:J88" si="123">SUM(D89:D93)</f>
        <v>648609</v>
      </c>
      <c r="E88" s="5">
        <f t="shared" si="123"/>
        <v>1382689</v>
      </c>
      <c r="F88" s="5">
        <f t="shared" si="123"/>
        <v>5145346</v>
      </c>
      <c r="G88" s="5">
        <f t="shared" si="123"/>
        <v>39257585</v>
      </c>
      <c r="H88" s="5">
        <f t="shared" si="123"/>
        <v>3178312</v>
      </c>
      <c r="I88" s="5">
        <f t="shared" si="123"/>
        <v>27609814</v>
      </c>
      <c r="J88" s="5">
        <f t="shared" si="123"/>
        <v>70045711</v>
      </c>
      <c r="K88" s="5">
        <f t="shared" si="104"/>
        <v>75191057</v>
      </c>
      <c r="L88" s="5">
        <f>SUM(L89:L93)</f>
        <v>2986149</v>
      </c>
      <c r="M88" s="5">
        <f t="shared" ref="M88:S88" si="124">SUM(M89:M93)</f>
        <v>943914</v>
      </c>
      <c r="N88" s="5">
        <f t="shared" si="124"/>
        <v>1187384</v>
      </c>
      <c r="O88" s="5">
        <f t="shared" si="124"/>
        <v>5117447</v>
      </c>
      <c r="P88" s="5">
        <f t="shared" si="124"/>
        <v>31357169</v>
      </c>
      <c r="Q88" s="5">
        <f t="shared" si="124"/>
        <v>2400000</v>
      </c>
      <c r="R88" s="5">
        <f t="shared" si="124"/>
        <v>29341700</v>
      </c>
      <c r="S88" s="5">
        <f t="shared" si="124"/>
        <v>63098869</v>
      </c>
      <c r="T88" s="5">
        <f t="shared" si="118"/>
        <v>68216316</v>
      </c>
      <c r="U88" s="5">
        <f>SUM(U89:U93)</f>
        <v>3700700</v>
      </c>
      <c r="V88" s="5">
        <f t="shared" ref="V88:AB88" si="125">SUM(V89:V93)</f>
        <v>785026</v>
      </c>
      <c r="W88" s="5">
        <f t="shared" si="125"/>
        <v>1499006</v>
      </c>
      <c r="X88" s="5">
        <f t="shared" si="125"/>
        <v>5984732</v>
      </c>
      <c r="Y88" s="5">
        <f t="shared" si="125"/>
        <v>68600000</v>
      </c>
      <c r="Z88" s="5">
        <f t="shared" si="125"/>
        <v>5400000</v>
      </c>
      <c r="AA88" s="5">
        <f t="shared" si="125"/>
        <v>30000000</v>
      </c>
      <c r="AB88" s="5">
        <f t="shared" si="125"/>
        <v>104000000</v>
      </c>
      <c r="AC88" s="5">
        <f t="shared" si="105"/>
        <v>109984732</v>
      </c>
      <c r="AD88" s="5">
        <f>SUM(AD89:AD93)</f>
        <v>3774208</v>
      </c>
      <c r="AE88" s="5">
        <f t="shared" ref="AE88:AK88" si="126">SUM(AE89:AE93)</f>
        <v>1025464</v>
      </c>
      <c r="AF88" s="5">
        <f t="shared" si="126"/>
        <v>2141796</v>
      </c>
      <c r="AG88" s="5">
        <f t="shared" si="126"/>
        <v>6941468</v>
      </c>
      <c r="AH88" s="5">
        <f t="shared" si="126"/>
        <v>51262863</v>
      </c>
      <c r="AI88" s="5">
        <f>SUM(AI89:AI93)</f>
        <v>8098204</v>
      </c>
      <c r="AJ88" s="5">
        <f>SUM(AJ89:AJ93)</f>
        <v>35000000</v>
      </c>
      <c r="AK88" s="5">
        <f t="shared" si="126"/>
        <v>94361067</v>
      </c>
      <c r="AL88" s="5">
        <f t="shared" si="97"/>
        <v>101302535</v>
      </c>
      <c r="AM88" s="5">
        <f>SUM(AM89:AM93)</f>
        <v>3774208</v>
      </c>
      <c r="AN88" s="5">
        <f t="shared" ref="AN88:AR88" si="127">SUM(AN89:AN93)</f>
        <v>957464</v>
      </c>
      <c r="AO88" s="5">
        <f t="shared" si="127"/>
        <v>1609796</v>
      </c>
      <c r="AP88" s="5">
        <f t="shared" si="127"/>
        <v>6341468</v>
      </c>
      <c r="AQ88" s="5">
        <f t="shared" si="127"/>
        <v>37000000</v>
      </c>
      <c r="AR88" s="5">
        <f t="shared" si="127"/>
        <v>2000000</v>
      </c>
      <c r="AS88" s="5">
        <f>SUM(AS89:AS93)</f>
        <v>38000000</v>
      </c>
      <c r="AT88" s="5">
        <f t="shared" si="113"/>
        <v>77000000</v>
      </c>
      <c r="AU88" s="5">
        <f>AP88+AT88</f>
        <v>83341468</v>
      </c>
      <c r="AV88" s="5">
        <f>SUM(AV89:AV93)</f>
        <v>3774208</v>
      </c>
      <c r="AW88" s="5">
        <f t="shared" ref="AW88:BA88" si="128">SUM(AW89:AW93)</f>
        <v>957464</v>
      </c>
      <c r="AX88" s="5">
        <f t="shared" si="128"/>
        <v>1609796</v>
      </c>
      <c r="AY88" s="5">
        <f t="shared" si="128"/>
        <v>6341468</v>
      </c>
      <c r="AZ88" s="5">
        <f t="shared" si="128"/>
        <v>39000000</v>
      </c>
      <c r="BA88" s="5">
        <f t="shared" si="128"/>
        <v>3000000</v>
      </c>
      <c r="BB88" s="5">
        <f>SUM(BB89:BB93)</f>
        <v>27000000</v>
      </c>
      <c r="BC88" s="5">
        <f t="shared" si="115"/>
        <v>69000000</v>
      </c>
      <c r="BD88" s="5">
        <f t="shared" si="107"/>
        <v>75341468</v>
      </c>
    </row>
    <row r="89" spans="1:56" ht="33">
      <c r="A89" s="6" t="s">
        <v>159</v>
      </c>
      <c r="B89" s="7" t="s">
        <v>160</v>
      </c>
      <c r="C89" s="8">
        <v>2042048</v>
      </c>
      <c r="D89" s="8">
        <v>583609</v>
      </c>
      <c r="E89" s="8">
        <v>209689</v>
      </c>
      <c r="F89" s="8">
        <f>SUM(C89:E89)</f>
        <v>2835346</v>
      </c>
      <c r="G89" s="8">
        <f>700000+975000</f>
        <v>1675000</v>
      </c>
      <c r="H89" s="8">
        <v>0</v>
      </c>
      <c r="I89" s="8">
        <v>4000000</v>
      </c>
      <c r="J89" s="8">
        <f>SUM(G89:I89)</f>
        <v>5675000</v>
      </c>
      <c r="K89" s="5">
        <f t="shared" si="104"/>
        <v>8510346</v>
      </c>
      <c r="L89" s="8">
        <v>383149</v>
      </c>
      <c r="M89" s="8">
        <v>737914</v>
      </c>
      <c r="N89" s="8">
        <v>129384</v>
      </c>
      <c r="O89" s="8">
        <f>SUM(L89:N89)</f>
        <v>1250447</v>
      </c>
      <c r="P89" s="8">
        <v>300000</v>
      </c>
      <c r="Q89" s="8">
        <v>0</v>
      </c>
      <c r="R89" s="8">
        <v>0</v>
      </c>
      <c r="S89" s="8">
        <f>SUM(P89:R89)</f>
        <v>300000</v>
      </c>
      <c r="T89" s="5">
        <f t="shared" si="118"/>
        <v>1550447</v>
      </c>
      <c r="U89" s="8">
        <v>421476</v>
      </c>
      <c r="V89" s="8">
        <v>649176</v>
      </c>
      <c r="W89" s="8">
        <v>360376</v>
      </c>
      <c r="X89" s="8">
        <f>SUM(U89:W89)</f>
        <v>1431028</v>
      </c>
      <c r="Y89" s="8">
        <v>5033478</v>
      </c>
      <c r="Z89" s="8">
        <v>0</v>
      </c>
      <c r="AA89" s="8">
        <v>0</v>
      </c>
      <c r="AB89" s="8">
        <f>SUM(Y89:AA89)</f>
        <v>5033478</v>
      </c>
      <c r="AC89" s="5">
        <f t="shared" si="105"/>
        <v>6464506</v>
      </c>
      <c r="AD89" s="8">
        <v>568092</v>
      </c>
      <c r="AE89" s="8">
        <v>866214</v>
      </c>
      <c r="AF89" s="8">
        <v>632000</v>
      </c>
      <c r="AG89" s="8">
        <f>SUM(AD89:AF89)</f>
        <v>2066306</v>
      </c>
      <c r="AH89" s="8">
        <v>1000000</v>
      </c>
      <c r="AI89" s="8">
        <v>0</v>
      </c>
      <c r="AJ89" s="8">
        <v>0</v>
      </c>
      <c r="AK89" s="8">
        <f>SUM(AH89:AJ89)</f>
        <v>1000000</v>
      </c>
      <c r="AL89" s="5">
        <f t="shared" si="97"/>
        <v>3066306</v>
      </c>
      <c r="AM89" s="8">
        <v>568092</v>
      </c>
      <c r="AN89" s="8">
        <v>798214</v>
      </c>
      <c r="AO89" s="8">
        <v>100000</v>
      </c>
      <c r="AP89" s="8">
        <f>SUM(AM89:AO89)</f>
        <v>1466306</v>
      </c>
      <c r="AQ89" s="8">
        <v>1000000</v>
      </c>
      <c r="AR89" s="8">
        <v>0</v>
      </c>
      <c r="AS89" s="8">
        <v>0</v>
      </c>
      <c r="AT89" s="8">
        <f>SUM(AQ89:AS89)</f>
        <v>1000000</v>
      </c>
      <c r="AU89" s="5">
        <f t="shared" si="106"/>
        <v>2466306</v>
      </c>
      <c r="AV89" s="8">
        <v>568092</v>
      </c>
      <c r="AW89" s="8">
        <v>798214</v>
      </c>
      <c r="AX89" s="8">
        <v>100000</v>
      </c>
      <c r="AY89" s="8">
        <f>SUM(AV89:AX89)</f>
        <v>1466306</v>
      </c>
      <c r="AZ89" s="8">
        <v>1000000</v>
      </c>
      <c r="BA89" s="8">
        <v>0</v>
      </c>
      <c r="BB89" s="8">
        <v>0</v>
      </c>
      <c r="BC89" s="8">
        <f>SUM(AZ89:BB89)</f>
        <v>1000000</v>
      </c>
      <c r="BD89" s="5">
        <f t="shared" si="107"/>
        <v>2466306</v>
      </c>
    </row>
    <row r="90" spans="1:56" ht="33">
      <c r="A90" s="6" t="s">
        <v>161</v>
      </c>
      <c r="B90" s="7" t="s">
        <v>162</v>
      </c>
      <c r="C90" s="8">
        <v>190000</v>
      </c>
      <c r="D90" s="8">
        <v>13000</v>
      </c>
      <c r="E90" s="8">
        <v>252000</v>
      </c>
      <c r="F90" s="8">
        <f>SUM(C90:E90)</f>
        <v>455000</v>
      </c>
      <c r="G90" s="8">
        <f>2350000+6525000</f>
        <v>8875000</v>
      </c>
      <c r="H90" s="8">
        <v>0</v>
      </c>
      <c r="I90" s="8">
        <v>11034814</v>
      </c>
      <c r="J90" s="8">
        <f>SUM(G90:I90)</f>
        <v>19909814</v>
      </c>
      <c r="K90" s="5">
        <f t="shared" si="104"/>
        <v>20364814</v>
      </c>
      <c r="L90" s="8">
        <v>190000</v>
      </c>
      <c r="M90" s="8">
        <v>13000</v>
      </c>
      <c r="N90" s="8">
        <v>252000</v>
      </c>
      <c r="O90" s="8">
        <f>SUM(L90:N90)</f>
        <v>455000</v>
      </c>
      <c r="P90" s="8">
        <v>2800000</v>
      </c>
      <c r="Q90" s="8">
        <v>0</v>
      </c>
      <c r="R90" s="8">
        <v>10600700</v>
      </c>
      <c r="S90" s="8">
        <f>SUM(P90:R90)</f>
        <v>13400700</v>
      </c>
      <c r="T90" s="5">
        <f t="shared" si="118"/>
        <v>13855700</v>
      </c>
      <c r="U90" s="8">
        <v>255535</v>
      </c>
      <c r="V90" s="8">
        <v>14000</v>
      </c>
      <c r="W90" s="8">
        <v>251830</v>
      </c>
      <c r="X90" s="8">
        <f>SUM(U90:W90)</f>
        <v>521365</v>
      </c>
      <c r="Y90" s="8">
        <f>13595000</f>
        <v>13595000</v>
      </c>
      <c r="Z90" s="8">
        <v>3000000</v>
      </c>
      <c r="AA90" s="8">
        <f>14000000+3000000</f>
        <v>17000000</v>
      </c>
      <c r="AB90" s="8">
        <f>SUM(Y90:AA90)</f>
        <v>33595000</v>
      </c>
      <c r="AC90" s="5">
        <f t="shared" si="105"/>
        <v>34116365</v>
      </c>
      <c r="AD90" s="8">
        <v>259028</v>
      </c>
      <c r="AE90" s="8">
        <v>14000</v>
      </c>
      <c r="AF90" s="8">
        <v>254830</v>
      </c>
      <c r="AG90" s="8">
        <f>SUM(AD90:AF90)</f>
        <v>527858</v>
      </c>
      <c r="AH90" s="8">
        <v>9595000</v>
      </c>
      <c r="AI90" s="8">
        <v>0</v>
      </c>
      <c r="AJ90" s="8">
        <v>17598204</v>
      </c>
      <c r="AK90" s="8">
        <f>SUM(AH90:AJ90)</f>
        <v>27193204</v>
      </c>
      <c r="AL90" s="5">
        <f t="shared" si="97"/>
        <v>27721062</v>
      </c>
      <c r="AM90" s="8">
        <v>259028</v>
      </c>
      <c r="AN90" s="8">
        <v>14000</v>
      </c>
      <c r="AO90" s="8">
        <v>254830</v>
      </c>
      <c r="AP90" s="8">
        <f>SUM(AM90:AO90)</f>
        <v>527858</v>
      </c>
      <c r="AQ90" s="8">
        <v>9595000</v>
      </c>
      <c r="AR90" s="8">
        <v>0</v>
      </c>
      <c r="AS90" s="8">
        <v>19598204</v>
      </c>
      <c r="AT90" s="8">
        <f>SUM(AQ90:AS90)</f>
        <v>29193204</v>
      </c>
      <c r="AU90" s="5">
        <f t="shared" si="106"/>
        <v>29721062</v>
      </c>
      <c r="AV90" s="8">
        <v>259028</v>
      </c>
      <c r="AW90" s="8">
        <v>14000</v>
      </c>
      <c r="AX90" s="8">
        <v>254830</v>
      </c>
      <c r="AY90" s="8">
        <f>SUM(AV90:AX90)</f>
        <v>527858</v>
      </c>
      <c r="AZ90" s="8">
        <v>4595000</v>
      </c>
      <c r="BA90" s="8">
        <v>0</v>
      </c>
      <c r="BB90" s="8">
        <v>12598204</v>
      </c>
      <c r="BC90" s="8">
        <f>SUM(AZ90:BB90)</f>
        <v>17193204</v>
      </c>
      <c r="BD90" s="5">
        <f t="shared" si="107"/>
        <v>17721062</v>
      </c>
    </row>
    <row r="91" spans="1:56" ht="33">
      <c r="A91" s="6" t="s">
        <v>163</v>
      </c>
      <c r="B91" s="7" t="s">
        <v>164</v>
      </c>
      <c r="C91" s="8">
        <v>614000</v>
      </c>
      <c r="D91" s="8">
        <v>29000</v>
      </c>
      <c r="E91" s="8">
        <v>381000</v>
      </c>
      <c r="F91" s="8">
        <f>SUM(C91:E91)</f>
        <v>1024000</v>
      </c>
      <c r="G91" s="8">
        <v>5342338</v>
      </c>
      <c r="H91" s="8">
        <f>3178000+312</f>
        <v>3178312</v>
      </c>
      <c r="I91" s="8">
        <v>950000</v>
      </c>
      <c r="J91" s="8">
        <f>SUM(G91:I91)</f>
        <v>9470650</v>
      </c>
      <c r="K91" s="5">
        <f t="shared" si="104"/>
        <v>10494650</v>
      </c>
      <c r="L91" s="8">
        <v>2171000</v>
      </c>
      <c r="M91" s="8">
        <v>153000</v>
      </c>
      <c r="N91" s="8">
        <v>212000</v>
      </c>
      <c r="O91" s="8">
        <f>SUM(L91:N91)</f>
        <v>2536000</v>
      </c>
      <c r="P91" s="8">
        <v>3606000</v>
      </c>
      <c r="Q91" s="8">
        <v>1047000</v>
      </c>
      <c r="R91" s="8">
        <v>2358000</v>
      </c>
      <c r="S91" s="8">
        <f>SUM(P91:R91)</f>
        <v>7011000</v>
      </c>
      <c r="T91" s="5">
        <f t="shared" si="118"/>
        <v>9547000</v>
      </c>
      <c r="U91" s="8">
        <v>2686880</v>
      </c>
      <c r="V91" s="8">
        <v>80650</v>
      </c>
      <c r="W91" s="8">
        <v>342021</v>
      </c>
      <c r="X91" s="8">
        <f>SUM(U91:W91)</f>
        <v>3109551</v>
      </c>
      <c r="Y91" s="8">
        <v>13490700</v>
      </c>
      <c r="Z91" s="8">
        <v>2400000</v>
      </c>
      <c r="AA91" s="8">
        <f>800000+3100000</f>
        <v>3900000</v>
      </c>
      <c r="AB91" s="8">
        <f>SUM(Y91:AA91)</f>
        <v>19790700</v>
      </c>
      <c r="AC91" s="5">
        <f t="shared" si="105"/>
        <v>22900251</v>
      </c>
      <c r="AD91" s="8">
        <v>2604324</v>
      </c>
      <c r="AE91" s="8">
        <v>97650</v>
      </c>
      <c r="AF91" s="8">
        <v>729341</v>
      </c>
      <c r="AG91" s="8">
        <f>SUM(AD91:AF91)</f>
        <v>3431315</v>
      </c>
      <c r="AH91" s="8">
        <v>3140000</v>
      </c>
      <c r="AI91" s="8">
        <v>0</v>
      </c>
      <c r="AJ91" s="8">
        <v>5000000</v>
      </c>
      <c r="AK91" s="8">
        <f>SUM(AH91:AJ91)</f>
        <v>8140000</v>
      </c>
      <c r="AL91" s="5">
        <f t="shared" si="97"/>
        <v>11571315</v>
      </c>
      <c r="AM91" s="8">
        <v>2604324</v>
      </c>
      <c r="AN91" s="8">
        <v>97650</v>
      </c>
      <c r="AO91" s="8">
        <v>729341</v>
      </c>
      <c r="AP91" s="8">
        <f>SUM(AM91:AO91)</f>
        <v>3431315</v>
      </c>
      <c r="AQ91" s="8">
        <v>3140000</v>
      </c>
      <c r="AR91" s="8">
        <v>0</v>
      </c>
      <c r="AS91" s="8">
        <v>5000000</v>
      </c>
      <c r="AT91" s="8">
        <f>SUM(AQ91:AS91)</f>
        <v>8140000</v>
      </c>
      <c r="AU91" s="5">
        <f t="shared" si="106"/>
        <v>11571315</v>
      </c>
      <c r="AV91" s="8">
        <v>2604324</v>
      </c>
      <c r="AW91" s="8">
        <v>97650</v>
      </c>
      <c r="AX91" s="8">
        <v>729341</v>
      </c>
      <c r="AY91" s="8">
        <f>SUM(AV91:AX91)</f>
        <v>3431315</v>
      </c>
      <c r="AZ91" s="8">
        <v>3140000</v>
      </c>
      <c r="BA91" s="8">
        <v>0</v>
      </c>
      <c r="BB91" s="8">
        <v>4000000</v>
      </c>
      <c r="BC91" s="8">
        <f>SUM(AZ91:BB91)</f>
        <v>7140000</v>
      </c>
      <c r="BD91" s="5">
        <f>BC91+AY91</f>
        <v>10571315</v>
      </c>
    </row>
    <row r="92" spans="1:56" ht="16.5">
      <c r="A92" s="6" t="s">
        <v>165</v>
      </c>
      <c r="B92" s="7" t="s">
        <v>166</v>
      </c>
      <c r="C92" s="8">
        <v>268000</v>
      </c>
      <c r="D92" s="8">
        <v>15000</v>
      </c>
      <c r="E92" s="8">
        <v>423000</v>
      </c>
      <c r="F92" s="8">
        <f>SUM(C92:E92)</f>
        <v>706000</v>
      </c>
      <c r="G92" s="8">
        <f>4198000+11067247</f>
        <v>15265247</v>
      </c>
      <c r="H92" s="8">
        <v>0</v>
      </c>
      <c r="I92" s="8">
        <v>11625000</v>
      </c>
      <c r="J92" s="8">
        <f>SUM(G92:I92)</f>
        <v>26890247</v>
      </c>
      <c r="K92" s="5">
        <f t="shared" si="104"/>
        <v>27596247</v>
      </c>
      <c r="L92" s="8">
        <v>129000</v>
      </c>
      <c r="M92" s="8">
        <v>19000</v>
      </c>
      <c r="N92" s="8">
        <v>564000</v>
      </c>
      <c r="O92" s="8">
        <f>SUM(L92:N92)</f>
        <v>712000</v>
      </c>
      <c r="P92" s="8">
        <v>11497000</v>
      </c>
      <c r="Q92" s="8">
        <v>1353000</v>
      </c>
      <c r="R92" s="8">
        <v>14383000</v>
      </c>
      <c r="S92" s="8">
        <f>SUM(P92:R92)</f>
        <v>27233000</v>
      </c>
      <c r="T92" s="5">
        <f t="shared" si="118"/>
        <v>27945000</v>
      </c>
      <c r="U92" s="8">
        <v>185582</v>
      </c>
      <c r="V92" s="8">
        <v>23200</v>
      </c>
      <c r="W92" s="8">
        <v>515029</v>
      </c>
      <c r="X92" s="8">
        <f>SUM(U92:W92)</f>
        <v>723811</v>
      </c>
      <c r="Y92" s="8">
        <v>20973000</v>
      </c>
      <c r="Z92" s="8">
        <v>0</v>
      </c>
      <c r="AA92" s="8">
        <v>9100000</v>
      </c>
      <c r="AB92" s="8">
        <f>SUM(Y92:AA92)</f>
        <v>30073000</v>
      </c>
      <c r="AC92" s="5">
        <f t="shared" si="105"/>
        <v>30796811</v>
      </c>
      <c r="AD92" s="8">
        <v>204638</v>
      </c>
      <c r="AE92" s="8">
        <v>26600</v>
      </c>
      <c r="AF92" s="8">
        <v>495875</v>
      </c>
      <c r="AG92" s="8">
        <f>SUM(AD92:AF92)</f>
        <v>727113</v>
      </c>
      <c r="AH92" s="8">
        <v>29627863</v>
      </c>
      <c r="AI92" s="8">
        <v>1598204</v>
      </c>
      <c r="AJ92" s="8">
        <v>12401796</v>
      </c>
      <c r="AK92" s="8">
        <f>SUM(AH92:AJ92)</f>
        <v>43627863</v>
      </c>
      <c r="AL92" s="5">
        <f t="shared" si="97"/>
        <v>44354976</v>
      </c>
      <c r="AM92" s="8">
        <v>204638</v>
      </c>
      <c r="AN92" s="8">
        <v>26600</v>
      </c>
      <c r="AO92" s="8">
        <v>495875</v>
      </c>
      <c r="AP92" s="8">
        <f>SUM(AM92:AO92)</f>
        <v>727113</v>
      </c>
      <c r="AQ92" s="8">
        <v>19365000</v>
      </c>
      <c r="AR92" s="8">
        <v>500000</v>
      </c>
      <c r="AS92" s="8">
        <v>13401796</v>
      </c>
      <c r="AT92" s="8">
        <f>SUM(AQ92:AS92)</f>
        <v>33266796</v>
      </c>
      <c r="AU92" s="5">
        <f t="shared" si="106"/>
        <v>33993909</v>
      </c>
      <c r="AV92" s="8">
        <v>204638</v>
      </c>
      <c r="AW92" s="8">
        <v>26600</v>
      </c>
      <c r="AX92" s="8">
        <v>495875</v>
      </c>
      <c r="AY92" s="8">
        <f>SUM(AV92:AX92)</f>
        <v>727113</v>
      </c>
      <c r="AZ92" s="8">
        <v>22365000</v>
      </c>
      <c r="BA92" s="8">
        <v>1500000</v>
      </c>
      <c r="BB92" s="8">
        <v>10401796</v>
      </c>
      <c r="BC92" s="8">
        <f>SUM(AZ92:BB92)</f>
        <v>34266796</v>
      </c>
      <c r="BD92" s="5">
        <f t="shared" si="107"/>
        <v>34993909</v>
      </c>
    </row>
    <row r="93" spans="1:56" ht="16.5">
      <c r="A93" s="9" t="s">
        <v>167</v>
      </c>
      <c r="B93" s="7" t="s">
        <v>168</v>
      </c>
      <c r="C93" s="8">
        <v>0</v>
      </c>
      <c r="D93" s="8">
        <v>8000</v>
      </c>
      <c r="E93" s="8">
        <v>117000</v>
      </c>
      <c r="F93" s="8">
        <f>D93+E93</f>
        <v>125000</v>
      </c>
      <c r="G93" s="8">
        <v>8100000</v>
      </c>
      <c r="H93" s="8">
        <v>0</v>
      </c>
      <c r="I93" s="8"/>
      <c r="J93" s="8">
        <f>SUM(G93:I93)</f>
        <v>8100000</v>
      </c>
      <c r="K93" s="5">
        <f t="shared" si="104"/>
        <v>8225000</v>
      </c>
      <c r="L93" s="8">
        <v>113000</v>
      </c>
      <c r="M93" s="8">
        <v>21000</v>
      </c>
      <c r="N93" s="8">
        <v>30000</v>
      </c>
      <c r="O93" s="8">
        <f>SUM(L93:N93)</f>
        <v>164000</v>
      </c>
      <c r="P93" s="8">
        <v>13154169</v>
      </c>
      <c r="Q93" s="8"/>
      <c r="R93" s="8">
        <v>2000000</v>
      </c>
      <c r="S93" s="8">
        <f>SUM(P93:R93)</f>
        <v>15154169</v>
      </c>
      <c r="T93" s="5">
        <f t="shared" si="118"/>
        <v>15318169</v>
      </c>
      <c r="U93" s="8">
        <v>151227</v>
      </c>
      <c r="V93" s="8">
        <v>18000</v>
      </c>
      <c r="W93" s="8">
        <v>29750</v>
      </c>
      <c r="X93" s="8">
        <f>SUM(U93:W93)</f>
        <v>198977</v>
      </c>
      <c r="Y93" s="8">
        <v>15507822</v>
      </c>
      <c r="Z93" s="8"/>
      <c r="AA93" s="8">
        <v>0</v>
      </c>
      <c r="AB93" s="8">
        <f>SUM(Y93:AA93)</f>
        <v>15507822</v>
      </c>
      <c r="AC93" s="5">
        <f t="shared" si="105"/>
        <v>15706799</v>
      </c>
      <c r="AD93" s="8">
        <v>138126</v>
      </c>
      <c r="AE93" s="8">
        <v>21000</v>
      </c>
      <c r="AF93" s="8">
        <v>29750</v>
      </c>
      <c r="AG93" s="8">
        <f>SUM(AD93:AF93)</f>
        <v>188876</v>
      </c>
      <c r="AH93" s="8">
        <v>7900000</v>
      </c>
      <c r="AI93" s="50">
        <v>6500000</v>
      </c>
      <c r="AJ93" s="8">
        <v>0</v>
      </c>
      <c r="AK93" s="8">
        <f>SUM(AH93:AJ93)</f>
        <v>14400000</v>
      </c>
      <c r="AL93" s="5">
        <f t="shared" si="97"/>
        <v>14588876</v>
      </c>
      <c r="AM93" s="8">
        <v>138126</v>
      </c>
      <c r="AN93" s="8">
        <v>21000</v>
      </c>
      <c r="AO93" s="8">
        <v>29750</v>
      </c>
      <c r="AP93" s="8">
        <f>SUM(AM93:AO93)</f>
        <v>188876</v>
      </c>
      <c r="AQ93" s="8">
        <v>3900000</v>
      </c>
      <c r="AR93" s="50">
        <v>1500000</v>
      </c>
      <c r="AS93" s="8">
        <v>0</v>
      </c>
      <c r="AT93" s="8">
        <f>SUM(AQ93:AS93)</f>
        <v>5400000</v>
      </c>
      <c r="AU93" s="5">
        <f t="shared" si="106"/>
        <v>5588876</v>
      </c>
      <c r="AV93" s="8">
        <v>138126</v>
      </c>
      <c r="AW93" s="8">
        <v>21000</v>
      </c>
      <c r="AX93" s="8">
        <v>29750</v>
      </c>
      <c r="AY93" s="8">
        <f>SUM(AV93:AX93)</f>
        <v>188876</v>
      </c>
      <c r="AZ93" s="8">
        <v>7900000</v>
      </c>
      <c r="BA93" s="50">
        <v>1500000</v>
      </c>
      <c r="BB93" s="8">
        <v>0</v>
      </c>
      <c r="BC93" s="8">
        <f>SUM(AZ93:BB93)</f>
        <v>9400000</v>
      </c>
      <c r="BD93" s="5">
        <f t="shared" si="107"/>
        <v>9588876</v>
      </c>
    </row>
    <row r="94" spans="1:56" ht="16.5">
      <c r="A94" s="53" t="s">
        <v>169</v>
      </c>
      <c r="B94" s="54"/>
      <c r="C94" s="5">
        <f t="shared" ref="C94:J94" si="129">SUM(C95:C99)</f>
        <v>1714991</v>
      </c>
      <c r="D94" s="5">
        <f t="shared" si="129"/>
        <v>1292380</v>
      </c>
      <c r="E94" s="5">
        <f t="shared" si="129"/>
        <v>7656990</v>
      </c>
      <c r="F94" s="5">
        <f t="shared" si="129"/>
        <v>10664361</v>
      </c>
      <c r="G94" s="5">
        <f t="shared" si="129"/>
        <v>8000000</v>
      </c>
      <c r="H94" s="5">
        <f t="shared" si="129"/>
        <v>0</v>
      </c>
      <c r="I94" s="5">
        <f t="shared" si="129"/>
        <v>200000</v>
      </c>
      <c r="J94" s="5">
        <f t="shared" si="129"/>
        <v>8200000</v>
      </c>
      <c r="K94" s="5">
        <f t="shared" si="104"/>
        <v>18864361</v>
      </c>
      <c r="L94" s="5">
        <f t="shared" ref="L94:S94" si="130">SUM(L95:L99)</f>
        <v>1489556</v>
      </c>
      <c r="M94" s="5">
        <f t="shared" si="130"/>
        <v>1372380</v>
      </c>
      <c r="N94" s="5">
        <f t="shared" si="130"/>
        <v>6973738</v>
      </c>
      <c r="O94" s="5">
        <f t="shared" si="130"/>
        <v>9835674</v>
      </c>
      <c r="P94" s="5">
        <f t="shared" si="130"/>
        <v>24234942</v>
      </c>
      <c r="Q94" s="5">
        <f t="shared" si="130"/>
        <v>0</v>
      </c>
      <c r="R94" s="5">
        <f t="shared" si="130"/>
        <v>24294606</v>
      </c>
      <c r="S94" s="5">
        <f t="shared" si="130"/>
        <v>48529548</v>
      </c>
      <c r="T94" s="5">
        <f t="shared" si="118"/>
        <v>58365222</v>
      </c>
      <c r="U94" s="5">
        <f t="shared" ref="U94:AB94" si="131">SUM(U95:U99)</f>
        <v>1230800</v>
      </c>
      <c r="V94" s="5">
        <f t="shared" si="131"/>
        <v>901882</v>
      </c>
      <c r="W94" s="5">
        <f t="shared" si="131"/>
        <v>5468909</v>
      </c>
      <c r="X94" s="5">
        <f t="shared" si="131"/>
        <v>7601591</v>
      </c>
      <c r="Y94" s="5">
        <f t="shared" si="131"/>
        <v>14000000</v>
      </c>
      <c r="Z94" s="5">
        <f t="shared" si="131"/>
        <v>0</v>
      </c>
      <c r="AA94" s="5">
        <f t="shared" si="131"/>
        <v>0</v>
      </c>
      <c r="AB94" s="5">
        <f t="shared" si="131"/>
        <v>14000000</v>
      </c>
      <c r="AC94" s="5">
        <f t="shared" si="105"/>
        <v>21601591</v>
      </c>
      <c r="AD94" s="5">
        <f t="shared" ref="AD94:AK94" si="132">SUM(AD95:AD99)</f>
        <v>1324894</v>
      </c>
      <c r="AE94" s="5">
        <f t="shared" si="132"/>
        <v>1785998</v>
      </c>
      <c r="AF94" s="5">
        <f t="shared" si="132"/>
        <v>3359055</v>
      </c>
      <c r="AG94" s="5">
        <f t="shared" si="132"/>
        <v>6469947</v>
      </c>
      <c r="AH94" s="5">
        <f t="shared" si="132"/>
        <v>16000000</v>
      </c>
      <c r="AI94" s="5">
        <f t="shared" si="132"/>
        <v>0</v>
      </c>
      <c r="AJ94" s="5">
        <f t="shared" si="132"/>
        <v>0</v>
      </c>
      <c r="AK94" s="5">
        <f t="shared" si="132"/>
        <v>16000000</v>
      </c>
      <c r="AL94" s="5">
        <f t="shared" si="97"/>
        <v>22469947</v>
      </c>
      <c r="AM94" s="5">
        <f t="shared" ref="AM94:AS94" si="133">SUM(AM95:AM99)</f>
        <v>1324894</v>
      </c>
      <c r="AN94" s="5">
        <f t="shared" si="133"/>
        <v>3553998</v>
      </c>
      <c r="AO94" s="5">
        <f t="shared" si="133"/>
        <v>1591055</v>
      </c>
      <c r="AP94" s="5">
        <f t="shared" si="133"/>
        <v>6469947</v>
      </c>
      <c r="AQ94" s="5">
        <f t="shared" si="133"/>
        <v>15000000</v>
      </c>
      <c r="AR94" s="5">
        <f t="shared" si="133"/>
        <v>0</v>
      </c>
      <c r="AS94" s="5">
        <f t="shared" si="133"/>
        <v>0</v>
      </c>
      <c r="AT94" s="5">
        <f>AQ94+AR94+AS94</f>
        <v>15000000</v>
      </c>
      <c r="AU94" s="5">
        <f t="shared" si="106"/>
        <v>21469947</v>
      </c>
      <c r="AV94" s="5">
        <f t="shared" ref="AV94:BB94" si="134">SUM(AV95:AV99)</f>
        <v>1324894</v>
      </c>
      <c r="AW94" s="5">
        <f t="shared" si="134"/>
        <v>3553998</v>
      </c>
      <c r="AX94" s="5">
        <f t="shared" si="134"/>
        <v>1591055</v>
      </c>
      <c r="AY94" s="5">
        <f t="shared" si="134"/>
        <v>6469947</v>
      </c>
      <c r="AZ94" s="5">
        <f t="shared" si="134"/>
        <v>14200000</v>
      </c>
      <c r="BA94" s="5">
        <f t="shared" si="134"/>
        <v>0</v>
      </c>
      <c r="BB94" s="5">
        <f t="shared" si="134"/>
        <v>0</v>
      </c>
      <c r="BC94" s="5">
        <f t="shared" si="115"/>
        <v>14200000</v>
      </c>
      <c r="BD94" s="5">
        <f t="shared" si="107"/>
        <v>20669947</v>
      </c>
    </row>
    <row r="95" spans="1:56" ht="33">
      <c r="A95" s="6" t="s">
        <v>170</v>
      </c>
      <c r="B95" s="7" t="s">
        <v>171</v>
      </c>
      <c r="C95" s="8">
        <v>902620</v>
      </c>
      <c r="D95" s="8">
        <v>882200</v>
      </c>
      <c r="E95" s="8">
        <v>846605</v>
      </c>
      <c r="F95" s="8">
        <f>SUM(C95:E95)</f>
        <v>2631425</v>
      </c>
      <c r="G95" s="8">
        <f>250000+550000+500000</f>
        <v>1300000</v>
      </c>
      <c r="H95" s="8">
        <v>0</v>
      </c>
      <c r="I95" s="8">
        <v>0</v>
      </c>
      <c r="J95" s="8">
        <f>SUM(G95:I95)</f>
        <v>1300000</v>
      </c>
      <c r="K95" s="5">
        <f t="shared" si="104"/>
        <v>3931425</v>
      </c>
      <c r="L95" s="8">
        <v>677185</v>
      </c>
      <c r="M95" s="8">
        <v>933405</v>
      </c>
      <c r="N95" s="8">
        <f>1553783+300000</f>
        <v>1853783</v>
      </c>
      <c r="O95" s="8">
        <f>SUM(L95:N95)</f>
        <v>3464373</v>
      </c>
      <c r="P95" s="8">
        <v>450000</v>
      </c>
      <c r="Q95" s="8"/>
      <c r="R95" s="8"/>
      <c r="S95" s="8">
        <f>SUM(P95:R95)</f>
        <v>450000</v>
      </c>
      <c r="T95" s="5">
        <f t="shared" si="118"/>
        <v>3914373</v>
      </c>
      <c r="U95" s="8">
        <v>645809</v>
      </c>
      <c r="V95" s="8">
        <v>439762</v>
      </c>
      <c r="W95" s="8">
        <v>2453854</v>
      </c>
      <c r="X95" s="8">
        <f>SUM(U95:W95)</f>
        <v>3539425</v>
      </c>
      <c r="Y95" s="8">
        <v>150000</v>
      </c>
      <c r="Z95" s="8"/>
      <c r="AA95" s="8"/>
      <c r="AB95" s="8">
        <f>SUM(Y95:AA95)</f>
        <v>150000</v>
      </c>
      <c r="AC95" s="5">
        <f t="shared" si="105"/>
        <v>3689425</v>
      </c>
      <c r="AD95" s="8">
        <v>515304</v>
      </c>
      <c r="AE95" s="8">
        <v>1086943</v>
      </c>
      <c r="AF95" s="8">
        <v>241000</v>
      </c>
      <c r="AG95" s="8">
        <f>SUM(AD95:AF95)</f>
        <v>1843247</v>
      </c>
      <c r="AH95" s="8">
        <v>0</v>
      </c>
      <c r="AI95" s="8"/>
      <c r="AJ95" s="8"/>
      <c r="AK95" s="8">
        <f>SUM(AH95:AJ95)</f>
        <v>0</v>
      </c>
      <c r="AL95" s="5">
        <f t="shared" si="97"/>
        <v>1843247</v>
      </c>
      <c r="AM95" s="8">
        <v>515304</v>
      </c>
      <c r="AN95" s="8">
        <v>1086943</v>
      </c>
      <c r="AO95" s="8">
        <v>241000</v>
      </c>
      <c r="AP95" s="8">
        <f>SUM(AM95:AO95)</f>
        <v>1843247</v>
      </c>
      <c r="AQ95" s="8">
        <v>0</v>
      </c>
      <c r="AR95" s="8"/>
      <c r="AS95" s="8"/>
      <c r="AT95" s="5">
        <f>AQ95+AR95+AS95</f>
        <v>0</v>
      </c>
      <c r="AU95" s="5">
        <f t="shared" si="106"/>
        <v>1843247</v>
      </c>
      <c r="AV95" s="8">
        <v>515304</v>
      </c>
      <c r="AW95" s="8">
        <v>1086943</v>
      </c>
      <c r="AX95" s="8">
        <v>241000</v>
      </c>
      <c r="AY95" s="8">
        <f>SUM(AV95:AX95)</f>
        <v>1843247</v>
      </c>
      <c r="AZ95" s="8">
        <v>0</v>
      </c>
      <c r="BA95" s="8"/>
      <c r="BB95" s="8"/>
      <c r="BC95" s="5">
        <f t="shared" si="115"/>
        <v>0</v>
      </c>
      <c r="BD95" s="5">
        <f t="shared" si="107"/>
        <v>1843247</v>
      </c>
    </row>
    <row r="96" spans="1:56" ht="16.5">
      <c r="A96" s="6" t="s">
        <v>172</v>
      </c>
      <c r="B96" s="7" t="s">
        <v>173</v>
      </c>
      <c r="C96" s="8">
        <v>306551</v>
      </c>
      <c r="D96" s="8">
        <f>223180+48000</f>
        <v>271180</v>
      </c>
      <c r="E96" s="8">
        <v>2434585</v>
      </c>
      <c r="F96" s="8">
        <f>SUM(C96:E96)</f>
        <v>3012316</v>
      </c>
      <c r="G96" s="8">
        <f>3595000+305000</f>
        <v>3900000</v>
      </c>
      <c r="H96" s="8"/>
      <c r="I96" s="8"/>
      <c r="J96" s="8">
        <f>SUM(G96:I96)</f>
        <v>3900000</v>
      </c>
      <c r="K96" s="5">
        <f t="shared" si="104"/>
        <v>6912316</v>
      </c>
      <c r="L96" s="8">
        <v>306551</v>
      </c>
      <c r="M96" s="8">
        <f>272975+48000</f>
        <v>320975</v>
      </c>
      <c r="N96" s="8">
        <v>1936822</v>
      </c>
      <c r="O96" s="8">
        <f>SUM(L96:N96)</f>
        <v>2564348</v>
      </c>
      <c r="P96" s="8">
        <f>6660327+3824900</f>
        <v>10485227</v>
      </c>
      <c r="Q96" s="8"/>
      <c r="R96" s="8"/>
      <c r="S96" s="8">
        <f>SUM(P96:R96)</f>
        <v>10485227</v>
      </c>
      <c r="T96" s="5">
        <f t="shared" si="118"/>
        <v>13049575</v>
      </c>
      <c r="U96" s="8">
        <v>523072</v>
      </c>
      <c r="V96" s="8">
        <v>378470</v>
      </c>
      <c r="W96" s="8">
        <v>2765055</v>
      </c>
      <c r="X96" s="8">
        <f>SUM(U96:W96)</f>
        <v>3666597</v>
      </c>
      <c r="Y96" s="8">
        <v>13850000</v>
      </c>
      <c r="Z96" s="8"/>
      <c r="AA96" s="8"/>
      <c r="AB96" s="8">
        <f>SUM(Y96:AA96)</f>
        <v>13850000</v>
      </c>
      <c r="AC96" s="5">
        <f t="shared" si="105"/>
        <v>17516597</v>
      </c>
      <c r="AD96" s="8">
        <v>702874</v>
      </c>
      <c r="AE96" s="8">
        <v>616905</v>
      </c>
      <c r="AF96" s="8">
        <v>2868055</v>
      </c>
      <c r="AG96" s="8">
        <f>SUM(AD96:AF96)</f>
        <v>4187834</v>
      </c>
      <c r="AH96" s="8">
        <v>16000000</v>
      </c>
      <c r="AI96" s="8"/>
      <c r="AJ96" s="8">
        <v>0</v>
      </c>
      <c r="AK96" s="8">
        <f>SUM(AH96:AJ96)</f>
        <v>16000000</v>
      </c>
      <c r="AL96" s="5">
        <f t="shared" si="97"/>
        <v>20187834</v>
      </c>
      <c r="AM96" s="8">
        <v>702874</v>
      </c>
      <c r="AN96" s="8">
        <v>2384905</v>
      </c>
      <c r="AO96" s="8">
        <v>1100055</v>
      </c>
      <c r="AP96" s="8">
        <f>SUM(AM96:AO96)</f>
        <v>4187834</v>
      </c>
      <c r="AQ96" s="8">
        <v>15000000</v>
      </c>
      <c r="AR96" s="8"/>
      <c r="AS96" s="8">
        <v>0</v>
      </c>
      <c r="AT96" s="5">
        <f>AQ96+AR96+AS96</f>
        <v>15000000</v>
      </c>
      <c r="AU96" s="5">
        <f t="shared" si="106"/>
        <v>19187834</v>
      </c>
      <c r="AV96" s="8">
        <v>702874</v>
      </c>
      <c r="AW96" s="8">
        <v>2384905</v>
      </c>
      <c r="AX96" s="8">
        <v>1100055</v>
      </c>
      <c r="AY96" s="8">
        <f>SUM(AV96:AX96)</f>
        <v>4187834</v>
      </c>
      <c r="AZ96" s="8">
        <v>14200000</v>
      </c>
      <c r="BA96" s="8"/>
      <c r="BB96" s="8">
        <v>0</v>
      </c>
      <c r="BC96" s="5">
        <f t="shared" si="115"/>
        <v>14200000</v>
      </c>
      <c r="BD96" s="5">
        <f t="shared" si="107"/>
        <v>18387834</v>
      </c>
    </row>
    <row r="97" spans="1:56" ht="16.5">
      <c r="A97" s="6" t="s">
        <v>174</v>
      </c>
      <c r="B97" s="7" t="s">
        <v>175</v>
      </c>
      <c r="C97" s="8">
        <v>31756</v>
      </c>
      <c r="D97" s="8">
        <v>94000</v>
      </c>
      <c r="E97" s="8">
        <v>2175667</v>
      </c>
      <c r="F97" s="8">
        <f>SUM(C97:E97)</f>
        <v>2301423</v>
      </c>
      <c r="G97" s="8">
        <v>100000</v>
      </c>
      <c r="H97" s="8"/>
      <c r="I97" s="8"/>
      <c r="J97" s="8">
        <f>SUM(G97:I97)</f>
        <v>100000</v>
      </c>
      <c r="K97" s="5">
        <f t="shared" si="104"/>
        <v>2401423</v>
      </c>
      <c r="L97" s="8">
        <v>31756</v>
      </c>
      <c r="M97" s="8">
        <v>18000</v>
      </c>
      <c r="N97" s="8">
        <v>880000</v>
      </c>
      <c r="O97" s="8">
        <f>SUM(L97:N97)</f>
        <v>929756</v>
      </c>
      <c r="P97" s="8">
        <v>120000</v>
      </c>
      <c r="Q97" s="8"/>
      <c r="R97" s="8"/>
      <c r="S97" s="8">
        <f>SUM(P97:R97)</f>
        <v>120000</v>
      </c>
      <c r="T97" s="5">
        <f t="shared" si="118"/>
        <v>1049756</v>
      </c>
      <c r="U97" s="8">
        <v>61919</v>
      </c>
      <c r="V97" s="8">
        <v>83650</v>
      </c>
      <c r="W97" s="8">
        <v>250000</v>
      </c>
      <c r="X97" s="8">
        <f>SUM(U97:W97)</f>
        <v>395569</v>
      </c>
      <c r="Y97" s="8">
        <v>0</v>
      </c>
      <c r="Z97" s="8"/>
      <c r="AA97" s="8"/>
      <c r="AB97" s="8">
        <f>SUM(Y97:AA97)</f>
        <v>0</v>
      </c>
      <c r="AC97" s="5">
        <f t="shared" si="105"/>
        <v>395569</v>
      </c>
      <c r="AD97" s="8">
        <v>106716</v>
      </c>
      <c r="AE97" s="8">
        <v>82150</v>
      </c>
      <c r="AF97" s="8">
        <v>250000</v>
      </c>
      <c r="AG97" s="8">
        <f>SUM(AD97:AF97)</f>
        <v>438866</v>
      </c>
      <c r="AH97" s="8">
        <v>0</v>
      </c>
      <c r="AI97" s="8">
        <v>0</v>
      </c>
      <c r="AJ97" s="8"/>
      <c r="AK97" s="8">
        <f>SUM(AH97:AJ97)</f>
        <v>0</v>
      </c>
      <c r="AL97" s="5">
        <f t="shared" si="97"/>
        <v>438866</v>
      </c>
      <c r="AM97" s="8">
        <v>106716</v>
      </c>
      <c r="AN97" s="8">
        <v>82150</v>
      </c>
      <c r="AO97" s="8">
        <v>250000</v>
      </c>
      <c r="AP97" s="8">
        <f>SUM(AM97:AO97)</f>
        <v>438866</v>
      </c>
      <c r="AQ97" s="8">
        <v>0</v>
      </c>
      <c r="AR97" s="8">
        <v>0</v>
      </c>
      <c r="AS97" s="8"/>
      <c r="AT97" s="5">
        <f>AQ97+AR97+AS97</f>
        <v>0</v>
      </c>
      <c r="AU97" s="5">
        <f t="shared" si="106"/>
        <v>438866</v>
      </c>
      <c r="AV97" s="8">
        <v>106716</v>
      </c>
      <c r="AW97" s="8">
        <v>82150</v>
      </c>
      <c r="AX97" s="8">
        <v>250000</v>
      </c>
      <c r="AY97" s="8">
        <f>SUM(AV97:AX97)</f>
        <v>438866</v>
      </c>
      <c r="AZ97" s="8">
        <v>0</v>
      </c>
      <c r="BA97" s="8">
        <v>0</v>
      </c>
      <c r="BB97" s="8"/>
      <c r="BC97" s="5">
        <f t="shared" si="115"/>
        <v>0</v>
      </c>
      <c r="BD97" s="5">
        <f t="shared" si="107"/>
        <v>438866</v>
      </c>
    </row>
    <row r="98" spans="1:56" ht="16.5">
      <c r="A98" s="6" t="s">
        <v>176</v>
      </c>
      <c r="B98" s="7" t="s">
        <v>177</v>
      </c>
      <c r="C98" s="8">
        <v>119379</v>
      </c>
      <c r="D98" s="8">
        <v>15000</v>
      </c>
      <c r="E98" s="8">
        <v>54000</v>
      </c>
      <c r="F98" s="8">
        <f>SUM(C98:E98)</f>
        <v>188379</v>
      </c>
      <c r="G98" s="8">
        <v>769000</v>
      </c>
      <c r="H98" s="8"/>
      <c r="I98" s="8"/>
      <c r="J98" s="8">
        <f>SUM(G98:I98)</f>
        <v>769000</v>
      </c>
      <c r="K98" s="5">
        <f t="shared" si="104"/>
        <v>957379</v>
      </c>
      <c r="L98" s="8">
        <v>119379</v>
      </c>
      <c r="M98" s="8">
        <v>33500</v>
      </c>
      <c r="N98" s="8">
        <v>254000</v>
      </c>
      <c r="O98" s="8">
        <f>SUM(L98:N98)</f>
        <v>406879</v>
      </c>
      <c r="P98" s="8">
        <v>9339715</v>
      </c>
      <c r="Q98" s="8"/>
      <c r="R98" s="8">
        <v>24294606</v>
      </c>
      <c r="S98" s="8">
        <f>SUM(P98:R98)</f>
        <v>33634321</v>
      </c>
      <c r="T98" s="5">
        <f t="shared" si="118"/>
        <v>34041200</v>
      </c>
      <c r="U98" s="8">
        <v>0</v>
      </c>
      <c r="V98" s="8">
        <v>0</v>
      </c>
      <c r="W98" s="8">
        <v>0</v>
      </c>
      <c r="X98" s="8">
        <f>SUM(U98:W98)</f>
        <v>0</v>
      </c>
      <c r="Y98" s="8">
        <v>0</v>
      </c>
      <c r="Z98" s="8"/>
      <c r="AA98" s="8">
        <v>0</v>
      </c>
      <c r="AB98" s="8">
        <f>SUM(Y98:AA98)</f>
        <v>0</v>
      </c>
      <c r="AC98" s="5">
        <f t="shared" si="105"/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5">
        <f t="shared" si="97"/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5">
        <v>0</v>
      </c>
      <c r="AU98" s="5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5">
        <v>0</v>
      </c>
      <c r="BD98" s="5">
        <f t="shared" si="107"/>
        <v>0</v>
      </c>
    </row>
    <row r="99" spans="1:56" ht="16.5">
      <c r="A99" s="6" t="s">
        <v>178</v>
      </c>
      <c r="B99" s="7" t="s">
        <v>179</v>
      </c>
      <c r="C99" s="8">
        <v>354685</v>
      </c>
      <c r="D99" s="8">
        <v>30000</v>
      </c>
      <c r="E99" s="8">
        <v>2146133</v>
      </c>
      <c r="F99" s="8">
        <f>SUM(C99:E99)</f>
        <v>2530818</v>
      </c>
      <c r="G99" s="8">
        <f>840000+1091000</f>
        <v>1931000</v>
      </c>
      <c r="H99" s="8"/>
      <c r="I99" s="8">
        <v>200000</v>
      </c>
      <c r="J99" s="8">
        <f>SUM(G99:I99)</f>
        <v>2131000</v>
      </c>
      <c r="K99" s="5">
        <f t="shared" si="104"/>
        <v>4661818</v>
      </c>
      <c r="L99" s="8">
        <v>354685</v>
      </c>
      <c r="M99" s="8">
        <v>66500</v>
      </c>
      <c r="N99" s="8">
        <v>2049133</v>
      </c>
      <c r="O99" s="8">
        <f>SUM(L99:N99)</f>
        <v>2470318</v>
      </c>
      <c r="P99" s="8">
        <f>1940000+1100000+800000</f>
        <v>3840000</v>
      </c>
      <c r="Q99" s="8"/>
      <c r="R99" s="8">
        <v>0</v>
      </c>
      <c r="S99" s="8">
        <f>SUM(P99:R99)</f>
        <v>3840000</v>
      </c>
      <c r="T99" s="5">
        <f t="shared" si="118"/>
        <v>6310318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5">
        <f t="shared" si="105"/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/>
      <c r="AJ99" s="8"/>
      <c r="AK99" s="8">
        <v>0</v>
      </c>
      <c r="AL99" s="5">
        <f t="shared" si="97"/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/>
      <c r="AS99" s="8"/>
      <c r="AT99" s="5">
        <v>0</v>
      </c>
      <c r="AU99" s="5">
        <f t="shared" si="106"/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/>
      <c r="BB99" s="8"/>
      <c r="BC99" s="5">
        <v>0</v>
      </c>
      <c r="BD99" s="5">
        <v>0</v>
      </c>
    </row>
    <row r="100" spans="1:56" ht="16.5">
      <c r="A100" s="53" t="s">
        <v>180</v>
      </c>
      <c r="B100" s="54"/>
      <c r="C100" s="5">
        <f>SUM(C101:C104)</f>
        <v>36178028</v>
      </c>
      <c r="D100" s="5">
        <f t="shared" ref="D100:J100" si="135">SUM(D101:D104)</f>
        <v>4109781</v>
      </c>
      <c r="E100" s="5">
        <f t="shared" si="135"/>
        <v>847645</v>
      </c>
      <c r="F100" s="5">
        <f t="shared" si="135"/>
        <v>41135454</v>
      </c>
      <c r="G100" s="5">
        <f t="shared" si="135"/>
        <v>9000000</v>
      </c>
      <c r="H100" s="5">
        <f t="shared" si="135"/>
        <v>0</v>
      </c>
      <c r="I100" s="5">
        <f t="shared" si="135"/>
        <v>0</v>
      </c>
      <c r="J100" s="5">
        <f t="shared" si="135"/>
        <v>9000000</v>
      </c>
      <c r="K100" s="5">
        <f t="shared" si="104"/>
        <v>50135454</v>
      </c>
      <c r="L100" s="5">
        <f>SUM(L101:L104)</f>
        <v>32846501</v>
      </c>
      <c r="M100" s="5">
        <f>SUM(M101:M104)</f>
        <v>4172313</v>
      </c>
      <c r="N100" s="5">
        <f>SUM(N101:N104)</f>
        <v>1892251</v>
      </c>
      <c r="O100" s="5">
        <f>L100+M100+N100</f>
        <v>38911065</v>
      </c>
      <c r="P100" s="5">
        <f>SUM(P101:P104)</f>
        <v>1000000</v>
      </c>
      <c r="Q100" s="5">
        <f>SUM(Q101:Q104)</f>
        <v>0</v>
      </c>
      <c r="R100" s="5">
        <f>SUM(R101:R104)</f>
        <v>0</v>
      </c>
      <c r="S100" s="5">
        <f>SUM(S101:S104)</f>
        <v>1000000</v>
      </c>
      <c r="T100" s="5">
        <f t="shared" si="118"/>
        <v>39911065</v>
      </c>
      <c r="U100" s="5">
        <f>SUM(U101:U104)</f>
        <v>32541900</v>
      </c>
      <c r="V100" s="5">
        <f>SUM(V101:V104)</f>
        <v>7771912</v>
      </c>
      <c r="W100" s="5">
        <f>SUM(W101:W104)</f>
        <v>556364</v>
      </c>
      <c r="X100" s="5">
        <f>U100+V100+W100</f>
        <v>40870176</v>
      </c>
      <c r="Y100" s="5">
        <f>SUM(Y101:Y104)</f>
        <v>1984000</v>
      </c>
      <c r="Z100" s="5">
        <f>SUM(Z101:Z104)</f>
        <v>0</v>
      </c>
      <c r="AA100" s="5">
        <f>SUM(AA101:AA104)</f>
        <v>0</v>
      </c>
      <c r="AB100" s="5">
        <f>SUM(AB101:AB104)</f>
        <v>1984000</v>
      </c>
      <c r="AC100" s="5">
        <f t="shared" si="105"/>
        <v>42854176</v>
      </c>
      <c r="AD100" s="5">
        <f>SUM(AD101:AD104)</f>
        <v>34391569</v>
      </c>
      <c r="AE100" s="5">
        <f>SUM(AE101:AE104)</f>
        <v>7243967</v>
      </c>
      <c r="AF100" s="5">
        <f>SUM(AF101:AF104)</f>
        <v>563899</v>
      </c>
      <c r="AG100" s="5">
        <f>AD100+AE100+AF100</f>
        <v>42199435</v>
      </c>
      <c r="AH100" s="5">
        <f>SUM(AH101:AH104)</f>
        <v>11840802</v>
      </c>
      <c r="AI100" s="5">
        <f>SUM(AI101:AI104)</f>
        <v>0</v>
      </c>
      <c r="AJ100" s="5">
        <f>SUM(AJ101:AJ104)</f>
        <v>0</v>
      </c>
      <c r="AK100" s="5">
        <f>SUM(AK101:AK104)</f>
        <v>11840802</v>
      </c>
      <c r="AL100" s="5">
        <f t="shared" si="97"/>
        <v>54040237</v>
      </c>
      <c r="AM100" s="5">
        <f>SUM(AM101:AM104)</f>
        <v>34391569</v>
      </c>
      <c r="AN100" s="5">
        <f>SUM(AN101:AN104)</f>
        <v>4691392</v>
      </c>
      <c r="AO100" s="5">
        <f>SUM(AO101:AO104)</f>
        <v>806649</v>
      </c>
      <c r="AP100" s="5">
        <f>AM100+AN100+AO100</f>
        <v>39889610</v>
      </c>
      <c r="AQ100" s="5">
        <f>SUM(AQ101:AQ104)</f>
        <v>10000000</v>
      </c>
      <c r="AR100" s="5">
        <f>SUM(AR101:AR104)</f>
        <v>0</v>
      </c>
      <c r="AS100" s="5">
        <f>SUM(AS101:AS104)</f>
        <v>0</v>
      </c>
      <c r="AT100" s="5">
        <f t="shared" ref="AT100:AT114" si="136">AQ100+AR100+AS100</f>
        <v>10000000</v>
      </c>
      <c r="AU100" s="5">
        <f t="shared" si="106"/>
        <v>49889610</v>
      </c>
      <c r="AV100" s="5">
        <f>SUM(AV101:AV104)</f>
        <v>34391569</v>
      </c>
      <c r="AW100" s="5">
        <f>SUM(AW101:AW104)</f>
        <v>5068987</v>
      </c>
      <c r="AX100" s="5">
        <f>SUM(AX101:AX104)</f>
        <v>806649</v>
      </c>
      <c r="AY100" s="5">
        <f>AV100+AW100+AX100</f>
        <v>40267205</v>
      </c>
      <c r="AZ100" s="5">
        <f>SUM(AZ101:AZ104)</f>
        <v>10000000</v>
      </c>
      <c r="BA100" s="5">
        <f>SUM(BA101:BA104)</f>
        <v>0</v>
      </c>
      <c r="BB100" s="5">
        <f>SUM(BB101:BB104)</f>
        <v>0</v>
      </c>
      <c r="BC100" s="5">
        <f t="shared" si="115"/>
        <v>10000000</v>
      </c>
      <c r="BD100" s="5">
        <f t="shared" si="107"/>
        <v>50267205</v>
      </c>
    </row>
    <row r="101" spans="1:56" ht="33">
      <c r="A101" s="6" t="s">
        <v>181</v>
      </c>
      <c r="B101" s="7" t="s">
        <v>182</v>
      </c>
      <c r="C101" s="8">
        <v>591473</v>
      </c>
      <c r="D101" s="8">
        <v>1179722</v>
      </c>
      <c r="E101" s="8">
        <v>782316</v>
      </c>
      <c r="F101" s="8">
        <f>SUM(C101:E101)</f>
        <v>2553511</v>
      </c>
      <c r="G101" s="8">
        <v>418048</v>
      </c>
      <c r="H101" s="8"/>
      <c r="I101" s="8"/>
      <c r="J101" s="8">
        <f>SUM(G101:I101)</f>
        <v>418048</v>
      </c>
      <c r="K101" s="5">
        <f t="shared" si="104"/>
        <v>2971559</v>
      </c>
      <c r="L101" s="8">
        <v>471473</v>
      </c>
      <c r="M101" s="8">
        <v>1163419</v>
      </c>
      <c r="N101" s="8">
        <v>826380</v>
      </c>
      <c r="O101" s="5">
        <f>L101+M101+N101</f>
        <v>2461272</v>
      </c>
      <c r="P101" s="8">
        <v>0</v>
      </c>
      <c r="Q101" s="8"/>
      <c r="R101" s="8"/>
      <c r="S101" s="8">
        <f>SUM(P101:R101)</f>
        <v>0</v>
      </c>
      <c r="T101" s="5">
        <f t="shared" si="118"/>
        <v>2461272</v>
      </c>
      <c r="U101" s="8">
        <v>379680</v>
      </c>
      <c r="V101" s="8">
        <v>1796652</v>
      </c>
      <c r="W101" s="8">
        <v>365476</v>
      </c>
      <c r="X101" s="5">
        <f>U101+V101+W101</f>
        <v>2541808</v>
      </c>
      <c r="Y101" s="8">
        <v>0</v>
      </c>
      <c r="Z101" s="8"/>
      <c r="AA101" s="8"/>
      <c r="AB101" s="8">
        <f>SUM(Y101:AA101)</f>
        <v>0</v>
      </c>
      <c r="AC101" s="5">
        <f t="shared" si="105"/>
        <v>2541808</v>
      </c>
      <c r="AD101" s="8">
        <v>379680</v>
      </c>
      <c r="AE101" s="8">
        <v>2293995</v>
      </c>
      <c r="AF101" s="8">
        <v>376899</v>
      </c>
      <c r="AG101" s="5">
        <f>AD101+AE101+AF101</f>
        <v>3050574</v>
      </c>
      <c r="AH101" s="8">
        <v>0</v>
      </c>
      <c r="AI101" s="8"/>
      <c r="AJ101" s="8"/>
      <c r="AK101" s="8">
        <f>SUM(AH101:AJ101)</f>
        <v>0</v>
      </c>
      <c r="AL101" s="5">
        <f t="shared" si="97"/>
        <v>3050574</v>
      </c>
      <c r="AM101" s="8">
        <v>379680</v>
      </c>
      <c r="AN101" s="8">
        <v>2051245</v>
      </c>
      <c r="AO101" s="8">
        <v>619649</v>
      </c>
      <c r="AP101" s="5">
        <f>AM101+AN101+AO101</f>
        <v>3050574</v>
      </c>
      <c r="AQ101" s="8">
        <v>0</v>
      </c>
      <c r="AR101" s="8"/>
      <c r="AS101" s="8"/>
      <c r="AT101" s="5">
        <f t="shared" si="136"/>
        <v>0</v>
      </c>
      <c r="AU101" s="5">
        <f t="shared" si="106"/>
        <v>3050574</v>
      </c>
      <c r="AV101" s="8">
        <v>379680</v>
      </c>
      <c r="AW101" s="8">
        <v>2051245</v>
      </c>
      <c r="AX101" s="8">
        <v>619649</v>
      </c>
      <c r="AY101" s="5">
        <f>AV101+AW101+AX101</f>
        <v>3050574</v>
      </c>
      <c r="AZ101" s="8">
        <v>0</v>
      </c>
      <c r="BA101" s="8"/>
      <c r="BB101" s="8"/>
      <c r="BC101" s="5">
        <f t="shared" si="115"/>
        <v>0</v>
      </c>
      <c r="BD101" s="5">
        <f t="shared" si="107"/>
        <v>3050574</v>
      </c>
    </row>
    <row r="102" spans="1:56" ht="16.5">
      <c r="A102" s="6" t="s">
        <v>183</v>
      </c>
      <c r="B102" s="7" t="s">
        <v>184</v>
      </c>
      <c r="C102" s="8">
        <v>0</v>
      </c>
      <c r="D102" s="8">
        <f>644045</f>
        <v>644045</v>
      </c>
      <c r="E102" s="8">
        <v>9875</v>
      </c>
      <c r="F102" s="8">
        <f>SUM(C102:E102)</f>
        <v>653920</v>
      </c>
      <c r="G102" s="8">
        <v>0</v>
      </c>
      <c r="H102" s="8"/>
      <c r="I102" s="8"/>
      <c r="J102" s="8">
        <f>SUM(G102:I102)</f>
        <v>0</v>
      </c>
      <c r="K102" s="5">
        <f t="shared" si="104"/>
        <v>653920</v>
      </c>
      <c r="L102" s="8">
        <v>0</v>
      </c>
      <c r="M102" s="8">
        <v>801554</v>
      </c>
      <c r="N102" s="8">
        <v>953467</v>
      </c>
      <c r="O102" s="5">
        <f>L102+M102+N102</f>
        <v>1755021</v>
      </c>
      <c r="P102" s="8">
        <v>0</v>
      </c>
      <c r="Q102" s="8"/>
      <c r="R102" s="8"/>
      <c r="S102" s="8">
        <f>SUM(P102:R102)</f>
        <v>0</v>
      </c>
      <c r="T102" s="5">
        <f t="shared" si="118"/>
        <v>1755021</v>
      </c>
      <c r="U102" s="8">
        <v>0</v>
      </c>
      <c r="V102" s="8">
        <v>0</v>
      </c>
      <c r="W102" s="8">
        <v>0</v>
      </c>
      <c r="X102" s="5">
        <f>U102+V102+W102</f>
        <v>0</v>
      </c>
      <c r="Y102" s="8">
        <v>0</v>
      </c>
      <c r="Z102" s="8"/>
      <c r="AA102" s="8"/>
      <c r="AB102" s="8">
        <f>SUM(Y102:AA102)</f>
        <v>0</v>
      </c>
      <c r="AC102" s="5">
        <f t="shared" si="105"/>
        <v>0</v>
      </c>
      <c r="AD102" s="8">
        <v>0</v>
      </c>
      <c r="AE102" s="8">
        <v>0</v>
      </c>
      <c r="AF102" s="8">
        <v>0</v>
      </c>
      <c r="AG102" s="5">
        <f>AD102+AE102+AF102</f>
        <v>0</v>
      </c>
      <c r="AH102" s="8">
        <v>0</v>
      </c>
      <c r="AI102" s="8">
        <v>0</v>
      </c>
      <c r="AJ102" s="8">
        <v>0</v>
      </c>
      <c r="AK102" s="8">
        <f>SUM(AH102:AJ102)</f>
        <v>0</v>
      </c>
      <c r="AL102" s="5">
        <f t="shared" si="97"/>
        <v>0</v>
      </c>
      <c r="AM102" s="8">
        <v>0</v>
      </c>
      <c r="AN102" s="8">
        <v>0</v>
      </c>
      <c r="AO102" s="8">
        <v>0</v>
      </c>
      <c r="AP102" s="5">
        <f>AM102+AN102+AO102</f>
        <v>0</v>
      </c>
      <c r="AQ102" s="8">
        <v>0</v>
      </c>
      <c r="AR102" s="8">
        <v>0</v>
      </c>
      <c r="AS102" s="8">
        <v>0</v>
      </c>
      <c r="AT102" s="5">
        <f t="shared" si="136"/>
        <v>0</v>
      </c>
      <c r="AU102" s="5">
        <f t="shared" si="106"/>
        <v>0</v>
      </c>
      <c r="AV102" s="8">
        <v>0</v>
      </c>
      <c r="AW102" s="8">
        <v>0</v>
      </c>
      <c r="AX102" s="8">
        <v>0</v>
      </c>
      <c r="AY102" s="5">
        <f>AV102+AW102+AX102</f>
        <v>0</v>
      </c>
      <c r="AZ102" s="8">
        <v>0</v>
      </c>
      <c r="BA102" s="8">
        <v>0</v>
      </c>
      <c r="BB102" s="8">
        <v>0</v>
      </c>
      <c r="BC102" s="5">
        <f t="shared" si="115"/>
        <v>0</v>
      </c>
      <c r="BD102" s="5">
        <f t="shared" si="107"/>
        <v>0</v>
      </c>
    </row>
    <row r="103" spans="1:56" ht="49.5">
      <c r="A103" s="6" t="s">
        <v>185</v>
      </c>
      <c r="B103" s="7" t="s">
        <v>186</v>
      </c>
      <c r="C103" s="8">
        <v>35586555</v>
      </c>
      <c r="D103" s="8">
        <v>1860966</v>
      </c>
      <c r="E103" s="8">
        <v>55454</v>
      </c>
      <c r="F103" s="8">
        <f>SUM(C103:E103)</f>
        <v>37502975</v>
      </c>
      <c r="G103" s="8">
        <v>1216270</v>
      </c>
      <c r="H103" s="8"/>
      <c r="I103" s="8"/>
      <c r="J103" s="8">
        <f>SUM(G103:I103)</f>
        <v>1216270</v>
      </c>
      <c r="K103" s="5">
        <f t="shared" si="104"/>
        <v>38719245</v>
      </c>
      <c r="L103" s="8">
        <v>32375028</v>
      </c>
      <c r="M103" s="8">
        <v>1754340</v>
      </c>
      <c r="N103" s="8">
        <v>112404</v>
      </c>
      <c r="O103" s="5">
        <f>L103+M103+N103</f>
        <v>34241772</v>
      </c>
      <c r="P103" s="8">
        <v>0</v>
      </c>
      <c r="Q103" s="8">
        <v>0</v>
      </c>
      <c r="R103" s="8">
        <v>0</v>
      </c>
      <c r="S103" s="8">
        <f>SUM(P103:R103)</f>
        <v>0</v>
      </c>
      <c r="T103" s="5">
        <f t="shared" si="118"/>
        <v>34241772</v>
      </c>
      <c r="U103" s="8">
        <v>32162220</v>
      </c>
      <c r="V103" s="8">
        <v>5975260</v>
      </c>
      <c r="W103" s="8">
        <v>190888</v>
      </c>
      <c r="X103" s="5">
        <f>U103+V103+W103</f>
        <v>38328368</v>
      </c>
      <c r="Y103" s="8">
        <v>1984000</v>
      </c>
      <c r="Z103" s="8">
        <v>0</v>
      </c>
      <c r="AA103" s="8">
        <v>0</v>
      </c>
      <c r="AB103" s="8">
        <f>SUM(Y103:AA103)</f>
        <v>1984000</v>
      </c>
      <c r="AC103" s="5">
        <f t="shared" si="105"/>
        <v>40312368</v>
      </c>
      <c r="AD103" s="8">
        <v>34011889</v>
      </c>
      <c r="AE103" s="8">
        <v>4949972</v>
      </c>
      <c r="AF103" s="8">
        <v>187000</v>
      </c>
      <c r="AG103" s="5">
        <f>AD103+AE103+AF103</f>
        <v>39148861</v>
      </c>
      <c r="AH103" s="8">
        <v>11840802</v>
      </c>
      <c r="AI103" s="8">
        <v>0</v>
      </c>
      <c r="AJ103" s="8">
        <v>0</v>
      </c>
      <c r="AK103" s="8">
        <f>SUM(AH103:AJ103)</f>
        <v>11840802</v>
      </c>
      <c r="AL103" s="5">
        <f t="shared" si="97"/>
        <v>50989663</v>
      </c>
      <c r="AM103" s="8">
        <v>34011889</v>
      </c>
      <c r="AN103" s="8">
        <v>2640147</v>
      </c>
      <c r="AO103" s="8">
        <v>187000</v>
      </c>
      <c r="AP103" s="5">
        <f>AM103+AN103+AO103</f>
        <v>36839036</v>
      </c>
      <c r="AQ103" s="8">
        <v>10000000</v>
      </c>
      <c r="AR103" s="8">
        <v>0</v>
      </c>
      <c r="AS103" s="8">
        <v>0</v>
      </c>
      <c r="AT103" s="5">
        <f t="shared" si="136"/>
        <v>10000000</v>
      </c>
      <c r="AU103" s="5">
        <f t="shared" si="106"/>
        <v>46839036</v>
      </c>
      <c r="AV103" s="8">
        <v>34011889</v>
      </c>
      <c r="AW103" s="8">
        <v>3017742</v>
      </c>
      <c r="AX103" s="8">
        <v>187000</v>
      </c>
      <c r="AY103" s="5">
        <f>AV103+AW103+AX103</f>
        <v>37216631</v>
      </c>
      <c r="AZ103" s="8">
        <v>10000000</v>
      </c>
      <c r="BA103" s="8">
        <v>0</v>
      </c>
      <c r="BB103" s="8">
        <v>0</v>
      </c>
      <c r="BC103" s="5">
        <f t="shared" si="115"/>
        <v>10000000</v>
      </c>
      <c r="BD103" s="5">
        <f t="shared" si="107"/>
        <v>47216631</v>
      </c>
    </row>
    <row r="104" spans="1:56" ht="16.5">
      <c r="A104" s="9" t="s">
        <v>187</v>
      </c>
      <c r="B104" s="13" t="s">
        <v>188</v>
      </c>
      <c r="C104" s="14">
        <v>0</v>
      </c>
      <c r="D104" s="14">
        <f>7000+418048</f>
        <v>425048</v>
      </c>
      <c r="E104" s="14"/>
      <c r="F104" s="8">
        <f>SUM(C104:E104)</f>
        <v>425048</v>
      </c>
      <c r="G104" s="14">
        <f>7783730-418048</f>
        <v>7365682</v>
      </c>
      <c r="H104" s="14"/>
      <c r="I104" s="14"/>
      <c r="J104" s="8">
        <f>SUM(G104:I104)</f>
        <v>7365682</v>
      </c>
      <c r="K104" s="5">
        <f t="shared" si="104"/>
        <v>7790730</v>
      </c>
      <c r="L104" s="14">
        <v>0</v>
      </c>
      <c r="M104" s="14">
        <v>453000</v>
      </c>
      <c r="N104" s="14">
        <v>0</v>
      </c>
      <c r="O104" s="5">
        <f>L104+M104+N104</f>
        <v>453000</v>
      </c>
      <c r="P104" s="14">
        <v>1000000</v>
      </c>
      <c r="Q104" s="14">
        <v>0</v>
      </c>
      <c r="R104" s="14">
        <v>0</v>
      </c>
      <c r="S104" s="8">
        <f>SUM(P104:R104)</f>
        <v>1000000</v>
      </c>
      <c r="T104" s="5">
        <f t="shared" si="118"/>
        <v>1453000</v>
      </c>
      <c r="U104" s="14">
        <v>0</v>
      </c>
      <c r="V104" s="14">
        <v>0</v>
      </c>
      <c r="W104" s="14">
        <v>0</v>
      </c>
      <c r="X104" s="5">
        <f>U104+V104+W104</f>
        <v>0</v>
      </c>
      <c r="Y104" s="14">
        <v>0</v>
      </c>
      <c r="Z104" s="14">
        <v>0</v>
      </c>
      <c r="AA104" s="14">
        <v>0</v>
      </c>
      <c r="AB104" s="8">
        <f>SUM(Y104:AA104)</f>
        <v>0</v>
      </c>
      <c r="AC104" s="5">
        <f t="shared" si="105"/>
        <v>0</v>
      </c>
      <c r="AD104" s="14">
        <v>0</v>
      </c>
      <c r="AE104" s="14">
        <v>0</v>
      </c>
      <c r="AF104" s="14">
        <v>0</v>
      </c>
      <c r="AG104" s="5">
        <f>AD104+AE104+AF104</f>
        <v>0</v>
      </c>
      <c r="AH104" s="14">
        <v>0</v>
      </c>
      <c r="AI104" s="14"/>
      <c r="AJ104" s="14"/>
      <c r="AK104" s="8">
        <f>SUM(AH104:AJ104)</f>
        <v>0</v>
      </c>
      <c r="AL104" s="5">
        <f t="shared" si="97"/>
        <v>0</v>
      </c>
      <c r="AM104" s="14">
        <v>0</v>
      </c>
      <c r="AN104" s="14">
        <v>0</v>
      </c>
      <c r="AO104" s="14">
        <v>0</v>
      </c>
      <c r="AP104" s="5">
        <f>AM104+AN104+AO104</f>
        <v>0</v>
      </c>
      <c r="AQ104" s="14">
        <v>0</v>
      </c>
      <c r="AR104" s="14"/>
      <c r="AS104" s="14"/>
      <c r="AT104" s="5">
        <f t="shared" si="136"/>
        <v>0</v>
      </c>
      <c r="AU104" s="5">
        <f t="shared" si="106"/>
        <v>0</v>
      </c>
      <c r="AV104" s="14">
        <v>0</v>
      </c>
      <c r="AW104" s="14">
        <v>0</v>
      </c>
      <c r="AX104" s="14">
        <v>0</v>
      </c>
      <c r="AY104" s="5">
        <f>AV104+AW104+AX104</f>
        <v>0</v>
      </c>
      <c r="AZ104" s="14">
        <v>0</v>
      </c>
      <c r="BA104" s="14"/>
      <c r="BB104" s="14"/>
      <c r="BC104" s="5">
        <f t="shared" si="115"/>
        <v>0</v>
      </c>
      <c r="BD104" s="5">
        <f t="shared" si="107"/>
        <v>0</v>
      </c>
    </row>
    <row r="105" spans="1:56" ht="16.5">
      <c r="A105" s="53" t="s">
        <v>189</v>
      </c>
      <c r="B105" s="54"/>
      <c r="C105" s="5">
        <f>SUM(C106:C108)</f>
        <v>392646</v>
      </c>
      <c r="D105" s="5">
        <f t="shared" ref="D105:J105" si="137">SUM(D106:D108)</f>
        <v>737881</v>
      </c>
      <c r="E105" s="5">
        <f t="shared" si="137"/>
        <v>2382000</v>
      </c>
      <c r="F105" s="5">
        <f t="shared" si="137"/>
        <v>3512527</v>
      </c>
      <c r="G105" s="5">
        <f t="shared" si="137"/>
        <v>1030000</v>
      </c>
      <c r="H105" s="5">
        <f t="shared" si="137"/>
        <v>0</v>
      </c>
      <c r="I105" s="5">
        <f t="shared" si="137"/>
        <v>0</v>
      </c>
      <c r="J105" s="5">
        <f t="shared" si="137"/>
        <v>1030000</v>
      </c>
      <c r="K105" s="5">
        <f t="shared" si="104"/>
        <v>4542527</v>
      </c>
      <c r="L105" s="5">
        <f>SUM(L106:L108)</f>
        <v>1303132</v>
      </c>
      <c r="M105" s="5">
        <f t="shared" ref="M105:S105" si="138">SUM(M106:M108)</f>
        <v>937881</v>
      </c>
      <c r="N105" s="5">
        <f t="shared" si="138"/>
        <v>3632000</v>
      </c>
      <c r="O105" s="5">
        <f t="shared" si="138"/>
        <v>5873013</v>
      </c>
      <c r="P105" s="5">
        <f t="shared" si="138"/>
        <v>300000</v>
      </c>
      <c r="Q105" s="5">
        <f t="shared" si="138"/>
        <v>0</v>
      </c>
      <c r="R105" s="5">
        <f t="shared" si="138"/>
        <v>0</v>
      </c>
      <c r="S105" s="5">
        <f t="shared" si="138"/>
        <v>300000</v>
      </c>
      <c r="T105" s="5">
        <f t="shared" si="118"/>
        <v>6173013</v>
      </c>
      <c r="U105" s="5">
        <f>SUM(U106:U108)</f>
        <v>698900</v>
      </c>
      <c r="V105" s="5">
        <f t="shared" ref="V105:AB105" si="139">SUM(V106:V108)</f>
        <v>1257988</v>
      </c>
      <c r="W105" s="5">
        <f t="shared" si="139"/>
        <v>2577785</v>
      </c>
      <c r="X105" s="5">
        <f t="shared" si="139"/>
        <v>4534673</v>
      </c>
      <c r="Y105" s="5">
        <f t="shared" si="139"/>
        <v>1200000</v>
      </c>
      <c r="Z105" s="5">
        <f t="shared" si="139"/>
        <v>0</v>
      </c>
      <c r="AA105" s="5">
        <f t="shared" si="139"/>
        <v>0</v>
      </c>
      <c r="AB105" s="5">
        <f t="shared" si="139"/>
        <v>1200000</v>
      </c>
      <c r="AC105" s="5">
        <f t="shared" si="105"/>
        <v>5734673</v>
      </c>
      <c r="AD105" s="5">
        <f>SUM(AD106:AD108)</f>
        <v>1667209</v>
      </c>
      <c r="AE105" s="5">
        <f t="shared" ref="AE105:AK105" si="140">SUM(AE106:AE108)</f>
        <v>2961408</v>
      </c>
      <c r="AF105" s="5">
        <f t="shared" si="140"/>
        <v>1993720</v>
      </c>
      <c r="AG105" s="5">
        <f t="shared" si="140"/>
        <v>6622337</v>
      </c>
      <c r="AH105" s="5">
        <f t="shared" si="140"/>
        <v>1000000</v>
      </c>
      <c r="AI105" s="5">
        <f t="shared" si="140"/>
        <v>0</v>
      </c>
      <c r="AJ105" s="5">
        <f t="shared" si="140"/>
        <v>0</v>
      </c>
      <c r="AK105" s="5">
        <f t="shared" si="140"/>
        <v>1000000</v>
      </c>
      <c r="AL105" s="5">
        <f t="shared" si="97"/>
        <v>7622337</v>
      </c>
      <c r="AM105" s="5">
        <f>SUM(AM106:AM108)</f>
        <v>1667209</v>
      </c>
      <c r="AN105" s="5">
        <f t="shared" ref="AN105:AS105" si="141">SUM(AN106:AN108)</f>
        <v>1550073</v>
      </c>
      <c r="AO105" s="5">
        <f t="shared" si="141"/>
        <v>2671335</v>
      </c>
      <c r="AP105" s="5">
        <f t="shared" si="141"/>
        <v>5888617</v>
      </c>
      <c r="AQ105" s="5">
        <f t="shared" si="141"/>
        <v>1000000</v>
      </c>
      <c r="AR105" s="5">
        <f t="shared" si="141"/>
        <v>0</v>
      </c>
      <c r="AS105" s="5">
        <f t="shared" si="141"/>
        <v>200000</v>
      </c>
      <c r="AT105" s="5">
        <f t="shared" si="136"/>
        <v>1200000</v>
      </c>
      <c r="AU105" s="5">
        <f t="shared" si="106"/>
        <v>7088617</v>
      </c>
      <c r="AV105" s="5">
        <f>SUM(AV106:AV108)</f>
        <v>1667209</v>
      </c>
      <c r="AW105" s="5">
        <f t="shared" ref="AW105:BB105" si="142">SUM(AW106:AW108)</f>
        <v>1550073</v>
      </c>
      <c r="AX105" s="5">
        <f t="shared" si="142"/>
        <v>2671335</v>
      </c>
      <c r="AY105" s="5">
        <f t="shared" si="142"/>
        <v>5888617</v>
      </c>
      <c r="AZ105" s="5">
        <f t="shared" si="142"/>
        <v>1000000</v>
      </c>
      <c r="BA105" s="5">
        <f t="shared" si="142"/>
        <v>0</v>
      </c>
      <c r="BB105" s="5">
        <f t="shared" si="142"/>
        <v>200000</v>
      </c>
      <c r="BC105" s="5">
        <f t="shared" si="115"/>
        <v>1200000</v>
      </c>
      <c r="BD105" s="5">
        <f t="shared" si="107"/>
        <v>7088617</v>
      </c>
    </row>
    <row r="106" spans="1:56" ht="33">
      <c r="A106" s="6" t="s">
        <v>190</v>
      </c>
      <c r="B106" s="7" t="s">
        <v>191</v>
      </c>
      <c r="C106" s="8">
        <v>392646</v>
      </c>
      <c r="D106" s="8">
        <v>602000</v>
      </c>
      <c r="E106" s="8">
        <f>772000+34000</f>
        <v>806000</v>
      </c>
      <c r="F106" s="8">
        <f>SUM(C106:E106)</f>
        <v>1800646</v>
      </c>
      <c r="G106" s="8">
        <v>468000</v>
      </c>
      <c r="H106" s="8">
        <v>0</v>
      </c>
      <c r="I106" s="8">
        <v>0</v>
      </c>
      <c r="J106" s="8">
        <f>SUM(G106:I106)</f>
        <v>468000</v>
      </c>
      <c r="K106" s="5">
        <f t="shared" si="104"/>
        <v>2268646</v>
      </c>
      <c r="L106" s="8">
        <f>903891-89043</f>
        <v>814848</v>
      </c>
      <c r="M106" s="8">
        <v>848000</v>
      </c>
      <c r="N106" s="8">
        <v>662000</v>
      </c>
      <c r="O106" s="8">
        <f>SUM(L106:N106)</f>
        <v>2324848</v>
      </c>
      <c r="P106" s="8">
        <v>300000</v>
      </c>
      <c r="Q106" s="8"/>
      <c r="R106" s="8"/>
      <c r="S106" s="8">
        <f>SUM(P106:R106)</f>
        <v>300000</v>
      </c>
      <c r="T106" s="5">
        <f t="shared" si="118"/>
        <v>2624848</v>
      </c>
      <c r="U106" s="8">
        <v>346454</v>
      </c>
      <c r="V106" s="8">
        <v>686501</v>
      </c>
      <c r="W106" s="8">
        <v>715770</v>
      </c>
      <c r="X106" s="8">
        <f>SUM(U106:W106)</f>
        <v>1748725</v>
      </c>
      <c r="Y106" s="8">
        <v>0</v>
      </c>
      <c r="Z106" s="8"/>
      <c r="AA106" s="8"/>
      <c r="AB106" s="8">
        <f>SUM(Y106:AA106)</f>
        <v>0</v>
      </c>
      <c r="AC106" s="5">
        <f t="shared" si="105"/>
        <v>1748725</v>
      </c>
      <c r="AD106" s="8">
        <v>1299858</v>
      </c>
      <c r="AE106" s="8">
        <v>2807087</v>
      </c>
      <c r="AF106" s="8">
        <v>607585</v>
      </c>
      <c r="AG106" s="8">
        <f>SUM(AD106:AF106)</f>
        <v>4714530</v>
      </c>
      <c r="AH106" s="8">
        <v>0</v>
      </c>
      <c r="AI106" s="8">
        <v>0</v>
      </c>
      <c r="AJ106" s="8">
        <v>0</v>
      </c>
      <c r="AK106" s="8">
        <f>SUM(AH106:AJ106)</f>
        <v>0</v>
      </c>
      <c r="AL106" s="5">
        <f t="shared" si="97"/>
        <v>4714530</v>
      </c>
      <c r="AM106" s="8">
        <v>1299858</v>
      </c>
      <c r="AN106" s="8">
        <v>1395752</v>
      </c>
      <c r="AO106" s="8">
        <v>607585</v>
      </c>
      <c r="AP106" s="8">
        <f>SUM(AM106:AO106)</f>
        <v>3303195</v>
      </c>
      <c r="AQ106" s="8">
        <v>0</v>
      </c>
      <c r="AR106" s="8">
        <v>0</v>
      </c>
      <c r="AS106" s="8">
        <v>0</v>
      </c>
      <c r="AT106" s="5">
        <f t="shared" si="136"/>
        <v>0</v>
      </c>
      <c r="AU106" s="5">
        <f t="shared" si="106"/>
        <v>3303195</v>
      </c>
      <c r="AV106" s="8">
        <v>1299858</v>
      </c>
      <c r="AW106" s="8">
        <v>1395752</v>
      </c>
      <c r="AX106" s="8">
        <v>607585</v>
      </c>
      <c r="AY106" s="8">
        <f>SUM(AV106:AX106)</f>
        <v>3303195</v>
      </c>
      <c r="AZ106" s="8">
        <v>0</v>
      </c>
      <c r="BA106" s="8">
        <v>0</v>
      </c>
      <c r="BB106" s="8">
        <v>0</v>
      </c>
      <c r="BC106" s="5">
        <f t="shared" si="115"/>
        <v>0</v>
      </c>
      <c r="BD106" s="5">
        <f t="shared" si="107"/>
        <v>3303195</v>
      </c>
    </row>
    <row r="107" spans="1:56" ht="33">
      <c r="A107" s="6" t="s">
        <v>192</v>
      </c>
      <c r="B107" s="7" t="s">
        <v>193</v>
      </c>
      <c r="C107" s="8">
        <v>0</v>
      </c>
      <c r="D107" s="8">
        <v>68000</v>
      </c>
      <c r="E107" s="8">
        <v>580000</v>
      </c>
      <c r="F107" s="8">
        <f>SUM(C107:E107)</f>
        <v>648000</v>
      </c>
      <c r="G107" s="8">
        <v>275000</v>
      </c>
      <c r="H107" s="8">
        <v>0</v>
      </c>
      <c r="I107" s="8"/>
      <c r="J107" s="8">
        <f>SUM(G107:I107)</f>
        <v>275000</v>
      </c>
      <c r="K107" s="5">
        <f t="shared" si="104"/>
        <v>923000</v>
      </c>
      <c r="L107" s="8">
        <v>390197</v>
      </c>
      <c r="M107" s="8">
        <v>57000</v>
      </c>
      <c r="N107" s="8">
        <v>2065000</v>
      </c>
      <c r="O107" s="8">
        <f>SUM(L107:N107)</f>
        <v>2512197</v>
      </c>
      <c r="P107" s="8">
        <v>0</v>
      </c>
      <c r="Q107" s="8">
        <v>0</v>
      </c>
      <c r="R107" s="8">
        <v>0</v>
      </c>
      <c r="S107" s="8">
        <f>SUM(P107:R107)</f>
        <v>0</v>
      </c>
      <c r="T107" s="5">
        <f t="shared" si="118"/>
        <v>2512197</v>
      </c>
      <c r="U107" s="8">
        <v>276591</v>
      </c>
      <c r="V107" s="8">
        <v>404500</v>
      </c>
      <c r="W107" s="8">
        <v>942015</v>
      </c>
      <c r="X107" s="8">
        <f>SUM(U107:W107)</f>
        <v>1623106</v>
      </c>
      <c r="Y107" s="8">
        <v>1200000</v>
      </c>
      <c r="Z107" s="8">
        <v>0</v>
      </c>
      <c r="AA107" s="8">
        <v>0</v>
      </c>
      <c r="AB107" s="8">
        <f>SUM(Y107:AA107)</f>
        <v>1200000</v>
      </c>
      <c r="AC107" s="5">
        <f t="shared" si="105"/>
        <v>2823106</v>
      </c>
      <c r="AD107" s="8">
        <v>278173</v>
      </c>
      <c r="AE107" s="8">
        <v>121440</v>
      </c>
      <c r="AF107" s="8">
        <v>684135</v>
      </c>
      <c r="AG107" s="8">
        <f>SUM(AD107:AF107)</f>
        <v>1083748</v>
      </c>
      <c r="AH107" s="8">
        <v>1000000</v>
      </c>
      <c r="AI107" s="8">
        <v>0</v>
      </c>
      <c r="AJ107" s="8">
        <v>0</v>
      </c>
      <c r="AK107" s="8">
        <f>AH107+AJ107+AJ107</f>
        <v>1000000</v>
      </c>
      <c r="AL107" s="5">
        <f t="shared" si="97"/>
        <v>2083748</v>
      </c>
      <c r="AM107" s="8">
        <v>278173</v>
      </c>
      <c r="AN107" s="8">
        <v>121440</v>
      </c>
      <c r="AO107" s="8">
        <v>1361750</v>
      </c>
      <c r="AP107" s="8">
        <f>SUM(AM107:AO107)</f>
        <v>1761363</v>
      </c>
      <c r="AQ107" s="8">
        <v>1000000</v>
      </c>
      <c r="AR107" s="8">
        <v>0</v>
      </c>
      <c r="AS107" s="8">
        <v>200000</v>
      </c>
      <c r="AT107" s="5">
        <f t="shared" si="136"/>
        <v>1200000</v>
      </c>
      <c r="AU107" s="5">
        <f t="shared" si="106"/>
        <v>2961363</v>
      </c>
      <c r="AV107" s="8">
        <v>278173</v>
      </c>
      <c r="AW107" s="8">
        <v>121440</v>
      </c>
      <c r="AX107" s="8">
        <v>1361750</v>
      </c>
      <c r="AY107" s="8">
        <f>SUM(AV107:AX107)</f>
        <v>1761363</v>
      </c>
      <c r="AZ107" s="8">
        <v>1000000</v>
      </c>
      <c r="BA107" s="8">
        <v>0</v>
      </c>
      <c r="BB107" s="8">
        <v>200000</v>
      </c>
      <c r="BC107" s="5">
        <f t="shared" si="115"/>
        <v>1200000</v>
      </c>
      <c r="BD107" s="5">
        <f t="shared" si="107"/>
        <v>2961363</v>
      </c>
    </row>
    <row r="108" spans="1:56" ht="33">
      <c r="A108" s="6" t="s">
        <v>194</v>
      </c>
      <c r="B108" s="7" t="s">
        <v>195</v>
      </c>
      <c r="C108" s="8">
        <v>0</v>
      </c>
      <c r="D108" s="8">
        <v>67881</v>
      </c>
      <c r="E108" s="8">
        <v>996000</v>
      </c>
      <c r="F108" s="8">
        <f>SUM(C108:E108)</f>
        <v>1063881</v>
      </c>
      <c r="G108" s="8">
        <v>287000</v>
      </c>
      <c r="H108" s="8">
        <v>0</v>
      </c>
      <c r="I108" s="8">
        <v>0</v>
      </c>
      <c r="J108" s="8">
        <f>SUM(G108:I108)</f>
        <v>287000</v>
      </c>
      <c r="K108" s="5">
        <f t="shared" si="104"/>
        <v>1350881</v>
      </c>
      <c r="L108" s="8">
        <v>98087</v>
      </c>
      <c r="M108" s="8">
        <v>32881</v>
      </c>
      <c r="N108" s="8">
        <v>905000</v>
      </c>
      <c r="O108" s="8">
        <f>SUM(L108:N108)</f>
        <v>1035968</v>
      </c>
      <c r="P108" s="8">
        <v>0</v>
      </c>
      <c r="Q108" s="8">
        <v>0</v>
      </c>
      <c r="R108" s="8"/>
      <c r="S108" s="8">
        <f>SUM(P108:R108)</f>
        <v>0</v>
      </c>
      <c r="T108" s="5">
        <f t="shared" si="118"/>
        <v>1035968</v>
      </c>
      <c r="U108" s="8">
        <v>75855</v>
      </c>
      <c r="V108" s="8">
        <v>166987</v>
      </c>
      <c r="W108" s="8">
        <v>920000</v>
      </c>
      <c r="X108" s="8">
        <f>SUM(U108:W108)</f>
        <v>1162842</v>
      </c>
      <c r="Y108" s="8">
        <v>0</v>
      </c>
      <c r="Z108" s="8">
        <v>0</v>
      </c>
      <c r="AA108" s="8"/>
      <c r="AB108" s="8">
        <f>SUM(Y108:AA108)</f>
        <v>0</v>
      </c>
      <c r="AC108" s="5">
        <f t="shared" si="105"/>
        <v>1162842</v>
      </c>
      <c r="AD108" s="8">
        <v>89178</v>
      </c>
      <c r="AE108" s="8">
        <v>32881</v>
      </c>
      <c r="AF108" s="8">
        <v>702000</v>
      </c>
      <c r="AG108" s="8">
        <f>SUM(AD108:AF108)</f>
        <v>824059</v>
      </c>
      <c r="AH108" s="8">
        <v>0</v>
      </c>
      <c r="AI108" s="8">
        <v>0</v>
      </c>
      <c r="AJ108" s="8">
        <v>0</v>
      </c>
      <c r="AK108" s="8">
        <f>SUM(AH108:AJ108)</f>
        <v>0</v>
      </c>
      <c r="AL108" s="5">
        <f t="shared" si="97"/>
        <v>824059</v>
      </c>
      <c r="AM108" s="8">
        <v>89178</v>
      </c>
      <c r="AN108" s="8">
        <v>32881</v>
      </c>
      <c r="AO108" s="8">
        <v>702000</v>
      </c>
      <c r="AP108" s="8">
        <f>SUM(AM108:AO108)</f>
        <v>824059</v>
      </c>
      <c r="AQ108" s="8">
        <v>0</v>
      </c>
      <c r="AR108" s="8">
        <v>0</v>
      </c>
      <c r="AS108" s="8">
        <v>0</v>
      </c>
      <c r="AT108" s="5">
        <f t="shared" si="136"/>
        <v>0</v>
      </c>
      <c r="AU108" s="5">
        <f t="shared" si="106"/>
        <v>824059</v>
      </c>
      <c r="AV108" s="8">
        <v>89178</v>
      </c>
      <c r="AW108" s="8">
        <v>32881</v>
      </c>
      <c r="AX108" s="8">
        <v>702000</v>
      </c>
      <c r="AY108" s="8">
        <f>SUM(AV108:AX108)</f>
        <v>824059</v>
      </c>
      <c r="AZ108" s="8">
        <v>0</v>
      </c>
      <c r="BA108" s="8">
        <v>0</v>
      </c>
      <c r="BB108" s="8">
        <v>0</v>
      </c>
      <c r="BC108" s="5">
        <f t="shared" si="115"/>
        <v>0</v>
      </c>
      <c r="BD108" s="5">
        <f t="shared" si="107"/>
        <v>824059</v>
      </c>
    </row>
    <row r="109" spans="1:56" ht="16.5">
      <c r="A109" s="64" t="s">
        <v>196</v>
      </c>
      <c r="B109" s="65"/>
      <c r="C109" s="5">
        <f>SUM(C110:C113)</f>
        <v>322553</v>
      </c>
      <c r="D109" s="5">
        <f t="shared" ref="D109:J109" si="143">SUM(D110:D113)</f>
        <v>438000</v>
      </c>
      <c r="E109" s="5">
        <f t="shared" si="143"/>
        <v>3942351</v>
      </c>
      <c r="F109" s="5">
        <f t="shared" si="143"/>
        <v>4702904</v>
      </c>
      <c r="G109" s="5">
        <f t="shared" si="143"/>
        <v>1094000</v>
      </c>
      <c r="H109" s="5">
        <f t="shared" si="143"/>
        <v>67203</v>
      </c>
      <c r="I109" s="5">
        <f t="shared" si="143"/>
        <v>9180221</v>
      </c>
      <c r="J109" s="5">
        <f t="shared" si="143"/>
        <v>10341424</v>
      </c>
      <c r="K109" s="5">
        <f t="shared" si="104"/>
        <v>15044328</v>
      </c>
      <c r="L109" s="5">
        <f t="shared" ref="L109:S109" si="144">SUM(L110:L113)</f>
        <v>272640</v>
      </c>
      <c r="M109" s="5">
        <f t="shared" si="144"/>
        <v>883603</v>
      </c>
      <c r="N109" s="5">
        <f t="shared" si="144"/>
        <v>4650000</v>
      </c>
      <c r="O109" s="5">
        <f t="shared" si="144"/>
        <v>5806243</v>
      </c>
      <c r="P109" s="5">
        <f t="shared" si="144"/>
        <v>300000</v>
      </c>
      <c r="Q109" s="5">
        <f t="shared" si="144"/>
        <v>0</v>
      </c>
      <c r="R109" s="5">
        <f t="shared" si="144"/>
        <v>1488000</v>
      </c>
      <c r="S109" s="5">
        <f t="shared" si="144"/>
        <v>1788000</v>
      </c>
      <c r="T109" s="5">
        <f t="shared" si="118"/>
        <v>7594243</v>
      </c>
      <c r="U109" s="5">
        <f>SUM(U110:U113)</f>
        <v>99300</v>
      </c>
      <c r="V109" s="5">
        <f>SUM(V110:V113)</f>
        <v>705647</v>
      </c>
      <c r="W109" s="5">
        <f>SUM(W110:W113)</f>
        <v>4333191</v>
      </c>
      <c r="X109" s="5">
        <f>U109+V109+W109</f>
        <v>5138138</v>
      </c>
      <c r="Y109" s="5">
        <f>SUM(Y110:Y113)</f>
        <v>300000</v>
      </c>
      <c r="Z109" s="5">
        <f>SUM(Z110:Z113)</f>
        <v>0</v>
      </c>
      <c r="AA109" s="5">
        <f>SUM(AA110:AA113)</f>
        <v>0</v>
      </c>
      <c r="AB109" s="5">
        <f>SUM(AB110:AB113)</f>
        <v>300000</v>
      </c>
      <c r="AC109" s="5">
        <f t="shared" si="105"/>
        <v>5438138</v>
      </c>
      <c r="AD109" s="5">
        <f>SUM(AD110:AD113)</f>
        <v>303881</v>
      </c>
      <c r="AE109" s="5">
        <f t="shared" ref="AE109:AK109" si="145">SUM(AE110:AE113)</f>
        <v>1186942</v>
      </c>
      <c r="AF109" s="5">
        <f t="shared" si="145"/>
        <v>11455019</v>
      </c>
      <c r="AG109" s="5">
        <f t="shared" si="145"/>
        <v>12945842</v>
      </c>
      <c r="AH109" s="5">
        <f t="shared" si="145"/>
        <v>655500</v>
      </c>
      <c r="AI109" s="5">
        <f t="shared" si="145"/>
        <v>582164</v>
      </c>
      <c r="AJ109" s="5">
        <f t="shared" si="145"/>
        <v>0</v>
      </c>
      <c r="AK109" s="5">
        <f t="shared" si="145"/>
        <v>1237664</v>
      </c>
      <c r="AL109" s="5">
        <f t="shared" si="97"/>
        <v>14183506</v>
      </c>
      <c r="AM109" s="5">
        <f>SUM(AM110:AM113)</f>
        <v>303881</v>
      </c>
      <c r="AN109" s="5">
        <f t="shared" ref="AN109:AS109" si="146">SUM(AN110:AN113)</f>
        <v>1164943</v>
      </c>
      <c r="AO109" s="5">
        <f t="shared" si="146"/>
        <v>11593600</v>
      </c>
      <c r="AP109" s="5">
        <f t="shared" si="146"/>
        <v>13062424</v>
      </c>
      <c r="AQ109" s="5">
        <f t="shared" si="146"/>
        <v>500500</v>
      </c>
      <c r="AR109" s="5">
        <f t="shared" si="146"/>
        <v>165000</v>
      </c>
      <c r="AS109" s="5">
        <f t="shared" si="146"/>
        <v>0</v>
      </c>
      <c r="AT109" s="5">
        <f t="shared" si="136"/>
        <v>665500</v>
      </c>
      <c r="AU109" s="5">
        <f t="shared" si="106"/>
        <v>13727924</v>
      </c>
      <c r="AV109" s="5">
        <f>SUM(AV110:AV113)</f>
        <v>303881</v>
      </c>
      <c r="AW109" s="5">
        <f t="shared" ref="AW109:BB109" si="147">SUM(AW110:AW113)</f>
        <v>1164943</v>
      </c>
      <c r="AX109" s="5">
        <f t="shared" si="147"/>
        <v>11477019</v>
      </c>
      <c r="AY109" s="5">
        <f t="shared" si="147"/>
        <v>12945843</v>
      </c>
      <c r="AZ109" s="5">
        <f t="shared" si="147"/>
        <v>655500</v>
      </c>
      <c r="BA109" s="5">
        <f t="shared" si="147"/>
        <v>582164</v>
      </c>
      <c r="BB109" s="5">
        <f t="shared" si="147"/>
        <v>0</v>
      </c>
      <c r="BC109" s="5">
        <f t="shared" si="115"/>
        <v>1237664</v>
      </c>
      <c r="BD109" s="5">
        <f t="shared" si="107"/>
        <v>14183507</v>
      </c>
    </row>
    <row r="110" spans="1:56" ht="33">
      <c r="A110" s="6" t="s">
        <v>197</v>
      </c>
      <c r="B110" s="7" t="s">
        <v>198</v>
      </c>
      <c r="C110" s="8">
        <v>0</v>
      </c>
      <c r="D110" s="8">
        <f>276000+100000-62000+90000</f>
        <v>404000</v>
      </c>
      <c r="E110" s="8">
        <v>145408</v>
      </c>
      <c r="F110" s="8">
        <f>SUM(C110:E110)</f>
        <v>549408</v>
      </c>
      <c r="G110" s="8">
        <v>994000</v>
      </c>
      <c r="H110" s="8">
        <v>0</v>
      </c>
      <c r="I110" s="8"/>
      <c r="J110" s="5">
        <f>G110+H110+I110</f>
        <v>994000</v>
      </c>
      <c r="K110" s="5">
        <f t="shared" si="104"/>
        <v>1543408</v>
      </c>
      <c r="L110" s="8"/>
      <c r="M110" s="8">
        <v>560403</v>
      </c>
      <c r="N110" s="8">
        <v>1792000</v>
      </c>
      <c r="O110" s="8">
        <f>SUM(L110:N110)</f>
        <v>2352403</v>
      </c>
      <c r="P110" s="8"/>
      <c r="Q110" s="8"/>
      <c r="R110" s="8"/>
      <c r="S110" s="8">
        <f>SUM(P110:R110)</f>
        <v>0</v>
      </c>
      <c r="T110" s="5">
        <f t="shared" si="118"/>
        <v>2352403</v>
      </c>
      <c r="U110" s="8">
        <v>67675</v>
      </c>
      <c r="V110" s="8">
        <v>586647</v>
      </c>
      <c r="W110" s="8">
        <v>1040000</v>
      </c>
      <c r="X110" s="8">
        <f>U110+V110+W110</f>
        <v>1694322</v>
      </c>
      <c r="Y110" s="8"/>
      <c r="Z110" s="8"/>
      <c r="AA110" s="8"/>
      <c r="AB110" s="8">
        <f>SUM(Y110:AA110)</f>
        <v>0</v>
      </c>
      <c r="AC110" s="5">
        <f t="shared" si="105"/>
        <v>1694322</v>
      </c>
      <c r="AD110" s="8">
        <v>198707</v>
      </c>
      <c r="AE110" s="8">
        <v>1069242</v>
      </c>
      <c r="AF110" s="8">
        <v>0</v>
      </c>
      <c r="AG110" s="8">
        <f>SUM(AD110:AF110)</f>
        <v>1267949</v>
      </c>
      <c r="AH110" s="8">
        <v>355500</v>
      </c>
      <c r="AI110" s="8">
        <v>0</v>
      </c>
      <c r="AJ110" s="8">
        <v>0</v>
      </c>
      <c r="AK110" s="8">
        <f>SUM(AH110:AJ110)</f>
        <v>355500</v>
      </c>
      <c r="AL110" s="5">
        <f t="shared" si="97"/>
        <v>1623449</v>
      </c>
      <c r="AM110" s="8">
        <v>198707</v>
      </c>
      <c r="AN110" s="8">
        <v>1047243</v>
      </c>
      <c r="AO110" s="8">
        <v>0</v>
      </c>
      <c r="AP110" s="8">
        <f>SUM(AM110:AO110)</f>
        <v>1245950</v>
      </c>
      <c r="AQ110" s="8">
        <v>255500</v>
      </c>
      <c r="AR110" s="8">
        <v>0</v>
      </c>
      <c r="AS110" s="8">
        <v>0</v>
      </c>
      <c r="AT110" s="5">
        <f t="shared" si="136"/>
        <v>255500</v>
      </c>
      <c r="AU110" s="5">
        <f t="shared" si="106"/>
        <v>1501450</v>
      </c>
      <c r="AV110" s="8">
        <v>198707</v>
      </c>
      <c r="AW110" s="8">
        <v>1047243</v>
      </c>
      <c r="AX110" s="8">
        <v>0</v>
      </c>
      <c r="AY110" s="8">
        <f>SUM(AV110:AX110)</f>
        <v>1245950</v>
      </c>
      <c r="AZ110" s="8">
        <v>355500</v>
      </c>
      <c r="BA110" s="8">
        <v>0</v>
      </c>
      <c r="BB110" s="8">
        <v>0</v>
      </c>
      <c r="BC110" s="5">
        <f t="shared" si="115"/>
        <v>355500</v>
      </c>
      <c r="BD110" s="5">
        <f t="shared" si="107"/>
        <v>1601450</v>
      </c>
    </row>
    <row r="111" spans="1:56" ht="16.5">
      <c r="A111" s="6" t="s">
        <v>199</v>
      </c>
      <c r="B111" s="7" t="s">
        <v>200</v>
      </c>
      <c r="C111" s="8">
        <v>128000</v>
      </c>
      <c r="D111" s="8">
        <v>0</v>
      </c>
      <c r="E111" s="8">
        <v>3186000</v>
      </c>
      <c r="F111" s="8">
        <f>C111+D111+E111</f>
        <v>3314000</v>
      </c>
      <c r="G111" s="8">
        <v>100000</v>
      </c>
      <c r="H111" s="8">
        <v>67203</v>
      </c>
      <c r="I111" s="8">
        <v>9180221</v>
      </c>
      <c r="J111" s="5">
        <f>G111+H111+I111</f>
        <v>9347424</v>
      </c>
      <c r="K111" s="5">
        <f t="shared" si="104"/>
        <v>12661424</v>
      </c>
      <c r="L111" s="8">
        <v>144220</v>
      </c>
      <c r="M111" s="8">
        <f>246700</f>
        <v>246700</v>
      </c>
      <c r="N111" s="8">
        <v>932000</v>
      </c>
      <c r="O111" s="8">
        <f>SUM(L111:N111)</f>
        <v>1322920</v>
      </c>
      <c r="P111" s="8">
        <v>300000</v>
      </c>
      <c r="Q111" s="8">
        <v>0</v>
      </c>
      <c r="R111" s="8">
        <v>1488000</v>
      </c>
      <c r="S111" s="8">
        <f>SUM(P111:R111)</f>
        <v>1788000</v>
      </c>
      <c r="T111" s="5">
        <f t="shared" si="118"/>
        <v>3110920</v>
      </c>
      <c r="U111" s="8">
        <v>30877</v>
      </c>
      <c r="V111" s="8">
        <v>57000</v>
      </c>
      <c r="W111" s="8">
        <v>2323191</v>
      </c>
      <c r="X111" s="8">
        <f>SUM(U111:W111)</f>
        <v>2411068</v>
      </c>
      <c r="Y111" s="8">
        <v>0</v>
      </c>
      <c r="Z111" s="8">
        <v>0</v>
      </c>
      <c r="AA111" s="8">
        <v>0</v>
      </c>
      <c r="AB111" s="8">
        <f>SUM(Y111:AA111)</f>
        <v>0</v>
      </c>
      <c r="AC111" s="5">
        <f t="shared" si="105"/>
        <v>2411068</v>
      </c>
      <c r="AD111" s="8">
        <v>21314</v>
      </c>
      <c r="AE111" s="8">
        <v>37000</v>
      </c>
      <c r="AF111" s="8">
        <v>9075519</v>
      </c>
      <c r="AG111" s="8">
        <f>SUM(AD111:AF111)</f>
        <v>9133833</v>
      </c>
      <c r="AH111" s="8" t="s">
        <v>201</v>
      </c>
      <c r="AI111" s="8">
        <v>0</v>
      </c>
      <c r="AJ111" s="8">
        <v>0</v>
      </c>
      <c r="AK111" s="8">
        <f>SUM(AH111:AJ111)</f>
        <v>0</v>
      </c>
      <c r="AL111" s="5">
        <f t="shared" si="97"/>
        <v>9133833</v>
      </c>
      <c r="AM111" s="8">
        <v>21314</v>
      </c>
      <c r="AN111" s="8">
        <v>37000</v>
      </c>
      <c r="AO111" s="8">
        <v>9214100</v>
      </c>
      <c r="AP111" s="8">
        <f>SUM(AM111:AO111)</f>
        <v>9272414</v>
      </c>
      <c r="AQ111" s="8">
        <v>0</v>
      </c>
      <c r="AR111" s="8">
        <v>0</v>
      </c>
      <c r="AS111" s="8">
        <v>0</v>
      </c>
      <c r="AT111" s="5">
        <f t="shared" si="136"/>
        <v>0</v>
      </c>
      <c r="AU111" s="5">
        <f t="shared" si="106"/>
        <v>9272414</v>
      </c>
      <c r="AV111" s="8">
        <v>21314</v>
      </c>
      <c r="AW111" s="8">
        <v>37000</v>
      </c>
      <c r="AX111" s="8">
        <v>9097519</v>
      </c>
      <c r="AY111" s="8">
        <f>SUM(AV111:AX111)</f>
        <v>9155833</v>
      </c>
      <c r="AZ111" s="8">
        <v>0</v>
      </c>
      <c r="BA111" s="8">
        <v>0</v>
      </c>
      <c r="BB111" s="8">
        <v>0</v>
      </c>
      <c r="BC111" s="5">
        <f t="shared" si="115"/>
        <v>0</v>
      </c>
      <c r="BD111" s="5">
        <f t="shared" si="107"/>
        <v>9155833</v>
      </c>
    </row>
    <row r="112" spans="1:56" ht="16.5">
      <c r="A112" s="6" t="s">
        <v>202</v>
      </c>
      <c r="B112" s="7" t="s">
        <v>203</v>
      </c>
      <c r="C112" s="8">
        <v>87347</v>
      </c>
      <c r="D112" s="8"/>
      <c r="E112" s="8">
        <v>403011</v>
      </c>
      <c r="F112" s="8">
        <f>SUM(C112:E112)</f>
        <v>490358</v>
      </c>
      <c r="G112" s="8"/>
      <c r="H112" s="8"/>
      <c r="I112" s="8"/>
      <c r="J112" s="5">
        <f>G112+H112+I112</f>
        <v>0</v>
      </c>
      <c r="K112" s="5">
        <f t="shared" si="104"/>
        <v>490358</v>
      </c>
      <c r="L112" s="8">
        <v>73470</v>
      </c>
      <c r="M112" s="8">
        <v>46500</v>
      </c>
      <c r="N112" s="8">
        <v>950000</v>
      </c>
      <c r="O112" s="8">
        <f>SUM(L112:N112)</f>
        <v>1069970</v>
      </c>
      <c r="P112" s="8"/>
      <c r="Q112" s="8"/>
      <c r="R112" s="8"/>
      <c r="S112" s="8">
        <f>SUM(P112:R112)</f>
        <v>0</v>
      </c>
      <c r="T112" s="5">
        <f t="shared" si="118"/>
        <v>1069970</v>
      </c>
      <c r="U112" s="8">
        <v>0</v>
      </c>
      <c r="V112" s="8">
        <v>0</v>
      </c>
      <c r="W112" s="8">
        <v>0</v>
      </c>
      <c r="X112" s="8">
        <f>SUM(U112:W112)</f>
        <v>0</v>
      </c>
      <c r="Y112" s="8"/>
      <c r="Z112" s="8"/>
      <c r="AA112" s="8"/>
      <c r="AB112" s="8">
        <f>SUM(Y112:AA112)</f>
        <v>0</v>
      </c>
      <c r="AC112" s="5">
        <f t="shared" si="105"/>
        <v>0</v>
      </c>
      <c r="AD112" s="8">
        <v>39923</v>
      </c>
      <c r="AE112" s="8">
        <v>43000</v>
      </c>
      <c r="AF112" s="8">
        <v>585500</v>
      </c>
      <c r="AG112" s="8">
        <f>SUM(AD112:AF112)</f>
        <v>668423</v>
      </c>
      <c r="AH112" s="8"/>
      <c r="AI112" s="8"/>
      <c r="AJ112" s="8"/>
      <c r="AK112" s="8">
        <f>SUM(AH112:AJ112)</f>
        <v>0</v>
      </c>
      <c r="AL112" s="5">
        <f t="shared" si="97"/>
        <v>668423</v>
      </c>
      <c r="AM112" s="8">
        <v>39923</v>
      </c>
      <c r="AN112" s="8">
        <v>43000</v>
      </c>
      <c r="AO112" s="8">
        <v>585500</v>
      </c>
      <c r="AP112" s="8">
        <f>SUM(AM112:AO112)</f>
        <v>668423</v>
      </c>
      <c r="AQ112" s="8"/>
      <c r="AR112" s="8"/>
      <c r="AS112" s="8"/>
      <c r="AT112" s="5">
        <f t="shared" si="136"/>
        <v>0</v>
      </c>
      <c r="AU112" s="5">
        <f t="shared" si="106"/>
        <v>668423</v>
      </c>
      <c r="AV112" s="8">
        <v>39923</v>
      </c>
      <c r="AW112" s="8">
        <v>43000</v>
      </c>
      <c r="AX112" s="8">
        <v>585500</v>
      </c>
      <c r="AY112" s="8">
        <f>SUM(AV112:AX112)</f>
        <v>668423</v>
      </c>
      <c r="AZ112" s="8"/>
      <c r="BA112" s="8"/>
      <c r="BB112" s="8"/>
      <c r="BC112" s="5">
        <f t="shared" si="115"/>
        <v>0</v>
      </c>
      <c r="BD112" s="5">
        <f t="shared" si="107"/>
        <v>668423</v>
      </c>
    </row>
    <row r="113" spans="1:56" ht="16.5">
      <c r="A113" s="6" t="s">
        <v>204</v>
      </c>
      <c r="B113" s="7" t="s">
        <v>205</v>
      </c>
      <c r="C113" s="8">
        <v>107206</v>
      </c>
      <c r="D113" s="8">
        <v>34000</v>
      </c>
      <c r="E113" s="8">
        <v>207932</v>
      </c>
      <c r="F113" s="8">
        <f>SUM(C113:E113)</f>
        <v>349138</v>
      </c>
      <c r="G113" s="8">
        <v>0</v>
      </c>
      <c r="H113" s="8"/>
      <c r="I113" s="8"/>
      <c r="J113" s="5">
        <f>G113+H113+I113</f>
        <v>0</v>
      </c>
      <c r="K113" s="5">
        <f t="shared" si="104"/>
        <v>349138</v>
      </c>
      <c r="L113" s="8">
        <v>54950</v>
      </c>
      <c r="M113" s="8">
        <v>30000</v>
      </c>
      <c r="N113" s="8">
        <v>976000</v>
      </c>
      <c r="O113" s="8">
        <f>SUM(L113:N113)</f>
        <v>1060950</v>
      </c>
      <c r="P113" s="8">
        <v>0</v>
      </c>
      <c r="Q113" s="8">
        <v>0</v>
      </c>
      <c r="R113" s="8">
        <v>0</v>
      </c>
      <c r="S113" s="8">
        <f>SUM(P113:R113)</f>
        <v>0</v>
      </c>
      <c r="T113" s="5">
        <f t="shared" si="118"/>
        <v>1060950</v>
      </c>
      <c r="U113" s="8">
        <v>748</v>
      </c>
      <c r="V113" s="8">
        <v>62000</v>
      </c>
      <c r="W113" s="8">
        <v>970000</v>
      </c>
      <c r="X113" s="8">
        <f>SUM(U113:W113)</f>
        <v>1032748</v>
      </c>
      <c r="Y113" s="8">
        <v>300000</v>
      </c>
      <c r="Z113" s="8">
        <v>0</v>
      </c>
      <c r="AA113" s="8">
        <v>0</v>
      </c>
      <c r="AB113" s="8">
        <f>SUM(Y113:AA113)</f>
        <v>300000</v>
      </c>
      <c r="AC113" s="5">
        <f t="shared" si="105"/>
        <v>1332748</v>
      </c>
      <c r="AD113" s="8">
        <v>43937</v>
      </c>
      <c r="AE113" s="8">
        <v>37700</v>
      </c>
      <c r="AF113" s="8">
        <v>1794000</v>
      </c>
      <c r="AG113" s="8">
        <f>SUM(AD113:AF113)</f>
        <v>1875637</v>
      </c>
      <c r="AH113" s="8">
        <v>300000</v>
      </c>
      <c r="AI113" s="8">
        <v>582164</v>
      </c>
      <c r="AJ113" s="8">
        <v>0</v>
      </c>
      <c r="AK113" s="8">
        <f>SUM(AH113:AJ113)</f>
        <v>882164</v>
      </c>
      <c r="AL113" s="5">
        <f t="shared" si="97"/>
        <v>2757801</v>
      </c>
      <c r="AM113" s="8">
        <v>43937</v>
      </c>
      <c r="AN113" s="8">
        <v>37700</v>
      </c>
      <c r="AO113" s="8">
        <v>1794000</v>
      </c>
      <c r="AP113" s="8">
        <f>SUM(AM113:AO113)</f>
        <v>1875637</v>
      </c>
      <c r="AQ113" s="8">
        <v>245000</v>
      </c>
      <c r="AR113" s="8">
        <v>165000</v>
      </c>
      <c r="AS113" s="8">
        <v>0</v>
      </c>
      <c r="AT113" s="5">
        <f t="shared" si="136"/>
        <v>410000</v>
      </c>
      <c r="AU113" s="5">
        <f t="shared" si="106"/>
        <v>2285637</v>
      </c>
      <c r="AV113" s="8">
        <v>43937</v>
      </c>
      <c r="AW113" s="8">
        <v>37700</v>
      </c>
      <c r="AX113" s="8">
        <v>1794000</v>
      </c>
      <c r="AY113" s="8">
        <f>SUM(AV113:AX113)</f>
        <v>1875637</v>
      </c>
      <c r="AZ113" s="8">
        <v>300000</v>
      </c>
      <c r="BA113" s="8">
        <v>582164</v>
      </c>
      <c r="BB113" s="8">
        <v>0</v>
      </c>
      <c r="BC113" s="5">
        <f t="shared" si="115"/>
        <v>882164</v>
      </c>
      <c r="BD113" s="5">
        <f t="shared" si="107"/>
        <v>2757801</v>
      </c>
    </row>
    <row r="114" spans="1:56" ht="16.5">
      <c r="A114" s="53" t="s">
        <v>206</v>
      </c>
      <c r="B114" s="54"/>
      <c r="C114" s="5">
        <f>SUM(C115:C117)</f>
        <v>418857</v>
      </c>
      <c r="D114" s="5">
        <f>SUM(D115:D117)</f>
        <v>448233</v>
      </c>
      <c r="E114" s="5">
        <f>SUM(E115:E117)</f>
        <v>223700</v>
      </c>
      <c r="F114" s="5">
        <f>SUM(F115:F117)</f>
        <v>1090790</v>
      </c>
      <c r="G114" s="5">
        <f>SUM(G115:G117)</f>
        <v>12796413</v>
      </c>
      <c r="H114" s="5">
        <f>H115+H116+H117</f>
        <v>5250000</v>
      </c>
      <c r="I114" s="5">
        <f>SUM(I115:I117)</f>
        <v>5054694</v>
      </c>
      <c r="J114" s="5">
        <f>SUM(J115:J117)</f>
        <v>23101107</v>
      </c>
      <c r="K114" s="5">
        <f t="shared" si="104"/>
        <v>24191897</v>
      </c>
      <c r="L114" s="5">
        <f>SUM(L115:L117)</f>
        <v>720373</v>
      </c>
      <c r="M114" s="5">
        <f t="shared" ref="M114:S114" si="148">SUM(M115:M117)</f>
        <v>548233</v>
      </c>
      <c r="N114" s="5">
        <f t="shared" si="148"/>
        <v>223700</v>
      </c>
      <c r="O114" s="5">
        <f t="shared" si="148"/>
        <v>1492306</v>
      </c>
      <c r="P114" s="5">
        <f t="shared" si="148"/>
        <v>13143297</v>
      </c>
      <c r="Q114" s="5">
        <f t="shared" si="148"/>
        <v>10000000</v>
      </c>
      <c r="R114" s="5">
        <f t="shared" si="148"/>
        <v>34020557</v>
      </c>
      <c r="S114" s="5">
        <f t="shared" si="148"/>
        <v>57163854</v>
      </c>
      <c r="T114" s="5">
        <f t="shared" si="118"/>
        <v>58656160</v>
      </c>
      <c r="U114" s="5">
        <f>SUM(U115:U117)</f>
        <v>134400</v>
      </c>
      <c r="V114" s="5">
        <f t="shared" ref="V114:AB114" si="149">SUM(V115:V117)</f>
        <v>562225</v>
      </c>
      <c r="W114" s="5">
        <f t="shared" si="149"/>
        <v>318719</v>
      </c>
      <c r="X114" s="5">
        <f t="shared" si="149"/>
        <v>1015344</v>
      </c>
      <c r="Y114" s="5">
        <f t="shared" si="149"/>
        <v>15020000</v>
      </c>
      <c r="Z114" s="5">
        <f t="shared" si="149"/>
        <v>7500000</v>
      </c>
      <c r="AA114" s="5">
        <f t="shared" si="149"/>
        <v>25000000</v>
      </c>
      <c r="AB114" s="5">
        <f t="shared" si="149"/>
        <v>47520000</v>
      </c>
      <c r="AC114" s="5">
        <f t="shared" si="105"/>
        <v>48535344</v>
      </c>
      <c r="AD114" s="5">
        <f>SUM(AD115:AD117)</f>
        <v>926402</v>
      </c>
      <c r="AE114" s="5">
        <f t="shared" ref="AE114:AK114" si="150">SUM(AE115:AE117)</f>
        <v>1515747</v>
      </c>
      <c r="AF114" s="5">
        <f t="shared" si="150"/>
        <v>69993</v>
      </c>
      <c r="AG114" s="5">
        <f t="shared" si="150"/>
        <v>2512142</v>
      </c>
      <c r="AH114" s="5">
        <f t="shared" si="150"/>
        <v>22030269</v>
      </c>
      <c r="AI114" s="5">
        <f t="shared" si="150"/>
        <v>6948708</v>
      </c>
      <c r="AJ114" s="5">
        <f t="shared" si="150"/>
        <v>23000000</v>
      </c>
      <c r="AK114" s="5">
        <f t="shared" si="150"/>
        <v>51978977</v>
      </c>
      <c r="AL114" s="5">
        <f t="shared" si="97"/>
        <v>54491119</v>
      </c>
      <c r="AM114" s="5">
        <f>SUM(AM115:AM117)</f>
        <v>926402</v>
      </c>
      <c r="AN114" s="5">
        <f t="shared" ref="AN114:AS114" si="151">SUM(AN115:AN117)</f>
        <v>1347347</v>
      </c>
      <c r="AO114" s="5">
        <f t="shared" si="151"/>
        <v>238393</v>
      </c>
      <c r="AP114" s="5">
        <f t="shared" si="151"/>
        <v>2512142</v>
      </c>
      <c r="AQ114" s="5">
        <f t="shared" si="151"/>
        <v>16000000</v>
      </c>
      <c r="AR114" s="5">
        <f t="shared" si="151"/>
        <v>9000000</v>
      </c>
      <c r="AS114" s="5">
        <f t="shared" si="151"/>
        <v>20000000</v>
      </c>
      <c r="AT114" s="5">
        <f t="shared" si="136"/>
        <v>45000000</v>
      </c>
      <c r="AU114" s="5">
        <f t="shared" si="106"/>
        <v>47512142</v>
      </c>
      <c r="AV114" s="5">
        <f>SUM(AV115:AV117)</f>
        <v>926402</v>
      </c>
      <c r="AW114" s="5">
        <f t="shared" ref="AW114:BB114" si="152">SUM(AW115:AW117)</f>
        <v>1347347</v>
      </c>
      <c r="AX114" s="5">
        <f t="shared" si="152"/>
        <v>238393</v>
      </c>
      <c r="AY114" s="5">
        <f t="shared" si="152"/>
        <v>2512142</v>
      </c>
      <c r="AZ114" s="5">
        <f t="shared" si="152"/>
        <v>15000000</v>
      </c>
      <c r="BA114" s="5">
        <f t="shared" si="152"/>
        <v>9000000</v>
      </c>
      <c r="BB114" s="5">
        <f t="shared" si="152"/>
        <v>18000000</v>
      </c>
      <c r="BC114" s="5">
        <f t="shared" si="115"/>
        <v>42000000</v>
      </c>
      <c r="BD114" s="5">
        <f t="shared" si="107"/>
        <v>44512142</v>
      </c>
    </row>
    <row r="115" spans="1:56" ht="33">
      <c r="A115" s="6" t="s">
        <v>207</v>
      </c>
      <c r="B115" s="7" t="s">
        <v>208</v>
      </c>
      <c r="C115" s="8">
        <v>0</v>
      </c>
      <c r="D115" s="8">
        <v>424233</v>
      </c>
      <c r="E115" s="8">
        <v>193700</v>
      </c>
      <c r="F115" s="8">
        <f>SUM(C115:E115)</f>
        <v>617933</v>
      </c>
      <c r="G115" s="8">
        <v>0</v>
      </c>
      <c r="H115" s="8"/>
      <c r="I115" s="8"/>
      <c r="J115" s="8">
        <f>SUM(G115:I115)</f>
        <v>0</v>
      </c>
      <c r="K115" s="5">
        <f t="shared" si="104"/>
        <v>617933</v>
      </c>
      <c r="L115" s="8">
        <v>347320</v>
      </c>
      <c r="M115" s="8">
        <v>468433</v>
      </c>
      <c r="N115" s="8">
        <v>193700</v>
      </c>
      <c r="O115" s="8">
        <f>SUM(L115:N115)</f>
        <v>1009453</v>
      </c>
      <c r="P115" s="8">
        <v>0</v>
      </c>
      <c r="Q115" s="8">
        <v>0</v>
      </c>
      <c r="R115" s="8">
        <v>0</v>
      </c>
      <c r="S115" s="8">
        <f>SUM(P115:R115)</f>
        <v>0</v>
      </c>
      <c r="T115" s="5">
        <f t="shared" si="118"/>
        <v>1009453</v>
      </c>
      <c r="U115" s="8">
        <v>35225</v>
      </c>
      <c r="V115" s="8">
        <v>522225</v>
      </c>
      <c r="W115" s="8">
        <v>308719</v>
      </c>
      <c r="X115" s="8">
        <f>SUM(U115:W115)</f>
        <v>866169</v>
      </c>
      <c r="Y115" s="8">
        <v>0</v>
      </c>
      <c r="Z115" s="8">
        <v>0</v>
      </c>
      <c r="AA115" s="8">
        <v>0</v>
      </c>
      <c r="AB115" s="8">
        <f>SUM(Y115:AA115)</f>
        <v>0</v>
      </c>
      <c r="AC115" s="5">
        <f t="shared" si="105"/>
        <v>866169</v>
      </c>
      <c r="AD115" s="8">
        <v>646948</v>
      </c>
      <c r="AE115" s="8">
        <v>1414747</v>
      </c>
      <c r="AF115" s="8">
        <v>59993</v>
      </c>
      <c r="AG115" s="8">
        <f>SUM(AD115:AF115)</f>
        <v>2121688</v>
      </c>
      <c r="AH115" s="8">
        <v>0</v>
      </c>
      <c r="AI115" s="8">
        <v>0</v>
      </c>
      <c r="AJ115" s="8">
        <v>0</v>
      </c>
      <c r="AK115" s="8">
        <f>SUM(AH115:AJ115)</f>
        <v>0</v>
      </c>
      <c r="AL115" s="5">
        <f t="shared" si="97"/>
        <v>2121688</v>
      </c>
      <c r="AM115" s="8">
        <v>646948</v>
      </c>
      <c r="AN115" s="8">
        <v>1246347</v>
      </c>
      <c r="AO115" s="8">
        <v>228393</v>
      </c>
      <c r="AP115" s="8">
        <f>SUM(AM115:AO115)</f>
        <v>2121688</v>
      </c>
      <c r="AQ115" s="8">
        <v>0</v>
      </c>
      <c r="AR115" s="8">
        <v>0</v>
      </c>
      <c r="AS115" s="8">
        <v>0</v>
      </c>
      <c r="AT115" s="8">
        <f>SUM(AQ115:AS115)</f>
        <v>0</v>
      </c>
      <c r="AU115" s="5">
        <f t="shared" si="106"/>
        <v>2121688</v>
      </c>
      <c r="AV115" s="8">
        <v>646948</v>
      </c>
      <c r="AW115" s="8">
        <v>1246347</v>
      </c>
      <c r="AX115" s="8">
        <v>228393</v>
      </c>
      <c r="AY115" s="8">
        <f>SUM(AV115:AX115)</f>
        <v>2121688</v>
      </c>
      <c r="AZ115" s="8">
        <v>0</v>
      </c>
      <c r="BA115" s="8">
        <v>0</v>
      </c>
      <c r="BB115" s="8">
        <v>0</v>
      </c>
      <c r="BC115" s="8">
        <f>SUM(AZ115:BB115)</f>
        <v>0</v>
      </c>
      <c r="BD115" s="5">
        <f t="shared" si="107"/>
        <v>2121688</v>
      </c>
    </row>
    <row r="116" spans="1:56" ht="16.5">
      <c r="A116" s="6" t="s">
        <v>209</v>
      </c>
      <c r="B116" s="7" t="s">
        <v>210</v>
      </c>
      <c r="C116" s="8">
        <v>200102</v>
      </c>
      <c r="D116" s="8">
        <v>16000</v>
      </c>
      <c r="E116" s="8">
        <v>15000</v>
      </c>
      <c r="F116" s="8">
        <f>SUM(C116:E116)</f>
        <v>231102</v>
      </c>
      <c r="G116" s="8">
        <v>12205413</v>
      </c>
      <c r="H116" s="8">
        <v>5250000</v>
      </c>
      <c r="I116" s="8">
        <v>5054694</v>
      </c>
      <c r="J116" s="8">
        <f>G116+H116+I116</f>
        <v>22510107</v>
      </c>
      <c r="K116" s="5">
        <f t="shared" si="104"/>
        <v>22741209</v>
      </c>
      <c r="L116" s="8">
        <v>175255</v>
      </c>
      <c r="M116" s="8">
        <v>16000</v>
      </c>
      <c r="N116" s="8">
        <v>15000</v>
      </c>
      <c r="O116" s="8">
        <f>SUM(L116:N116)</f>
        <v>206255</v>
      </c>
      <c r="P116" s="8">
        <v>12743297</v>
      </c>
      <c r="Q116" s="8">
        <v>10000000</v>
      </c>
      <c r="R116" s="8">
        <v>34020557</v>
      </c>
      <c r="S116" s="8">
        <f>P116+Q116+R116</f>
        <v>56763854</v>
      </c>
      <c r="T116" s="5">
        <f t="shared" si="118"/>
        <v>56970109</v>
      </c>
      <c r="U116" s="8">
        <v>90002</v>
      </c>
      <c r="V116" s="8">
        <v>23000</v>
      </c>
      <c r="W116" s="8">
        <v>0</v>
      </c>
      <c r="X116" s="8">
        <f>SUM(U116:W116)</f>
        <v>113002</v>
      </c>
      <c r="Y116" s="8">
        <v>11778760</v>
      </c>
      <c r="Z116" s="8">
        <v>7500000</v>
      </c>
      <c r="AA116" s="8">
        <v>25000000</v>
      </c>
      <c r="AB116" s="8">
        <f>Y116+Z116+AA116</f>
        <v>44278760</v>
      </c>
      <c r="AC116" s="5">
        <f t="shared" si="105"/>
        <v>44391762</v>
      </c>
      <c r="AD116" s="8">
        <v>92990</v>
      </c>
      <c r="AE116" s="8">
        <v>38000</v>
      </c>
      <c r="AF116" s="8">
        <v>0</v>
      </c>
      <c r="AG116" s="8">
        <f>SUM(AD116:AF116)</f>
        <v>130990</v>
      </c>
      <c r="AH116" s="8">
        <v>18995269</v>
      </c>
      <c r="AI116" s="8">
        <v>6948708</v>
      </c>
      <c r="AJ116" s="8">
        <v>23000000</v>
      </c>
      <c r="AK116" s="8">
        <f>AH116+AI116+AJ116</f>
        <v>48943977</v>
      </c>
      <c r="AL116" s="5">
        <f t="shared" si="97"/>
        <v>49074967</v>
      </c>
      <c r="AM116" s="8">
        <v>92990</v>
      </c>
      <c r="AN116" s="8">
        <v>38000</v>
      </c>
      <c r="AO116" s="8">
        <v>0</v>
      </c>
      <c r="AP116" s="8">
        <f>SUM(AM116:AO116)</f>
        <v>130990</v>
      </c>
      <c r="AQ116" s="8">
        <v>12965000</v>
      </c>
      <c r="AR116" s="8">
        <v>9000000</v>
      </c>
      <c r="AS116" s="8">
        <v>20000000</v>
      </c>
      <c r="AT116" s="8">
        <f>AQ116+AR116+AS116</f>
        <v>41965000</v>
      </c>
      <c r="AU116" s="5">
        <f t="shared" si="106"/>
        <v>42095990</v>
      </c>
      <c r="AV116" s="8">
        <v>92990</v>
      </c>
      <c r="AW116" s="8">
        <v>38000</v>
      </c>
      <c r="AX116" s="8">
        <v>0</v>
      </c>
      <c r="AY116" s="8">
        <f>SUM(AV116:AX116)</f>
        <v>130990</v>
      </c>
      <c r="AZ116" s="8">
        <v>11965000</v>
      </c>
      <c r="BA116" s="8">
        <v>9000000</v>
      </c>
      <c r="BB116" s="8">
        <v>18000000</v>
      </c>
      <c r="BC116" s="8">
        <f>AZ116+BA116+BB116</f>
        <v>38965000</v>
      </c>
      <c r="BD116" s="5">
        <f t="shared" si="107"/>
        <v>39095990</v>
      </c>
    </row>
    <row r="117" spans="1:56" ht="16.5">
      <c r="A117" s="9" t="s">
        <v>211</v>
      </c>
      <c r="B117" s="7" t="s">
        <v>212</v>
      </c>
      <c r="C117" s="8">
        <v>218755</v>
      </c>
      <c r="D117" s="8">
        <v>8000</v>
      </c>
      <c r="E117" s="8">
        <v>15000</v>
      </c>
      <c r="F117" s="8">
        <f>SUM(C117:E117)</f>
        <v>241755</v>
      </c>
      <c r="G117" s="8">
        <v>591000</v>
      </c>
      <c r="H117" s="8"/>
      <c r="I117" s="8"/>
      <c r="J117" s="8">
        <f>G117+H117+I117</f>
        <v>591000</v>
      </c>
      <c r="K117" s="5">
        <f t="shared" si="104"/>
        <v>832755</v>
      </c>
      <c r="L117" s="8">
        <v>197798</v>
      </c>
      <c r="M117" s="8">
        <v>63800</v>
      </c>
      <c r="N117" s="8">
        <v>15000</v>
      </c>
      <c r="O117" s="8">
        <f>SUM(L117:N117)</f>
        <v>276598</v>
      </c>
      <c r="P117" s="8">
        <v>400000</v>
      </c>
      <c r="Q117" s="8"/>
      <c r="R117" s="8"/>
      <c r="S117" s="8">
        <f>SUM(P117:R117)</f>
        <v>400000</v>
      </c>
      <c r="T117" s="5">
        <f t="shared" si="118"/>
        <v>676598</v>
      </c>
      <c r="U117" s="8">
        <v>9173</v>
      </c>
      <c r="V117" s="8">
        <v>17000</v>
      </c>
      <c r="W117" s="8">
        <v>10000</v>
      </c>
      <c r="X117" s="8">
        <f>SUM(U117:W117)</f>
        <v>36173</v>
      </c>
      <c r="Y117" s="8">
        <v>3241240</v>
      </c>
      <c r="Z117" s="8"/>
      <c r="AA117" s="8"/>
      <c r="AB117" s="8">
        <f>SUM(Y117:AA117)</f>
        <v>3241240</v>
      </c>
      <c r="AC117" s="5">
        <f t="shared" si="105"/>
        <v>3277413</v>
      </c>
      <c r="AD117" s="8">
        <v>186464</v>
      </c>
      <c r="AE117" s="8">
        <v>63000</v>
      </c>
      <c r="AF117" s="8">
        <v>10000</v>
      </c>
      <c r="AG117" s="8">
        <f>SUM(AD117:AF117)</f>
        <v>259464</v>
      </c>
      <c r="AH117" s="8">
        <v>3035000</v>
      </c>
      <c r="AI117" s="8">
        <v>0</v>
      </c>
      <c r="AJ117" s="8"/>
      <c r="AK117" s="8">
        <f>SUM(AH117:AJ117)</f>
        <v>3035000</v>
      </c>
      <c r="AL117" s="5">
        <f t="shared" si="97"/>
        <v>3294464</v>
      </c>
      <c r="AM117" s="8">
        <v>186464</v>
      </c>
      <c r="AN117" s="8">
        <v>63000</v>
      </c>
      <c r="AO117" s="8">
        <v>10000</v>
      </c>
      <c r="AP117" s="8">
        <f>SUM(AM117:AO117)</f>
        <v>259464</v>
      </c>
      <c r="AQ117" s="8">
        <v>3035000</v>
      </c>
      <c r="AR117" s="8">
        <v>0</v>
      </c>
      <c r="AS117" s="8"/>
      <c r="AT117" s="8">
        <f>SUM(AQ117:AS117)</f>
        <v>3035000</v>
      </c>
      <c r="AU117" s="5">
        <f t="shared" si="106"/>
        <v>3294464</v>
      </c>
      <c r="AV117" s="8">
        <v>186464</v>
      </c>
      <c r="AW117" s="8">
        <v>63000</v>
      </c>
      <c r="AX117" s="8">
        <v>10000</v>
      </c>
      <c r="AY117" s="8">
        <f>SUM(AV117:AX117)</f>
        <v>259464</v>
      </c>
      <c r="AZ117" s="8">
        <v>3035000</v>
      </c>
      <c r="BA117" s="8">
        <v>0</v>
      </c>
      <c r="BB117" s="8"/>
      <c r="BC117" s="8">
        <f>SUM(AZ117:BB117)</f>
        <v>3035000</v>
      </c>
      <c r="BD117" s="5">
        <f t="shared" si="107"/>
        <v>3294464</v>
      </c>
    </row>
    <row r="118" spans="1:56" ht="16.5">
      <c r="A118" s="53" t="s">
        <v>213</v>
      </c>
      <c r="B118" s="54"/>
      <c r="C118" s="5"/>
      <c r="D118" s="5"/>
      <c r="E118" s="5"/>
      <c r="F118" s="5"/>
      <c r="G118" s="53"/>
      <c r="H118" s="54"/>
      <c r="I118" s="5"/>
      <c r="J118" s="5"/>
      <c r="K118" s="5"/>
      <c r="L118" s="5"/>
      <c r="M118" s="5"/>
      <c r="N118" s="5"/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/>
      <c r="U118" s="5">
        <f>U119+U120+U121</f>
        <v>590700</v>
      </c>
      <c r="V118" s="5">
        <f>V119+V120+V121</f>
        <v>911710</v>
      </c>
      <c r="W118" s="5">
        <f>W119+W120+W121</f>
        <v>3522540</v>
      </c>
      <c r="X118" s="5">
        <f>U118+V118+W118</f>
        <v>5024950</v>
      </c>
      <c r="Y118" s="5">
        <f>Y119+Y120+Y121</f>
        <v>9505000</v>
      </c>
      <c r="Z118" s="5">
        <f>Z119+Z120+Z121</f>
        <v>0</v>
      </c>
      <c r="AA118" s="5">
        <f>AA119+AA120+AA121</f>
        <v>15791494</v>
      </c>
      <c r="AB118" s="5">
        <f>Y118+Z118+AA118</f>
        <v>25296494</v>
      </c>
      <c r="AC118" s="5">
        <f t="shared" si="105"/>
        <v>30321444</v>
      </c>
      <c r="AD118" s="5">
        <f>AD119+AD120+AD121</f>
        <v>687243</v>
      </c>
      <c r="AE118" s="5">
        <f>AE119+AE120+AE121</f>
        <v>2793571</v>
      </c>
      <c r="AF118" s="5">
        <f>AF119+AF120+AF121</f>
        <v>2586264</v>
      </c>
      <c r="AG118" s="5">
        <f>AD118+AE118+AF118</f>
        <v>6067078</v>
      </c>
      <c r="AH118" s="5">
        <f>AH119+AH120+AH121</f>
        <v>25449475</v>
      </c>
      <c r="AI118" s="5">
        <f>AI119+AI120+AI121</f>
        <v>12214429</v>
      </c>
      <c r="AJ118" s="5">
        <f>AJ119+AJ120+AJ121</f>
        <v>0</v>
      </c>
      <c r="AK118" s="5">
        <f>AH118+AI118+AJ118</f>
        <v>37663904</v>
      </c>
      <c r="AL118" s="5">
        <f t="shared" si="97"/>
        <v>43730982</v>
      </c>
      <c r="AM118" s="5">
        <f>AM119+AM120+AM121</f>
        <v>687243</v>
      </c>
      <c r="AN118" s="5">
        <f>AN119+AN120+AN121</f>
        <v>2773571</v>
      </c>
      <c r="AO118" s="5">
        <f>AO119+AO120+AO121</f>
        <v>2185000</v>
      </c>
      <c r="AP118" s="5">
        <f>AM118+AN118+AO118</f>
        <v>5645814</v>
      </c>
      <c r="AQ118" s="5">
        <f>AQ119+AQ120+AQ121</f>
        <v>14000000</v>
      </c>
      <c r="AR118" s="5">
        <f>AR119+AR120+AR121</f>
        <v>6500000</v>
      </c>
      <c r="AS118" s="5">
        <f>AS119+AS120+AS121</f>
        <v>4000000</v>
      </c>
      <c r="AT118" s="5">
        <f>AQ118+AR118+AS118</f>
        <v>24500000</v>
      </c>
      <c r="AU118" s="5">
        <f>AP118+AT118</f>
        <v>30145814</v>
      </c>
      <c r="AV118" s="5">
        <f>AV119+AV120+AV121</f>
        <v>687243</v>
      </c>
      <c r="AW118" s="5">
        <f>AW119+AW120+AW121</f>
        <v>2773571</v>
      </c>
      <c r="AX118" s="5">
        <f>AX119+AX120+AX121</f>
        <v>2185000</v>
      </c>
      <c r="AY118" s="5">
        <f>AV118+AW118+AX118</f>
        <v>5645814</v>
      </c>
      <c r="AZ118" s="5">
        <f>AZ119+AZ120+AZ121</f>
        <v>12000000</v>
      </c>
      <c r="BA118" s="5">
        <f>BA119+BA120+BA121</f>
        <v>7000000</v>
      </c>
      <c r="BB118" s="5">
        <f>BB119+BB120+BB121</f>
        <v>3500000</v>
      </c>
      <c r="BC118" s="5">
        <f>AZ118+BA118+BB118</f>
        <v>22500000</v>
      </c>
      <c r="BD118" s="5">
        <f>AY118+BC118</f>
        <v>28145814</v>
      </c>
    </row>
    <row r="119" spans="1:56" ht="33">
      <c r="A119" s="9" t="s">
        <v>185</v>
      </c>
      <c r="B119" s="7" t="s">
        <v>214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7">
        <v>0</v>
      </c>
      <c r="K119" s="8">
        <v>0</v>
      </c>
      <c r="L119" s="8"/>
      <c r="M119" s="8"/>
      <c r="N119" s="8"/>
      <c r="O119" s="8"/>
      <c r="P119" s="7"/>
      <c r="Q119" s="8"/>
      <c r="R119" s="8"/>
      <c r="S119" s="8"/>
      <c r="T119" s="7"/>
      <c r="U119" s="7">
        <v>21473</v>
      </c>
      <c r="V119" s="8">
        <v>106776</v>
      </c>
      <c r="W119" s="8">
        <f>1000000+500000</f>
        <v>1500000</v>
      </c>
      <c r="X119" s="5">
        <f>U119+V119+W119</f>
        <v>1628249</v>
      </c>
      <c r="Y119" s="8"/>
      <c r="Z119" s="7"/>
      <c r="AA119" s="8"/>
      <c r="AB119" s="5">
        <f>Y119+Z119+AA119</f>
        <v>0</v>
      </c>
      <c r="AC119" s="5">
        <f t="shared" si="105"/>
        <v>1628249</v>
      </c>
      <c r="AD119" s="40">
        <v>279754</v>
      </c>
      <c r="AE119" s="8">
        <v>2062621</v>
      </c>
      <c r="AF119" s="8">
        <v>484264</v>
      </c>
      <c r="AG119" s="5">
        <f>AD119+AE119+AF119</f>
        <v>2826639</v>
      </c>
      <c r="AH119" s="8">
        <v>550000</v>
      </c>
      <c r="AI119" s="8">
        <v>0</v>
      </c>
      <c r="AJ119" s="8"/>
      <c r="AK119" s="5">
        <f>AH119+AI119+AJ119</f>
        <v>550000</v>
      </c>
      <c r="AL119" s="5">
        <f t="shared" si="97"/>
        <v>3376639</v>
      </c>
      <c r="AM119" s="40">
        <v>279754</v>
      </c>
      <c r="AN119" s="8">
        <v>2042621</v>
      </c>
      <c r="AO119" s="8">
        <v>83000</v>
      </c>
      <c r="AP119" s="5">
        <f>AM119+AN119+AO119</f>
        <v>2405375</v>
      </c>
      <c r="AQ119" s="8">
        <v>350000</v>
      </c>
      <c r="AR119" s="8">
        <v>0</v>
      </c>
      <c r="AS119" s="8"/>
      <c r="AT119" s="5">
        <f>AQ119+AR119+AS119</f>
        <v>350000</v>
      </c>
      <c r="AU119" s="5">
        <f>AP119+AS119</f>
        <v>2405375</v>
      </c>
      <c r="AV119" s="40">
        <v>279754</v>
      </c>
      <c r="AW119" s="8">
        <v>2042621</v>
      </c>
      <c r="AX119" s="8">
        <v>83000</v>
      </c>
      <c r="AY119" s="5">
        <f>AV119+AW119+AX119</f>
        <v>2405375</v>
      </c>
      <c r="AZ119" s="8">
        <v>350000</v>
      </c>
      <c r="BA119" s="8">
        <v>0</v>
      </c>
      <c r="BB119" s="8"/>
      <c r="BC119" s="5">
        <f>AZ119+BA119+BB119</f>
        <v>350000</v>
      </c>
      <c r="BD119" s="5">
        <f>AY119+BC119</f>
        <v>2755375</v>
      </c>
    </row>
    <row r="120" spans="1:56" ht="16.5">
      <c r="A120" s="6" t="s">
        <v>215</v>
      </c>
      <c r="B120" s="7" t="s">
        <v>177</v>
      </c>
      <c r="C120" s="8"/>
      <c r="D120" s="8"/>
      <c r="E120" s="8"/>
      <c r="F120" s="8">
        <v>0</v>
      </c>
      <c r="G120" s="8">
        <v>0</v>
      </c>
      <c r="H120" s="8">
        <v>0</v>
      </c>
      <c r="I120" s="8">
        <v>0</v>
      </c>
      <c r="J120" s="7">
        <v>0</v>
      </c>
      <c r="K120" s="8">
        <v>0</v>
      </c>
      <c r="L120" s="8"/>
      <c r="M120" s="8"/>
      <c r="N120" s="8"/>
      <c r="O120" s="8"/>
      <c r="P120" s="7"/>
      <c r="Q120" s="8"/>
      <c r="R120" s="8"/>
      <c r="S120" s="8"/>
      <c r="T120" s="7"/>
      <c r="U120" s="7">
        <f>82931+20577</f>
        <v>103508</v>
      </c>
      <c r="V120" s="8">
        <v>617084</v>
      </c>
      <c r="W120" s="8">
        <v>1522540</v>
      </c>
      <c r="X120" s="5">
        <f>U120+V120+W120</f>
        <v>2243132</v>
      </c>
      <c r="Y120" s="8">
        <v>6342000</v>
      </c>
      <c r="Z120" s="7">
        <v>0</v>
      </c>
      <c r="AA120" s="8">
        <v>15791494</v>
      </c>
      <c r="AB120" s="5">
        <f>Y120+Z120+AA120</f>
        <v>22133494</v>
      </c>
      <c r="AC120" s="5">
        <f t="shared" si="105"/>
        <v>24376626</v>
      </c>
      <c r="AD120" s="40">
        <v>65625</v>
      </c>
      <c r="AE120" s="8">
        <v>98000</v>
      </c>
      <c r="AF120" s="8">
        <v>200000</v>
      </c>
      <c r="AG120" s="5">
        <f>AD120+AE120+AF120</f>
        <v>363625</v>
      </c>
      <c r="AH120" s="8">
        <v>19747346</v>
      </c>
      <c r="AI120" s="8">
        <v>12214429</v>
      </c>
      <c r="AJ120" s="8">
        <v>0</v>
      </c>
      <c r="AK120" s="5">
        <f>AH120+AI120+AJ120</f>
        <v>31961775</v>
      </c>
      <c r="AL120" s="5">
        <f t="shared" si="97"/>
        <v>32325400</v>
      </c>
      <c r="AM120" s="40">
        <v>65625</v>
      </c>
      <c r="AN120" s="8">
        <v>98000</v>
      </c>
      <c r="AO120" s="8">
        <v>200000</v>
      </c>
      <c r="AP120" s="5">
        <f>AM120+AN120+AO120</f>
        <v>363625</v>
      </c>
      <c r="AQ120" s="8">
        <v>8650000</v>
      </c>
      <c r="AR120" s="8">
        <v>6500000</v>
      </c>
      <c r="AS120" s="8">
        <v>4000000</v>
      </c>
      <c r="AT120" s="5">
        <f>AQ120+AR120+AS120</f>
        <v>19150000</v>
      </c>
      <c r="AU120" s="5">
        <f>AP120+AS120</f>
        <v>4363625</v>
      </c>
      <c r="AV120" s="40">
        <v>65625</v>
      </c>
      <c r="AW120" s="8">
        <v>98000</v>
      </c>
      <c r="AX120" s="8">
        <v>200000</v>
      </c>
      <c r="AY120" s="5">
        <f>AV120+AW120+AX120</f>
        <v>363625</v>
      </c>
      <c r="AZ120" s="8">
        <v>8650000</v>
      </c>
      <c r="BA120" s="8">
        <v>7000000</v>
      </c>
      <c r="BB120" s="8">
        <v>3500000</v>
      </c>
      <c r="BC120" s="5">
        <f>AZ120+BA120+BB120</f>
        <v>19150000</v>
      </c>
      <c r="BD120" s="5">
        <f>AY120+BC120</f>
        <v>19513625</v>
      </c>
    </row>
    <row r="121" spans="1:56" ht="16.5">
      <c r="A121" s="6" t="s">
        <v>181</v>
      </c>
      <c r="B121" s="7" t="s">
        <v>216</v>
      </c>
      <c r="C121" s="8"/>
      <c r="D121" s="8"/>
      <c r="E121" s="8"/>
      <c r="F121" s="8">
        <v>0</v>
      </c>
      <c r="G121" s="8">
        <v>0</v>
      </c>
      <c r="H121" s="8">
        <v>0</v>
      </c>
      <c r="I121" s="8">
        <v>0</v>
      </c>
      <c r="J121" s="7">
        <v>0</v>
      </c>
      <c r="K121" s="8">
        <v>0</v>
      </c>
      <c r="L121" s="8"/>
      <c r="M121" s="8"/>
      <c r="N121" s="8"/>
      <c r="O121" s="8"/>
      <c r="P121" s="7"/>
      <c r="Q121" s="8"/>
      <c r="R121" s="8"/>
      <c r="S121" s="8"/>
      <c r="T121" s="7"/>
      <c r="U121" s="7">
        <v>465719</v>
      </c>
      <c r="V121" s="8">
        <f>187850</f>
        <v>187850</v>
      </c>
      <c r="W121" s="8">
        <v>500000</v>
      </c>
      <c r="X121" s="5">
        <f>U121+V121+W121</f>
        <v>1153569</v>
      </c>
      <c r="Y121" s="8">
        <v>3163000</v>
      </c>
      <c r="Z121" s="7"/>
      <c r="AA121" s="8"/>
      <c r="AB121" s="5">
        <f>Y121+Z121+AA121</f>
        <v>3163000</v>
      </c>
      <c r="AC121" s="8"/>
      <c r="AD121" s="40">
        <v>341864</v>
      </c>
      <c r="AE121" s="8">
        <v>632950</v>
      </c>
      <c r="AF121" s="8">
        <v>1902000</v>
      </c>
      <c r="AG121" s="5">
        <f>AD121+AE121+AF121</f>
        <v>2876814</v>
      </c>
      <c r="AH121" s="8">
        <v>5152129</v>
      </c>
      <c r="AI121" s="8">
        <v>0</v>
      </c>
      <c r="AJ121" s="8">
        <v>0</v>
      </c>
      <c r="AK121" s="5">
        <f>AH121+AI121+AJ121</f>
        <v>5152129</v>
      </c>
      <c r="AL121" s="5">
        <f t="shared" si="97"/>
        <v>8028943</v>
      </c>
      <c r="AM121" s="40">
        <v>341864</v>
      </c>
      <c r="AN121" s="8">
        <v>632950</v>
      </c>
      <c r="AO121" s="8">
        <v>1902000</v>
      </c>
      <c r="AP121" s="5">
        <f>AM121+AN121+AO121</f>
        <v>2876814</v>
      </c>
      <c r="AQ121" s="8">
        <v>5000000</v>
      </c>
      <c r="AR121" s="8">
        <v>0</v>
      </c>
      <c r="AS121" s="8">
        <v>0</v>
      </c>
      <c r="AT121" s="5">
        <f>AQ121+AR121+AS121</f>
        <v>5000000</v>
      </c>
      <c r="AU121" s="5">
        <f>AP121+AS121</f>
        <v>2876814</v>
      </c>
      <c r="AV121" s="40">
        <v>341864</v>
      </c>
      <c r="AW121" s="8">
        <v>632950</v>
      </c>
      <c r="AX121" s="8">
        <v>1902000</v>
      </c>
      <c r="AY121" s="5">
        <f>AV121+AW121+AX121</f>
        <v>2876814</v>
      </c>
      <c r="AZ121" s="8">
        <v>3000000</v>
      </c>
      <c r="BA121" s="8">
        <v>0</v>
      </c>
      <c r="BB121" s="8">
        <v>0</v>
      </c>
      <c r="BC121" s="5">
        <f>AZ121+BA121+BB121</f>
        <v>3000000</v>
      </c>
      <c r="BD121" s="5">
        <f>AY121+BC121</f>
        <v>5876814</v>
      </c>
    </row>
    <row r="122" spans="1:56" ht="16.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5">
        <f t="shared" si="104"/>
        <v>0</v>
      </c>
      <c r="L122" s="15"/>
      <c r="M122" s="15"/>
      <c r="N122" s="15"/>
      <c r="O122" s="15"/>
      <c r="P122" s="15"/>
      <c r="Q122" s="15"/>
      <c r="R122" s="15"/>
      <c r="S122" s="8">
        <f>P122+Q122+R122</f>
        <v>0</v>
      </c>
      <c r="T122" s="5">
        <f t="shared" si="118"/>
        <v>0</v>
      </c>
      <c r="U122" s="15"/>
      <c r="V122" s="15"/>
      <c r="W122" s="15"/>
      <c r="X122" s="15"/>
      <c r="Y122" s="15"/>
      <c r="Z122" s="15"/>
      <c r="AA122" s="15"/>
      <c r="AB122" s="15"/>
      <c r="AC122" s="5">
        <f t="shared" si="105"/>
        <v>0</v>
      </c>
      <c r="AD122" s="15"/>
      <c r="AE122" s="15"/>
      <c r="AF122" s="15"/>
      <c r="AG122" s="15"/>
      <c r="AH122" s="15"/>
      <c r="AI122" s="15"/>
      <c r="AJ122" s="15"/>
      <c r="AK122" s="15"/>
      <c r="AL122" s="5">
        <f t="shared" si="97"/>
        <v>0</v>
      </c>
      <c r="AM122" s="15"/>
      <c r="AN122" s="15"/>
      <c r="AO122" s="15"/>
      <c r="AP122" s="15"/>
      <c r="AQ122" s="15"/>
      <c r="AR122" s="15"/>
      <c r="AS122" s="15"/>
      <c r="AT122" s="5">
        <f>AQ122+AR122+AS122</f>
        <v>0</v>
      </c>
      <c r="AU122" s="5">
        <f t="shared" si="106"/>
        <v>0</v>
      </c>
      <c r="AV122" s="15"/>
      <c r="AW122" s="15"/>
      <c r="AX122" s="15"/>
      <c r="AY122" s="15"/>
      <c r="AZ122" s="15"/>
      <c r="BA122" s="15"/>
      <c r="BB122" s="15"/>
      <c r="BC122" s="5">
        <f t="shared" si="115"/>
        <v>0</v>
      </c>
      <c r="BD122" s="5">
        <f t="shared" si="107"/>
        <v>0</v>
      </c>
    </row>
    <row r="123" spans="1:56" ht="16.5">
      <c r="A123" s="60" t="s">
        <v>217</v>
      </c>
      <c r="B123" s="60"/>
      <c r="C123" s="16">
        <f t="shared" ref="C123:J123" si="153">C7+C11+C17+C22+C28+C34+C39+C44+C48+C52+C57+C62+C66+C74+C80+C85+C88+C94+C100+C105+C109+C114</f>
        <v>300546951</v>
      </c>
      <c r="D123" s="16">
        <f t="shared" si="153"/>
        <v>57794406</v>
      </c>
      <c r="E123" s="16">
        <f t="shared" si="153"/>
        <v>126081337</v>
      </c>
      <c r="F123" s="16">
        <f t="shared" si="153"/>
        <v>484422694</v>
      </c>
      <c r="G123" s="16">
        <f t="shared" si="153"/>
        <v>246022539</v>
      </c>
      <c r="H123" s="16">
        <f t="shared" si="153"/>
        <v>65700000</v>
      </c>
      <c r="I123" s="16">
        <f t="shared" si="153"/>
        <v>161186545</v>
      </c>
      <c r="J123" s="16">
        <f t="shared" si="153"/>
        <v>482622649</v>
      </c>
      <c r="K123" s="16">
        <f t="shared" si="104"/>
        <v>967045343</v>
      </c>
      <c r="L123" s="16">
        <f t="shared" ref="L123:R123" si="154">L7+L11+L17+L22+L28+L34+L39+L44+L48+L52+L57+L62+L66+L74+L80+L85+L88+L94+L100+L105+L109+L114</f>
        <v>304101503</v>
      </c>
      <c r="M123" s="16">
        <f t="shared" si="154"/>
        <v>61514955</v>
      </c>
      <c r="N123" s="16">
        <f t="shared" si="154"/>
        <v>136144157</v>
      </c>
      <c r="O123" s="16">
        <f t="shared" si="154"/>
        <v>501760615</v>
      </c>
      <c r="P123" s="16">
        <f t="shared" si="154"/>
        <v>194432911</v>
      </c>
      <c r="Q123" s="16">
        <f t="shared" si="154"/>
        <v>67522162</v>
      </c>
      <c r="R123" s="16">
        <f t="shared" si="154"/>
        <v>159754111</v>
      </c>
      <c r="S123" s="16">
        <f>P123+Q123+R123</f>
        <v>421709184</v>
      </c>
      <c r="T123" s="16">
        <f t="shared" si="118"/>
        <v>923469799</v>
      </c>
      <c r="U123" s="16">
        <f t="shared" ref="U123:AB123" si="155">U7+U11+U17+U22+U28+U34+U39+U44+U48+U52+U57+U62+U66+U74+U80+U85+U88+U94+U100+U105+U109+U114+U118+U71</f>
        <v>321893920</v>
      </c>
      <c r="V123" s="16">
        <f t="shared" si="155"/>
        <v>84637524</v>
      </c>
      <c r="W123" s="16">
        <f t="shared" si="155"/>
        <v>121138330</v>
      </c>
      <c r="X123" s="16">
        <f t="shared" si="155"/>
        <v>527669774</v>
      </c>
      <c r="Y123" s="16">
        <f t="shared" si="155"/>
        <v>314506000</v>
      </c>
      <c r="Z123" s="16">
        <f t="shared" si="155"/>
        <v>67900000</v>
      </c>
      <c r="AA123" s="16">
        <f t="shared" si="155"/>
        <v>158980690</v>
      </c>
      <c r="AB123" s="16">
        <f t="shared" si="155"/>
        <v>541386690</v>
      </c>
      <c r="AC123" s="16">
        <f t="shared" si="105"/>
        <v>1069056464</v>
      </c>
      <c r="AD123" s="16">
        <f t="shared" ref="AD123:BD123" si="156">AD7+AD11+AD17+AD22+AD28+AD34+AD39+AD44+AD48+AD52+AD57+AD62+AD66+AD74+AD80+AD85+AD88+AD94+AD100+AD105+AD109+AD114+AD118+AD71</f>
        <v>328988391</v>
      </c>
      <c r="AE123" s="16">
        <f t="shared" si="156"/>
        <v>121300472</v>
      </c>
      <c r="AF123" s="16">
        <f t="shared" si="156"/>
        <v>116569343</v>
      </c>
      <c r="AG123" s="16">
        <f t="shared" si="156"/>
        <v>566858206</v>
      </c>
      <c r="AH123" s="16">
        <f t="shared" si="156"/>
        <v>358656612</v>
      </c>
      <c r="AI123" s="16">
        <f t="shared" si="156"/>
        <v>76065918</v>
      </c>
      <c r="AJ123" s="16">
        <f t="shared" si="156"/>
        <v>141449477</v>
      </c>
      <c r="AK123" s="16">
        <f t="shared" si="156"/>
        <v>576172007</v>
      </c>
      <c r="AL123" s="5">
        <f t="shared" si="97"/>
        <v>1143030213</v>
      </c>
      <c r="AM123" s="16">
        <f t="shared" si="156"/>
        <v>330900696</v>
      </c>
      <c r="AN123" s="16">
        <f t="shared" si="156"/>
        <v>109136748</v>
      </c>
      <c r="AO123" s="16">
        <f t="shared" si="156"/>
        <v>119852170</v>
      </c>
      <c r="AP123" s="16">
        <f t="shared" si="156"/>
        <v>558849614</v>
      </c>
      <c r="AQ123" s="16">
        <f t="shared" si="156"/>
        <v>281107830</v>
      </c>
      <c r="AR123" s="16">
        <f t="shared" si="156"/>
        <v>77111562</v>
      </c>
      <c r="AS123" s="16">
        <f t="shared" si="156"/>
        <v>144009514</v>
      </c>
      <c r="AT123" s="16">
        <f t="shared" si="156"/>
        <v>502228906</v>
      </c>
      <c r="AU123" s="16">
        <f t="shared" si="156"/>
        <v>1061078520</v>
      </c>
      <c r="AV123" s="16">
        <f t="shared" si="156"/>
        <v>330888923</v>
      </c>
      <c r="AW123" s="16">
        <f t="shared" si="156"/>
        <v>110139439</v>
      </c>
      <c r="AX123" s="16">
        <f t="shared" si="156"/>
        <v>119776104</v>
      </c>
      <c r="AY123" s="16">
        <f t="shared" si="156"/>
        <v>559337447</v>
      </c>
      <c r="AZ123" s="16">
        <f t="shared" si="156"/>
        <v>274516827</v>
      </c>
      <c r="BA123" s="16">
        <f t="shared" si="156"/>
        <v>71478028</v>
      </c>
      <c r="BB123" s="16">
        <f t="shared" si="156"/>
        <v>126610374</v>
      </c>
      <c r="BC123" s="16">
        <f t="shared" si="156"/>
        <v>472605229</v>
      </c>
      <c r="BD123" s="16">
        <f t="shared" si="156"/>
        <v>1031942676</v>
      </c>
    </row>
    <row r="124" spans="1:56" ht="16.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5">
        <f t="shared" si="104"/>
        <v>0</v>
      </c>
      <c r="L124" s="17"/>
      <c r="M124" s="17"/>
      <c r="N124" s="17"/>
      <c r="O124" s="17"/>
      <c r="P124" s="17"/>
      <c r="Q124" s="17"/>
      <c r="R124" s="17"/>
      <c r="S124" s="17"/>
      <c r="T124" s="5"/>
      <c r="U124" s="17"/>
      <c r="V124" s="17"/>
      <c r="W124" s="17"/>
      <c r="X124" s="17"/>
      <c r="Y124" s="17"/>
      <c r="Z124" s="17"/>
      <c r="AA124" s="17"/>
      <c r="AB124" s="17"/>
      <c r="AC124" s="5">
        <f t="shared" si="105"/>
        <v>0</v>
      </c>
      <c r="AD124" s="17"/>
      <c r="AE124" s="17"/>
      <c r="AF124" s="17"/>
      <c r="AG124" s="17"/>
      <c r="AH124" s="17"/>
      <c r="AI124" s="17"/>
      <c r="AJ124" s="17"/>
      <c r="AK124" s="17"/>
      <c r="AL124" s="5">
        <f t="shared" si="97"/>
        <v>0</v>
      </c>
      <c r="AM124" s="17"/>
      <c r="AN124" s="17"/>
      <c r="AO124" s="17"/>
      <c r="AP124" s="17"/>
      <c r="AQ124" s="17"/>
      <c r="AR124" s="17"/>
      <c r="AS124" s="17"/>
      <c r="AT124" s="5">
        <f>AQ124+AR124+AS124</f>
        <v>0</v>
      </c>
      <c r="AU124" s="5">
        <f t="shared" si="106"/>
        <v>0</v>
      </c>
      <c r="AV124" s="17"/>
      <c r="AW124" s="17"/>
      <c r="AX124" s="17"/>
      <c r="AY124" s="17"/>
      <c r="AZ124" s="17"/>
      <c r="BA124" s="17"/>
      <c r="BB124" s="17"/>
      <c r="BC124" s="5">
        <f t="shared" si="115"/>
        <v>0</v>
      </c>
      <c r="BD124" s="5">
        <f t="shared" si="107"/>
        <v>0</v>
      </c>
    </row>
    <row r="125" spans="1:56" ht="16.5">
      <c r="A125" s="61" t="s">
        <v>218</v>
      </c>
      <c r="B125" s="62"/>
      <c r="C125" s="18">
        <f t="shared" ref="C125:AK125" si="157">SUM(C126:C141)</f>
        <v>73529496</v>
      </c>
      <c r="D125" s="18">
        <f t="shared" si="157"/>
        <v>43492391</v>
      </c>
      <c r="E125" s="18">
        <f t="shared" si="157"/>
        <v>146386135</v>
      </c>
      <c r="F125" s="18">
        <f t="shared" si="157"/>
        <v>396308022</v>
      </c>
      <c r="G125" s="18">
        <f t="shared" si="157"/>
        <v>37024669</v>
      </c>
      <c r="H125" s="18">
        <f t="shared" si="157"/>
        <v>17300000</v>
      </c>
      <c r="I125" s="18">
        <f t="shared" si="157"/>
        <v>0</v>
      </c>
      <c r="J125" s="18">
        <f t="shared" si="157"/>
        <v>54324669</v>
      </c>
      <c r="K125" s="5">
        <f t="shared" si="157"/>
        <v>450632691</v>
      </c>
      <c r="L125" s="18">
        <f t="shared" si="157"/>
        <v>70798498</v>
      </c>
      <c r="M125" s="18">
        <f t="shared" si="157"/>
        <v>34264045</v>
      </c>
      <c r="N125" s="18">
        <f t="shared" si="157"/>
        <v>154574843</v>
      </c>
      <c r="O125" s="18">
        <f t="shared" si="157"/>
        <v>413537386</v>
      </c>
      <c r="P125" s="18">
        <f t="shared" si="157"/>
        <v>16367089</v>
      </c>
      <c r="Q125" s="18">
        <f t="shared" si="157"/>
        <v>0</v>
      </c>
      <c r="R125" s="18">
        <f t="shared" si="157"/>
        <v>19666727</v>
      </c>
      <c r="S125" s="18">
        <f t="shared" si="157"/>
        <v>36033816</v>
      </c>
      <c r="T125" s="5">
        <f t="shared" si="157"/>
        <v>449571202</v>
      </c>
      <c r="U125" s="18">
        <f t="shared" ref="U125:AB125" si="158">SUM(U126:U141)</f>
        <v>72056080</v>
      </c>
      <c r="V125" s="18">
        <f t="shared" si="158"/>
        <v>104192476</v>
      </c>
      <c r="W125" s="18">
        <f t="shared" si="158"/>
        <v>233505670</v>
      </c>
      <c r="X125" s="18">
        <f t="shared" si="158"/>
        <v>599054226</v>
      </c>
      <c r="Y125" s="18">
        <f t="shared" si="158"/>
        <v>10300000</v>
      </c>
      <c r="Z125" s="18">
        <f t="shared" si="158"/>
        <v>8078310</v>
      </c>
      <c r="AA125" s="18">
        <f t="shared" si="158"/>
        <v>12000000</v>
      </c>
      <c r="AB125" s="18">
        <f t="shared" si="158"/>
        <v>30378310</v>
      </c>
      <c r="AC125" s="5">
        <f t="shared" si="157"/>
        <v>629432536</v>
      </c>
      <c r="AD125" s="18">
        <f t="shared" si="157"/>
        <v>81938609</v>
      </c>
      <c r="AE125" s="18">
        <f t="shared" si="157"/>
        <v>47800508</v>
      </c>
      <c r="AF125" s="18">
        <f t="shared" si="157"/>
        <v>250804284</v>
      </c>
      <c r="AG125" s="18">
        <f t="shared" si="157"/>
        <v>601343401</v>
      </c>
      <c r="AH125" s="18">
        <f t="shared" si="157"/>
        <v>20145516</v>
      </c>
      <c r="AI125" s="18">
        <f t="shared" si="157"/>
        <v>3750000</v>
      </c>
      <c r="AJ125" s="18">
        <f t="shared" si="157"/>
        <v>11960000</v>
      </c>
      <c r="AK125" s="18">
        <f t="shared" si="157"/>
        <v>35855516</v>
      </c>
      <c r="AL125" s="5">
        <f t="shared" si="97"/>
        <v>637198917</v>
      </c>
      <c r="AM125" s="18">
        <f t="shared" ref="AM125:BD125" si="159">SUM(AM126:AM141)</f>
        <v>79302096</v>
      </c>
      <c r="AN125" s="18">
        <f t="shared" ref="AN125:AT125" si="160">SUM(AN126:AN141)</f>
        <v>65404342</v>
      </c>
      <c r="AO125" s="18">
        <f t="shared" si="160"/>
        <v>232860656</v>
      </c>
      <c r="AP125" s="18">
        <f t="shared" si="160"/>
        <v>598367094</v>
      </c>
      <c r="AQ125" s="18">
        <f t="shared" si="160"/>
        <v>19606942</v>
      </c>
      <c r="AR125" s="18">
        <f t="shared" si="160"/>
        <v>3750000</v>
      </c>
      <c r="AS125" s="18">
        <f t="shared" si="160"/>
        <v>13000000</v>
      </c>
      <c r="AT125" s="5">
        <f t="shared" si="160"/>
        <v>36356942</v>
      </c>
      <c r="AU125" s="5">
        <f t="shared" si="159"/>
        <v>634724036</v>
      </c>
      <c r="AV125" s="18">
        <f>SUM(AV126:AV141)</f>
        <v>79302096</v>
      </c>
      <c r="AW125" s="18">
        <f t="shared" si="159"/>
        <v>65404342</v>
      </c>
      <c r="AX125" s="18">
        <f t="shared" si="159"/>
        <v>232860656</v>
      </c>
      <c r="AY125" s="18">
        <f t="shared" si="159"/>
        <v>598367094</v>
      </c>
      <c r="AZ125" s="18">
        <f t="shared" si="159"/>
        <v>19606942</v>
      </c>
      <c r="BA125" s="18">
        <f t="shared" si="159"/>
        <v>0</v>
      </c>
      <c r="BB125" s="18">
        <f t="shared" si="159"/>
        <v>13000000</v>
      </c>
      <c r="BC125" s="5">
        <f t="shared" si="159"/>
        <v>32606942</v>
      </c>
      <c r="BD125" s="5">
        <f t="shared" si="159"/>
        <v>630974036</v>
      </c>
    </row>
    <row r="126" spans="1:56" ht="33">
      <c r="A126" s="19" t="s">
        <v>219</v>
      </c>
      <c r="B126" s="20" t="s">
        <v>220</v>
      </c>
      <c r="C126" s="21">
        <v>7616006</v>
      </c>
      <c r="D126" s="21">
        <f>2655287+2182500+1302650</f>
        <v>6140437</v>
      </c>
      <c r="E126" s="21">
        <v>300000</v>
      </c>
      <c r="F126" s="8">
        <f>SUM(C126:E126)</f>
        <v>14056443</v>
      </c>
      <c r="G126" s="21">
        <v>0</v>
      </c>
      <c r="H126" s="21">
        <v>0</v>
      </c>
      <c r="I126" s="21">
        <v>0</v>
      </c>
      <c r="J126" s="8">
        <f t="shared" ref="J126:J133" si="161">SUM(G126:I126)</f>
        <v>0</v>
      </c>
      <c r="K126" s="5">
        <f t="shared" ref="K126:K139" si="162">F126+J126</f>
        <v>14056443</v>
      </c>
      <c r="L126" s="21">
        <v>8436552</v>
      </c>
      <c r="M126" s="21">
        <f>2655287+2182500+2177650</f>
        <v>7015437</v>
      </c>
      <c r="N126" s="21">
        <v>300000</v>
      </c>
      <c r="O126" s="8">
        <f>SUM(L126:N126)</f>
        <v>15751989</v>
      </c>
      <c r="P126" s="21"/>
      <c r="Q126" s="21"/>
      <c r="R126" s="21"/>
      <c r="S126" s="8">
        <f t="shared" ref="S126:S133" si="163">SUM(P126:R126)</f>
        <v>0</v>
      </c>
      <c r="T126" s="5">
        <f t="shared" ref="T126:T141" si="164">O126+S126</f>
        <v>15751989</v>
      </c>
      <c r="U126" s="21">
        <v>10068300</v>
      </c>
      <c r="V126" s="21">
        <v>3623666</v>
      </c>
      <c r="W126" s="21">
        <v>265000</v>
      </c>
      <c r="X126" s="8">
        <f>SUM(U126:W126)</f>
        <v>13956966</v>
      </c>
      <c r="Y126" s="21"/>
      <c r="Z126" s="21"/>
      <c r="AA126" s="21"/>
      <c r="AB126" s="8">
        <f t="shared" ref="AB126:AB133" si="165">SUM(Y126:AA126)</f>
        <v>0</v>
      </c>
      <c r="AC126" s="5">
        <f t="shared" ref="AC126:AC141" si="166">X126+AB126</f>
        <v>13956966</v>
      </c>
      <c r="AD126" s="21">
        <v>10634166</v>
      </c>
      <c r="AE126" s="21">
        <v>3712584</v>
      </c>
      <c r="AF126" s="21">
        <v>232000</v>
      </c>
      <c r="AG126" s="8">
        <f>SUM(AD126:AF126)</f>
        <v>14578750</v>
      </c>
      <c r="AH126" s="21">
        <v>2500000</v>
      </c>
      <c r="AI126" s="21">
        <v>0</v>
      </c>
      <c r="AJ126" s="21">
        <v>0</v>
      </c>
      <c r="AK126" s="8">
        <f t="shared" ref="AK126:AK141" si="167">SUM(AH126:AJ126)</f>
        <v>2500000</v>
      </c>
      <c r="AL126" s="5">
        <f t="shared" si="97"/>
        <v>17078750</v>
      </c>
      <c r="AM126" s="21">
        <v>10634166</v>
      </c>
      <c r="AN126" s="21">
        <v>3712584</v>
      </c>
      <c r="AO126" s="21">
        <v>232000</v>
      </c>
      <c r="AP126" s="8">
        <f>SUM(AM126:AO126)</f>
        <v>14578750</v>
      </c>
      <c r="AQ126" s="21">
        <v>2500000</v>
      </c>
      <c r="AR126" s="21">
        <v>0</v>
      </c>
      <c r="AS126" s="21">
        <v>0</v>
      </c>
      <c r="AT126" s="5">
        <f t="shared" ref="AT126:AT133" si="168">AQ126+AR126+AS126</f>
        <v>2500000</v>
      </c>
      <c r="AU126" s="5">
        <f t="shared" si="106"/>
        <v>17078750</v>
      </c>
      <c r="AV126" s="21">
        <v>10634166</v>
      </c>
      <c r="AW126" s="21">
        <v>3712584</v>
      </c>
      <c r="AX126" s="21">
        <v>232000</v>
      </c>
      <c r="AY126" s="8">
        <f>SUM(AV126:AX126)</f>
        <v>14578750</v>
      </c>
      <c r="AZ126" s="21">
        <v>2500000</v>
      </c>
      <c r="BA126" s="21">
        <v>0</v>
      </c>
      <c r="BB126" s="21">
        <v>0</v>
      </c>
      <c r="BC126" s="5">
        <f t="shared" si="115"/>
        <v>2500000</v>
      </c>
      <c r="BD126" s="5">
        <f t="shared" si="107"/>
        <v>17078750</v>
      </c>
    </row>
    <row r="127" spans="1:56" ht="33">
      <c r="A127" s="6" t="s">
        <v>221</v>
      </c>
      <c r="B127" s="7" t="s">
        <v>222</v>
      </c>
      <c r="C127" s="21">
        <v>853831</v>
      </c>
      <c r="D127" s="21">
        <f>349997+76403+25000</f>
        <v>451400</v>
      </c>
      <c r="E127" s="21">
        <v>8600</v>
      </c>
      <c r="F127" s="8">
        <f t="shared" ref="F127:F133" si="169">SUM(C127:E127)</f>
        <v>1313831</v>
      </c>
      <c r="G127" s="21">
        <v>0</v>
      </c>
      <c r="H127" s="21"/>
      <c r="I127" s="21">
        <v>0</v>
      </c>
      <c r="J127" s="8">
        <f t="shared" si="161"/>
        <v>0</v>
      </c>
      <c r="K127" s="5">
        <f t="shared" si="162"/>
        <v>1313831</v>
      </c>
      <c r="L127" s="21">
        <v>841101</v>
      </c>
      <c r="M127" s="21">
        <f>349997+81403+25000</f>
        <v>456400</v>
      </c>
      <c r="N127" s="21">
        <v>3600</v>
      </c>
      <c r="O127" s="8">
        <f t="shared" ref="O127:O133" si="170">SUM(L127:N127)</f>
        <v>1301101</v>
      </c>
      <c r="P127" s="21"/>
      <c r="Q127" s="21"/>
      <c r="R127" s="21"/>
      <c r="S127" s="8">
        <f t="shared" si="163"/>
        <v>0</v>
      </c>
      <c r="T127" s="5">
        <f t="shared" si="164"/>
        <v>1301101</v>
      </c>
      <c r="U127" s="21">
        <v>1139545</v>
      </c>
      <c r="V127" s="21">
        <v>556400</v>
      </c>
      <c r="W127" s="21">
        <v>3600</v>
      </c>
      <c r="X127" s="8">
        <f t="shared" ref="X127:X134" si="171">SUM(U127:W127)</f>
        <v>1699545</v>
      </c>
      <c r="Y127" s="21"/>
      <c r="Z127" s="21"/>
      <c r="AA127" s="21"/>
      <c r="AB127" s="8">
        <f t="shared" si="165"/>
        <v>0</v>
      </c>
      <c r="AC127" s="5">
        <f t="shared" si="166"/>
        <v>1699545</v>
      </c>
      <c r="AD127" s="21">
        <v>1103844</v>
      </c>
      <c r="AE127" s="21">
        <v>593235</v>
      </c>
      <c r="AF127" s="21">
        <v>3600</v>
      </c>
      <c r="AG127" s="8">
        <f t="shared" ref="AG127:AG135" si="172">SUM(AD127:AF127)</f>
        <v>1700679</v>
      </c>
      <c r="AH127" s="21"/>
      <c r="AI127" s="21">
        <v>0</v>
      </c>
      <c r="AJ127" s="21">
        <v>0</v>
      </c>
      <c r="AK127" s="8">
        <f t="shared" si="167"/>
        <v>0</v>
      </c>
      <c r="AL127" s="5">
        <f t="shared" si="97"/>
        <v>1700679</v>
      </c>
      <c r="AM127" s="21">
        <v>1103844</v>
      </c>
      <c r="AN127" s="21">
        <v>593235</v>
      </c>
      <c r="AO127" s="21">
        <v>3600</v>
      </c>
      <c r="AP127" s="8">
        <f t="shared" ref="AP127:AP135" si="173">SUM(AM127:AO127)</f>
        <v>1700679</v>
      </c>
      <c r="AQ127" s="21"/>
      <c r="AR127" s="21">
        <v>0</v>
      </c>
      <c r="AS127" s="21">
        <v>0</v>
      </c>
      <c r="AT127" s="5">
        <f t="shared" si="168"/>
        <v>0</v>
      </c>
      <c r="AU127" s="5">
        <f t="shared" si="106"/>
        <v>1700679</v>
      </c>
      <c r="AV127" s="21">
        <v>1103844</v>
      </c>
      <c r="AW127" s="21">
        <v>593235</v>
      </c>
      <c r="AX127" s="21">
        <v>3600</v>
      </c>
      <c r="AY127" s="8">
        <f t="shared" ref="AY127:AY135" si="174">SUM(AV127:AX127)</f>
        <v>1700679</v>
      </c>
      <c r="AZ127" s="21"/>
      <c r="BA127" s="21">
        <v>0</v>
      </c>
      <c r="BB127" s="21">
        <v>0</v>
      </c>
      <c r="BC127" s="5">
        <f t="shared" si="115"/>
        <v>0</v>
      </c>
      <c r="BD127" s="5">
        <f t="shared" si="107"/>
        <v>1700679</v>
      </c>
    </row>
    <row r="128" spans="1:56" ht="19.5" customHeight="1">
      <c r="A128" s="6" t="s">
        <v>223</v>
      </c>
      <c r="B128" s="7" t="s">
        <v>224</v>
      </c>
      <c r="C128" s="21">
        <f>1410319+66400</f>
        <v>1476719</v>
      </c>
      <c r="D128" s="21">
        <f>512358+123779+75372</f>
        <v>711509</v>
      </c>
      <c r="E128" s="21">
        <f>331941+118059</f>
        <v>450000</v>
      </c>
      <c r="F128" s="8">
        <f t="shared" si="169"/>
        <v>2638228</v>
      </c>
      <c r="G128" s="21">
        <v>0</v>
      </c>
      <c r="H128" s="21">
        <v>0</v>
      </c>
      <c r="I128" s="21">
        <v>0</v>
      </c>
      <c r="J128" s="8">
        <f t="shared" si="161"/>
        <v>0</v>
      </c>
      <c r="K128" s="5">
        <f t="shared" si="162"/>
        <v>2638228</v>
      </c>
      <c r="L128" s="21">
        <f>1653756+66400</f>
        <v>1720156</v>
      </c>
      <c r="M128" s="21">
        <f>462358+173779+75372</f>
        <v>711509</v>
      </c>
      <c r="N128" s="21">
        <f>361941+118059</f>
        <v>480000</v>
      </c>
      <c r="O128" s="8">
        <f t="shared" si="170"/>
        <v>2911665</v>
      </c>
      <c r="P128" s="21"/>
      <c r="Q128" s="21"/>
      <c r="R128" s="21"/>
      <c r="S128" s="8">
        <f t="shared" si="163"/>
        <v>0</v>
      </c>
      <c r="T128" s="5">
        <f t="shared" si="164"/>
        <v>2911665</v>
      </c>
      <c r="U128" s="21">
        <v>1819700</v>
      </c>
      <c r="V128" s="21">
        <v>750252</v>
      </c>
      <c r="W128" s="21">
        <v>528000</v>
      </c>
      <c r="X128" s="8">
        <f t="shared" si="171"/>
        <v>3097952</v>
      </c>
      <c r="Y128" s="21"/>
      <c r="Z128" s="21"/>
      <c r="AA128" s="21"/>
      <c r="AB128" s="8">
        <f t="shared" si="165"/>
        <v>0</v>
      </c>
      <c r="AC128" s="5">
        <f t="shared" si="166"/>
        <v>3097952</v>
      </c>
      <c r="AD128" s="21">
        <v>1910366</v>
      </c>
      <c r="AE128" s="21">
        <v>750252</v>
      </c>
      <c r="AF128" s="21">
        <v>528000</v>
      </c>
      <c r="AG128" s="8">
        <f t="shared" si="172"/>
        <v>3188618</v>
      </c>
      <c r="AH128" s="21"/>
      <c r="AI128" s="21">
        <v>0</v>
      </c>
      <c r="AJ128" s="21">
        <v>0</v>
      </c>
      <c r="AK128" s="8">
        <f t="shared" si="167"/>
        <v>0</v>
      </c>
      <c r="AL128" s="5">
        <f t="shared" si="97"/>
        <v>3188618</v>
      </c>
      <c r="AM128" s="21">
        <v>1910366</v>
      </c>
      <c r="AN128" s="21">
        <v>750252</v>
      </c>
      <c r="AO128" s="21">
        <v>528000</v>
      </c>
      <c r="AP128" s="8">
        <f t="shared" si="173"/>
        <v>3188618</v>
      </c>
      <c r="AQ128" s="21"/>
      <c r="AR128" s="21">
        <v>0</v>
      </c>
      <c r="AS128" s="21">
        <v>0</v>
      </c>
      <c r="AT128" s="5">
        <f t="shared" si="168"/>
        <v>0</v>
      </c>
      <c r="AU128" s="5">
        <f t="shared" si="106"/>
        <v>3188618</v>
      </c>
      <c r="AV128" s="21">
        <v>1910366</v>
      </c>
      <c r="AW128" s="21">
        <v>750252</v>
      </c>
      <c r="AX128" s="21">
        <v>528000</v>
      </c>
      <c r="AY128" s="8">
        <f t="shared" si="174"/>
        <v>3188618</v>
      </c>
      <c r="AZ128" s="21"/>
      <c r="BA128" s="21">
        <v>0</v>
      </c>
      <c r="BB128" s="21">
        <v>0</v>
      </c>
      <c r="BC128" s="5">
        <f t="shared" si="115"/>
        <v>0</v>
      </c>
      <c r="BD128" s="5">
        <f t="shared" si="107"/>
        <v>3188618</v>
      </c>
    </row>
    <row r="129" spans="1:56" ht="33">
      <c r="A129" s="6" t="s">
        <v>225</v>
      </c>
      <c r="B129" s="7" t="s">
        <v>226</v>
      </c>
      <c r="C129" s="21">
        <v>1271949</v>
      </c>
      <c r="D129" s="21">
        <f>329688+158600+58000</f>
        <v>546288</v>
      </c>
      <c r="E129" s="21">
        <f>15000+30000</f>
        <v>45000</v>
      </c>
      <c r="F129" s="8">
        <f t="shared" si="169"/>
        <v>1863237</v>
      </c>
      <c r="G129" s="21">
        <v>0</v>
      </c>
      <c r="H129" s="21">
        <v>0</v>
      </c>
      <c r="I129" s="21">
        <v>0</v>
      </c>
      <c r="J129" s="8">
        <f t="shared" si="161"/>
        <v>0</v>
      </c>
      <c r="K129" s="5">
        <f t="shared" si="162"/>
        <v>1863237</v>
      </c>
      <c r="L129" s="21">
        <v>1267523</v>
      </c>
      <c r="M129" s="21">
        <f>281831+209457+55000</f>
        <v>546288</v>
      </c>
      <c r="N129" s="21">
        <v>45000</v>
      </c>
      <c r="O129" s="8">
        <f t="shared" si="170"/>
        <v>1858811</v>
      </c>
      <c r="P129" s="21"/>
      <c r="Q129" s="21"/>
      <c r="R129" s="21"/>
      <c r="S129" s="8">
        <f t="shared" si="163"/>
        <v>0</v>
      </c>
      <c r="T129" s="5">
        <f t="shared" si="164"/>
        <v>1858811</v>
      </c>
      <c r="U129" s="21">
        <v>1345993</v>
      </c>
      <c r="V129" s="21">
        <v>546288</v>
      </c>
      <c r="W129" s="21">
        <v>45000</v>
      </c>
      <c r="X129" s="8">
        <f t="shared" si="171"/>
        <v>1937281</v>
      </c>
      <c r="Y129" s="21"/>
      <c r="Z129" s="21"/>
      <c r="AA129" s="21"/>
      <c r="AB129" s="8">
        <f t="shared" si="165"/>
        <v>0</v>
      </c>
      <c r="AC129" s="5">
        <f t="shared" si="166"/>
        <v>1937281</v>
      </c>
      <c r="AD129" s="21">
        <v>1404633</v>
      </c>
      <c r="AE129" s="21">
        <v>543767</v>
      </c>
      <c r="AF129" s="21">
        <v>47521</v>
      </c>
      <c r="AG129" s="8">
        <f t="shared" si="172"/>
        <v>1995921</v>
      </c>
      <c r="AH129" s="21"/>
      <c r="AI129" s="21">
        <v>0</v>
      </c>
      <c r="AJ129" s="21">
        <v>0</v>
      </c>
      <c r="AK129" s="8">
        <f t="shared" si="167"/>
        <v>0</v>
      </c>
      <c r="AL129" s="5">
        <f t="shared" si="97"/>
        <v>1995921</v>
      </c>
      <c r="AM129" s="21">
        <v>1404633</v>
      </c>
      <c r="AN129" s="21">
        <v>543767</v>
      </c>
      <c r="AO129" s="21">
        <v>47521</v>
      </c>
      <c r="AP129" s="8">
        <f t="shared" si="173"/>
        <v>1995921</v>
      </c>
      <c r="AQ129" s="21"/>
      <c r="AR129" s="21">
        <v>0</v>
      </c>
      <c r="AS129" s="21">
        <v>0</v>
      </c>
      <c r="AT129" s="5">
        <f t="shared" si="168"/>
        <v>0</v>
      </c>
      <c r="AU129" s="5">
        <f t="shared" si="106"/>
        <v>1995921</v>
      </c>
      <c r="AV129" s="21">
        <v>1404633</v>
      </c>
      <c r="AW129" s="21">
        <v>543767</v>
      </c>
      <c r="AX129" s="21">
        <v>47521</v>
      </c>
      <c r="AY129" s="8">
        <f t="shared" si="174"/>
        <v>1995921</v>
      </c>
      <c r="AZ129" s="21"/>
      <c r="BA129" s="21">
        <v>0</v>
      </c>
      <c r="BB129" s="21">
        <v>0</v>
      </c>
      <c r="BC129" s="5">
        <f t="shared" si="115"/>
        <v>0</v>
      </c>
      <c r="BD129" s="5">
        <f t="shared" si="107"/>
        <v>1995921</v>
      </c>
    </row>
    <row r="130" spans="1:56" ht="40.5" customHeight="1">
      <c r="A130" s="6" t="s">
        <v>227</v>
      </c>
      <c r="B130" s="7" t="s">
        <v>228</v>
      </c>
      <c r="C130" s="21">
        <v>787753</v>
      </c>
      <c r="D130" s="21">
        <f>373651+210041+261982</f>
        <v>845674</v>
      </c>
      <c r="E130" s="21">
        <v>100000</v>
      </c>
      <c r="F130" s="8">
        <f t="shared" si="169"/>
        <v>1733427</v>
      </c>
      <c r="G130" s="21">
        <v>0</v>
      </c>
      <c r="H130" s="21">
        <v>0</v>
      </c>
      <c r="I130" s="21">
        <v>0</v>
      </c>
      <c r="J130" s="8">
        <f t="shared" si="161"/>
        <v>0</v>
      </c>
      <c r="K130" s="5">
        <f t="shared" si="162"/>
        <v>1733427</v>
      </c>
      <c r="L130" s="21">
        <v>902179</v>
      </c>
      <c r="M130" s="21">
        <f>391764+257665+196245</f>
        <v>845674</v>
      </c>
      <c r="N130" s="21">
        <v>100000</v>
      </c>
      <c r="O130" s="8">
        <f t="shared" si="170"/>
        <v>1847853</v>
      </c>
      <c r="P130" s="21"/>
      <c r="Q130" s="21"/>
      <c r="R130" s="21"/>
      <c r="S130" s="8">
        <f t="shared" si="163"/>
        <v>0</v>
      </c>
      <c r="T130" s="5">
        <f t="shared" si="164"/>
        <v>1847853</v>
      </c>
      <c r="U130" s="21">
        <v>1097931</v>
      </c>
      <c r="V130" s="21">
        <v>845674</v>
      </c>
      <c r="W130" s="21">
        <v>100000</v>
      </c>
      <c r="X130" s="8">
        <f t="shared" si="171"/>
        <v>2043605</v>
      </c>
      <c r="Y130" s="21"/>
      <c r="Z130" s="21"/>
      <c r="AA130" s="21"/>
      <c r="AB130" s="8">
        <f t="shared" si="165"/>
        <v>0</v>
      </c>
      <c r="AC130" s="5">
        <f t="shared" si="166"/>
        <v>2043605</v>
      </c>
      <c r="AD130" s="21">
        <v>1277730</v>
      </c>
      <c r="AE130" s="21">
        <v>845674</v>
      </c>
      <c r="AF130" s="21">
        <v>100000</v>
      </c>
      <c r="AG130" s="8">
        <f t="shared" si="172"/>
        <v>2223404</v>
      </c>
      <c r="AH130" s="21"/>
      <c r="AI130" s="21">
        <v>0</v>
      </c>
      <c r="AJ130" s="21">
        <v>0</v>
      </c>
      <c r="AK130" s="8">
        <f t="shared" si="167"/>
        <v>0</v>
      </c>
      <c r="AL130" s="5">
        <f t="shared" si="97"/>
        <v>2223404</v>
      </c>
      <c r="AM130" s="21">
        <v>1277730</v>
      </c>
      <c r="AN130" s="21">
        <v>845674</v>
      </c>
      <c r="AO130" s="21">
        <v>100000</v>
      </c>
      <c r="AP130" s="8">
        <f t="shared" si="173"/>
        <v>2223404</v>
      </c>
      <c r="AQ130" s="21"/>
      <c r="AR130" s="21">
        <v>0</v>
      </c>
      <c r="AS130" s="21">
        <v>0</v>
      </c>
      <c r="AT130" s="5">
        <f t="shared" si="168"/>
        <v>0</v>
      </c>
      <c r="AU130" s="5">
        <f t="shared" si="106"/>
        <v>2223404</v>
      </c>
      <c r="AV130" s="21">
        <v>1277730</v>
      </c>
      <c r="AW130" s="21">
        <v>845674</v>
      </c>
      <c r="AX130" s="21">
        <v>100000</v>
      </c>
      <c r="AY130" s="8">
        <f t="shared" si="174"/>
        <v>2223404</v>
      </c>
      <c r="AZ130" s="21"/>
      <c r="BA130" s="21">
        <v>0</v>
      </c>
      <c r="BB130" s="21">
        <v>0</v>
      </c>
      <c r="BC130" s="5">
        <f t="shared" si="115"/>
        <v>0</v>
      </c>
      <c r="BD130" s="5">
        <f t="shared" si="107"/>
        <v>2223404</v>
      </c>
    </row>
    <row r="131" spans="1:56" ht="33">
      <c r="A131" s="6" t="s">
        <v>229</v>
      </c>
      <c r="B131" s="7" t="s">
        <v>230</v>
      </c>
      <c r="C131" s="21">
        <v>382130</v>
      </c>
      <c r="D131" s="21">
        <f>270162+47000+77000</f>
        <v>394162</v>
      </c>
      <c r="E131" s="21">
        <v>50000</v>
      </c>
      <c r="F131" s="8">
        <f t="shared" si="169"/>
        <v>826292</v>
      </c>
      <c r="G131" s="21">
        <v>0</v>
      </c>
      <c r="H131" s="21">
        <v>0</v>
      </c>
      <c r="I131" s="21">
        <v>0</v>
      </c>
      <c r="J131" s="8">
        <f t="shared" si="161"/>
        <v>0</v>
      </c>
      <c r="K131" s="5">
        <f t="shared" si="162"/>
        <v>826292</v>
      </c>
      <c r="L131" s="21">
        <v>271400</v>
      </c>
      <c r="M131" s="21">
        <f>153600+24000</f>
        <v>177600</v>
      </c>
      <c r="N131" s="21">
        <v>1000</v>
      </c>
      <c r="O131" s="8">
        <f t="shared" si="170"/>
        <v>450000</v>
      </c>
      <c r="P131" s="21"/>
      <c r="Q131" s="21"/>
      <c r="R131" s="21"/>
      <c r="S131" s="8">
        <f t="shared" si="163"/>
        <v>0</v>
      </c>
      <c r="T131" s="5">
        <f t="shared" si="164"/>
        <v>450000</v>
      </c>
      <c r="U131" s="21">
        <v>287800</v>
      </c>
      <c r="V131" s="21">
        <v>215600</v>
      </c>
      <c r="W131" s="21">
        <v>1000</v>
      </c>
      <c r="X131" s="8">
        <f t="shared" si="171"/>
        <v>504400</v>
      </c>
      <c r="Y131" s="21"/>
      <c r="Z131" s="21"/>
      <c r="AA131" s="21"/>
      <c r="AB131" s="8">
        <f t="shared" si="165"/>
        <v>0</v>
      </c>
      <c r="AC131" s="5">
        <f t="shared" si="166"/>
        <v>504400</v>
      </c>
      <c r="AD131" s="21">
        <v>328808</v>
      </c>
      <c r="AE131" s="21">
        <v>223685</v>
      </c>
      <c r="AF131" s="21">
        <v>1000</v>
      </c>
      <c r="AG131" s="8">
        <f t="shared" si="172"/>
        <v>553493</v>
      </c>
      <c r="AH131" s="21"/>
      <c r="AI131" s="21">
        <v>0</v>
      </c>
      <c r="AJ131" s="21">
        <v>0</v>
      </c>
      <c r="AK131" s="8">
        <f t="shared" si="167"/>
        <v>0</v>
      </c>
      <c r="AL131" s="5">
        <f t="shared" si="97"/>
        <v>553493</v>
      </c>
      <c r="AM131" s="21">
        <v>338808</v>
      </c>
      <c r="AN131" s="21">
        <v>205600</v>
      </c>
      <c r="AO131" s="21">
        <v>1000</v>
      </c>
      <c r="AP131" s="8">
        <f t="shared" si="173"/>
        <v>545408</v>
      </c>
      <c r="AQ131" s="21"/>
      <c r="AR131" s="21">
        <v>0</v>
      </c>
      <c r="AS131" s="21">
        <v>0</v>
      </c>
      <c r="AT131" s="5">
        <f t="shared" si="168"/>
        <v>0</v>
      </c>
      <c r="AU131" s="5">
        <f t="shared" si="106"/>
        <v>545408</v>
      </c>
      <c r="AV131" s="21">
        <v>338808</v>
      </c>
      <c r="AW131" s="21">
        <v>205600</v>
      </c>
      <c r="AX131" s="21">
        <v>1000</v>
      </c>
      <c r="AY131" s="8">
        <f t="shared" si="174"/>
        <v>545408</v>
      </c>
      <c r="AZ131" s="21"/>
      <c r="BA131" s="21">
        <v>0</v>
      </c>
      <c r="BB131" s="21">
        <v>0</v>
      </c>
      <c r="BC131" s="5">
        <f t="shared" si="115"/>
        <v>0</v>
      </c>
      <c r="BD131" s="5">
        <f t="shared" si="107"/>
        <v>545408</v>
      </c>
    </row>
    <row r="132" spans="1:56" ht="33">
      <c r="A132" s="6" t="s">
        <v>231</v>
      </c>
      <c r="B132" s="7" t="s">
        <v>232</v>
      </c>
      <c r="C132" s="21">
        <v>100195</v>
      </c>
      <c r="D132" s="21">
        <f>125155+86000</f>
        <v>211155</v>
      </c>
      <c r="E132" s="21">
        <v>80000</v>
      </c>
      <c r="F132" s="8">
        <f t="shared" si="169"/>
        <v>391350</v>
      </c>
      <c r="G132" s="21">
        <v>0</v>
      </c>
      <c r="H132" s="21">
        <v>0</v>
      </c>
      <c r="I132" s="21">
        <v>0</v>
      </c>
      <c r="J132" s="8">
        <f t="shared" si="161"/>
        <v>0</v>
      </c>
      <c r="K132" s="5">
        <f t="shared" si="162"/>
        <v>391350</v>
      </c>
      <c r="L132" s="21">
        <v>121212</v>
      </c>
      <c r="M132" s="21">
        <f>136155+75000</f>
        <v>211155</v>
      </c>
      <c r="N132" s="21">
        <v>80000</v>
      </c>
      <c r="O132" s="8">
        <f t="shared" si="170"/>
        <v>412367</v>
      </c>
      <c r="P132" s="21"/>
      <c r="Q132" s="21"/>
      <c r="R132" s="21"/>
      <c r="S132" s="8">
        <f t="shared" si="163"/>
        <v>0</v>
      </c>
      <c r="T132" s="5">
        <f t="shared" si="164"/>
        <v>412367</v>
      </c>
      <c r="U132" s="21">
        <v>109393</v>
      </c>
      <c r="V132" s="21">
        <f>136155+75000</f>
        <v>211155</v>
      </c>
      <c r="W132" s="21">
        <v>80000</v>
      </c>
      <c r="X132" s="8">
        <f t="shared" si="171"/>
        <v>400548</v>
      </c>
      <c r="Y132" s="21"/>
      <c r="Z132" s="21"/>
      <c r="AA132" s="21"/>
      <c r="AB132" s="8">
        <f t="shared" si="165"/>
        <v>0</v>
      </c>
      <c r="AC132" s="5">
        <f t="shared" si="166"/>
        <v>400548</v>
      </c>
      <c r="AD132" s="21">
        <v>109648</v>
      </c>
      <c r="AE132" s="21">
        <v>251155</v>
      </c>
      <c r="AF132" s="21">
        <v>40000</v>
      </c>
      <c r="AG132" s="8">
        <f t="shared" si="172"/>
        <v>400803</v>
      </c>
      <c r="AH132" s="21"/>
      <c r="AI132" s="21">
        <v>0</v>
      </c>
      <c r="AJ132" s="21">
        <v>0</v>
      </c>
      <c r="AK132" s="8">
        <f t="shared" si="167"/>
        <v>0</v>
      </c>
      <c r="AL132" s="5">
        <f t="shared" si="97"/>
        <v>400803</v>
      </c>
      <c r="AM132" s="21">
        <v>109648</v>
      </c>
      <c r="AN132" s="21">
        <v>251155</v>
      </c>
      <c r="AO132" s="21">
        <v>40000</v>
      </c>
      <c r="AP132" s="8">
        <f t="shared" si="173"/>
        <v>400803</v>
      </c>
      <c r="AQ132" s="21"/>
      <c r="AR132" s="21">
        <v>0</v>
      </c>
      <c r="AS132" s="21">
        <v>0</v>
      </c>
      <c r="AT132" s="5">
        <f t="shared" si="168"/>
        <v>0</v>
      </c>
      <c r="AU132" s="5">
        <f t="shared" si="106"/>
        <v>400803</v>
      </c>
      <c r="AV132" s="21">
        <v>109648</v>
      </c>
      <c r="AW132" s="21">
        <v>251155</v>
      </c>
      <c r="AX132" s="21">
        <v>40000</v>
      </c>
      <c r="AY132" s="8">
        <f t="shared" si="174"/>
        <v>400803</v>
      </c>
      <c r="AZ132" s="21"/>
      <c r="BA132" s="21">
        <v>0</v>
      </c>
      <c r="BB132" s="21">
        <v>0</v>
      </c>
      <c r="BC132" s="5">
        <f t="shared" si="115"/>
        <v>0</v>
      </c>
      <c r="BD132" s="5">
        <f t="shared" si="107"/>
        <v>400803</v>
      </c>
    </row>
    <row r="133" spans="1:56" ht="33">
      <c r="A133" s="6" t="s">
        <v>233</v>
      </c>
      <c r="B133" s="7" t="s">
        <v>234</v>
      </c>
      <c r="C133" s="21">
        <v>0</v>
      </c>
      <c r="D133" s="21"/>
      <c r="E133" s="21">
        <v>1000000</v>
      </c>
      <c r="F133" s="8">
        <f t="shared" si="169"/>
        <v>1000000</v>
      </c>
      <c r="G133" s="21">
        <v>0</v>
      </c>
      <c r="H133" s="21">
        <v>0</v>
      </c>
      <c r="I133" s="21">
        <v>0</v>
      </c>
      <c r="J133" s="8">
        <f t="shared" si="161"/>
        <v>0</v>
      </c>
      <c r="K133" s="5">
        <f t="shared" si="162"/>
        <v>1000000</v>
      </c>
      <c r="L133" s="21"/>
      <c r="M133" s="21"/>
      <c r="N133" s="21">
        <v>800000</v>
      </c>
      <c r="O133" s="8">
        <f t="shared" si="170"/>
        <v>800000</v>
      </c>
      <c r="P133" s="21"/>
      <c r="Q133" s="21"/>
      <c r="R133" s="21"/>
      <c r="S133" s="8">
        <f t="shared" si="163"/>
        <v>0</v>
      </c>
      <c r="T133" s="5">
        <f t="shared" si="164"/>
        <v>800000</v>
      </c>
      <c r="U133" s="21"/>
      <c r="V133" s="21"/>
      <c r="W133" s="21">
        <v>890000</v>
      </c>
      <c r="X133" s="8">
        <f t="shared" si="171"/>
        <v>890000</v>
      </c>
      <c r="Y133" s="21"/>
      <c r="Z133" s="21"/>
      <c r="AA133" s="21"/>
      <c r="AB133" s="8">
        <f t="shared" si="165"/>
        <v>0</v>
      </c>
      <c r="AC133" s="5">
        <f t="shared" si="166"/>
        <v>890000</v>
      </c>
      <c r="AD133" s="21"/>
      <c r="AE133" s="21">
        <v>0</v>
      </c>
      <c r="AF133" s="21">
        <v>890000</v>
      </c>
      <c r="AG133" s="8">
        <f t="shared" si="172"/>
        <v>890000</v>
      </c>
      <c r="AH133" s="21"/>
      <c r="AI133" s="21">
        <v>0</v>
      </c>
      <c r="AJ133" s="21">
        <v>0</v>
      </c>
      <c r="AK133" s="8">
        <f t="shared" si="167"/>
        <v>0</v>
      </c>
      <c r="AL133" s="5">
        <f t="shared" si="97"/>
        <v>890000</v>
      </c>
      <c r="AM133" s="21"/>
      <c r="AN133" s="21">
        <v>0</v>
      </c>
      <c r="AO133" s="21">
        <v>890000</v>
      </c>
      <c r="AP133" s="8">
        <f t="shared" si="173"/>
        <v>890000</v>
      </c>
      <c r="AQ133" s="21"/>
      <c r="AR133" s="21">
        <v>0</v>
      </c>
      <c r="AS133" s="21">
        <v>0</v>
      </c>
      <c r="AT133" s="5">
        <f t="shared" si="168"/>
        <v>0</v>
      </c>
      <c r="AU133" s="5">
        <f t="shared" si="106"/>
        <v>890000</v>
      </c>
      <c r="AV133" s="21"/>
      <c r="AW133" s="21">
        <v>0</v>
      </c>
      <c r="AX133" s="21">
        <v>890000</v>
      </c>
      <c r="AY133" s="8">
        <f t="shared" si="174"/>
        <v>890000</v>
      </c>
      <c r="AZ133" s="21"/>
      <c r="BA133" s="21">
        <v>0</v>
      </c>
      <c r="BB133" s="21">
        <v>0</v>
      </c>
      <c r="BC133" s="5">
        <f t="shared" si="115"/>
        <v>0</v>
      </c>
      <c r="BD133" s="5">
        <f t="shared" si="107"/>
        <v>890000</v>
      </c>
    </row>
    <row r="134" spans="1:56" ht="16.5">
      <c r="A134" s="6" t="s">
        <v>235</v>
      </c>
      <c r="B134" s="7" t="s">
        <v>236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21">
        <v>0</v>
      </c>
      <c r="W134" s="21">
        <v>100000</v>
      </c>
      <c r="X134" s="8">
        <f t="shared" si="171"/>
        <v>100000</v>
      </c>
      <c r="Y134" s="21">
        <v>0</v>
      </c>
      <c r="Z134" s="21">
        <v>0</v>
      </c>
      <c r="AA134" s="21">
        <v>0</v>
      </c>
      <c r="AB134" s="8">
        <f>Y134+Z134+AA134</f>
        <v>0</v>
      </c>
      <c r="AC134" s="5">
        <f t="shared" si="166"/>
        <v>100000</v>
      </c>
      <c r="AD134" s="7">
        <v>0</v>
      </c>
      <c r="AE134" s="21">
        <v>0</v>
      </c>
      <c r="AF134" s="21">
        <v>100000</v>
      </c>
      <c r="AG134" s="8">
        <f t="shared" si="172"/>
        <v>100000</v>
      </c>
      <c r="AH134" s="21"/>
      <c r="AI134" s="21">
        <v>0</v>
      </c>
      <c r="AJ134" s="21">
        <v>0</v>
      </c>
      <c r="AK134" s="8">
        <f t="shared" si="167"/>
        <v>0</v>
      </c>
      <c r="AL134" s="5">
        <f t="shared" si="97"/>
        <v>100000</v>
      </c>
      <c r="AM134" s="7">
        <v>0</v>
      </c>
      <c r="AN134" s="21">
        <v>0</v>
      </c>
      <c r="AO134" s="21">
        <v>100000</v>
      </c>
      <c r="AP134" s="8">
        <f t="shared" si="173"/>
        <v>100000</v>
      </c>
      <c r="AQ134" s="21"/>
      <c r="AR134" s="21">
        <v>0</v>
      </c>
      <c r="AS134" s="21">
        <v>0</v>
      </c>
      <c r="AT134" s="5"/>
      <c r="AU134" s="5">
        <f t="shared" si="106"/>
        <v>100000</v>
      </c>
      <c r="AV134" s="7">
        <v>0</v>
      </c>
      <c r="AW134" s="21">
        <v>0</v>
      </c>
      <c r="AX134" s="21">
        <v>100000</v>
      </c>
      <c r="AY134" s="8">
        <f t="shared" si="174"/>
        <v>100000</v>
      </c>
      <c r="AZ134" s="21"/>
      <c r="BA134" s="21">
        <v>0</v>
      </c>
      <c r="BB134" s="21">
        <v>0</v>
      </c>
      <c r="BC134" s="5"/>
      <c r="BD134" s="5">
        <f t="shared" si="107"/>
        <v>100000</v>
      </c>
    </row>
    <row r="135" spans="1:56" ht="35.25" customHeight="1">
      <c r="A135" s="6" t="s">
        <v>237</v>
      </c>
      <c r="B135" s="7" t="s">
        <v>238</v>
      </c>
      <c r="C135" s="21"/>
      <c r="D135" s="21"/>
      <c r="E135" s="21"/>
      <c r="F135" s="8"/>
      <c r="G135" s="21"/>
      <c r="H135" s="21"/>
      <c r="I135" s="21"/>
      <c r="J135" s="8"/>
      <c r="K135" s="5"/>
      <c r="L135" s="21"/>
      <c r="M135" s="21"/>
      <c r="N135" s="21"/>
      <c r="O135" s="8"/>
      <c r="P135" s="21"/>
      <c r="Q135" s="21"/>
      <c r="R135" s="21"/>
      <c r="S135" s="8">
        <v>0</v>
      </c>
      <c r="T135" s="5"/>
      <c r="U135" s="21">
        <v>242550</v>
      </c>
      <c r="V135" s="21">
        <v>130875</v>
      </c>
      <c r="W135" s="21">
        <v>196575</v>
      </c>
      <c r="X135" s="8">
        <f>U135+V135+W135</f>
        <v>570000</v>
      </c>
      <c r="Y135" s="21"/>
      <c r="Z135" s="21"/>
      <c r="AA135" s="21"/>
      <c r="AB135" s="8">
        <f>Y135+Z135+AA135</f>
        <v>0</v>
      </c>
      <c r="AC135" s="5">
        <f t="shared" si="166"/>
        <v>570000</v>
      </c>
      <c r="AD135" s="21">
        <v>351369</v>
      </c>
      <c r="AE135" s="21">
        <v>246431</v>
      </c>
      <c r="AF135" s="21">
        <v>2200</v>
      </c>
      <c r="AG135" s="8">
        <f t="shared" si="172"/>
        <v>600000</v>
      </c>
      <c r="AH135" s="21"/>
      <c r="AI135" s="21">
        <v>0</v>
      </c>
      <c r="AJ135" s="21">
        <v>0</v>
      </c>
      <c r="AK135" s="8">
        <f t="shared" si="167"/>
        <v>0</v>
      </c>
      <c r="AL135" s="5">
        <f t="shared" si="97"/>
        <v>600000</v>
      </c>
      <c r="AM135" s="21">
        <v>351369</v>
      </c>
      <c r="AN135" s="21">
        <v>246431</v>
      </c>
      <c r="AO135" s="21">
        <v>2200</v>
      </c>
      <c r="AP135" s="8">
        <f t="shared" si="173"/>
        <v>600000</v>
      </c>
      <c r="AQ135" s="21"/>
      <c r="AR135" s="21">
        <v>0</v>
      </c>
      <c r="AS135" s="21">
        <v>0</v>
      </c>
      <c r="AT135" s="5"/>
      <c r="AU135" s="5">
        <f t="shared" si="106"/>
        <v>600000</v>
      </c>
      <c r="AV135" s="21">
        <v>351369</v>
      </c>
      <c r="AW135" s="21">
        <v>246431</v>
      </c>
      <c r="AX135" s="21">
        <v>2200</v>
      </c>
      <c r="AY135" s="8">
        <f t="shared" si="174"/>
        <v>600000</v>
      </c>
      <c r="AZ135" s="21"/>
      <c r="BA135" s="21">
        <v>0</v>
      </c>
      <c r="BB135" s="21">
        <v>0</v>
      </c>
      <c r="BC135" s="5"/>
      <c r="BD135" s="5">
        <f t="shared" si="107"/>
        <v>600000</v>
      </c>
    </row>
    <row r="136" spans="1:56" ht="33">
      <c r="A136" s="6" t="s">
        <v>239</v>
      </c>
      <c r="B136" s="7" t="s">
        <v>240</v>
      </c>
      <c r="C136" s="8">
        <f>1650000+330000+150000</f>
        <v>2130000</v>
      </c>
      <c r="D136" s="8">
        <f>427000+5339000+810000+190000+131000+50000</f>
        <v>6947000</v>
      </c>
      <c r="E136" s="8">
        <f>78900000+281000</f>
        <v>79181000</v>
      </c>
      <c r="F136" s="8">
        <f>SUM(C136:E136)</f>
        <v>88258000</v>
      </c>
      <c r="G136" s="8">
        <v>0</v>
      </c>
      <c r="H136" s="8">
        <v>0</v>
      </c>
      <c r="I136" s="8">
        <v>0</v>
      </c>
      <c r="J136" s="8">
        <f t="shared" ref="J136:J141" si="175">SUM(G136:I136)</f>
        <v>0</v>
      </c>
      <c r="K136" s="5">
        <f t="shared" si="162"/>
        <v>88258000</v>
      </c>
      <c r="L136" s="8">
        <f>1900000+150000</f>
        <v>2050000</v>
      </c>
      <c r="M136" s="8">
        <f>424000+780000+134000+220000</f>
        <v>1558000</v>
      </c>
      <c r="N136" s="8">
        <f>84300000+0</f>
        <v>84300000</v>
      </c>
      <c r="O136" s="8">
        <f>SUM(L136:N136)</f>
        <v>87908000</v>
      </c>
      <c r="P136" s="8"/>
      <c r="Q136" s="8"/>
      <c r="R136" s="8"/>
      <c r="S136" s="8">
        <f t="shared" ref="S136:S141" si="176">SUM(P136:R136)</f>
        <v>0</v>
      </c>
      <c r="T136" s="5">
        <f t="shared" si="164"/>
        <v>87908000</v>
      </c>
      <c r="U136" s="8">
        <f>2376000+150000</f>
        <v>2526000</v>
      </c>
      <c r="V136" s="8">
        <f>558000+850000</f>
        <v>1408000</v>
      </c>
      <c r="W136" s="8">
        <v>88000000</v>
      </c>
      <c r="X136" s="8">
        <f>SUM(U136:W136)</f>
        <v>91934000</v>
      </c>
      <c r="Y136" s="8"/>
      <c r="Z136" s="8"/>
      <c r="AA136" s="8"/>
      <c r="AB136" s="8">
        <f t="shared" ref="AB136:AB141" si="177">SUM(Y136:AA136)</f>
        <v>0</v>
      </c>
      <c r="AC136" s="5">
        <f t="shared" si="166"/>
        <v>91934000</v>
      </c>
      <c r="AD136" s="8">
        <v>3129513</v>
      </c>
      <c r="AE136" s="8">
        <v>2098500</v>
      </c>
      <c r="AF136" s="8">
        <v>96000000</v>
      </c>
      <c r="AG136" s="8">
        <f>SUM(AD136:AF136)</f>
        <v>101228013</v>
      </c>
      <c r="AH136" s="8"/>
      <c r="AI136" s="21">
        <v>0</v>
      </c>
      <c r="AJ136" s="8">
        <v>0</v>
      </c>
      <c r="AK136" s="8">
        <f t="shared" si="167"/>
        <v>0</v>
      </c>
      <c r="AL136" s="5">
        <f t="shared" ref="AL136:AL146" si="178">AG136+AK136</f>
        <v>101228013</v>
      </c>
      <c r="AM136" s="8">
        <v>150000</v>
      </c>
      <c r="AN136" s="8">
        <v>850000</v>
      </c>
      <c r="AO136" s="8">
        <v>96000000</v>
      </c>
      <c r="AP136" s="8">
        <f>SUM(AM136:AO136)</f>
        <v>97000000</v>
      </c>
      <c r="AQ136" s="8"/>
      <c r="AR136" s="21">
        <v>0</v>
      </c>
      <c r="AS136" s="8">
        <v>0</v>
      </c>
      <c r="AT136" s="8">
        <f>SUM(AQ136:AS136)</f>
        <v>0</v>
      </c>
      <c r="AU136" s="5">
        <f t="shared" si="106"/>
        <v>97000000</v>
      </c>
      <c r="AV136" s="8">
        <v>150000</v>
      </c>
      <c r="AW136" s="8">
        <v>850000</v>
      </c>
      <c r="AX136" s="8">
        <v>96000000</v>
      </c>
      <c r="AY136" s="8">
        <f>SUM(AV136:AX136)</f>
        <v>97000000</v>
      </c>
      <c r="AZ136" s="8"/>
      <c r="BA136" s="21">
        <v>0</v>
      </c>
      <c r="BB136" s="8">
        <v>0</v>
      </c>
      <c r="BC136" s="8">
        <f>SUM(AZ136:BB136)</f>
        <v>0</v>
      </c>
      <c r="BD136" s="5">
        <f t="shared" si="107"/>
        <v>97000000</v>
      </c>
    </row>
    <row r="137" spans="1:56" ht="33">
      <c r="A137" s="6" t="s">
        <v>237</v>
      </c>
      <c r="B137" s="7" t="s">
        <v>241</v>
      </c>
      <c r="C137" s="8">
        <v>1605234</v>
      </c>
      <c r="D137" s="8">
        <f>4048327+675940+1270339+917925</f>
        <v>6912531</v>
      </c>
      <c r="E137" s="8">
        <f>3434135+1853733</f>
        <v>5287868</v>
      </c>
      <c r="F137" s="8">
        <f>SUM(C137:E137)</f>
        <v>13805633</v>
      </c>
      <c r="G137" s="8">
        <v>4024669</v>
      </c>
      <c r="H137" s="8">
        <v>0</v>
      </c>
      <c r="I137" s="8">
        <v>0</v>
      </c>
      <c r="J137" s="8">
        <f t="shared" si="175"/>
        <v>4024669</v>
      </c>
      <c r="K137" s="5">
        <f t="shared" si="162"/>
        <v>17830302</v>
      </c>
      <c r="L137" s="8">
        <v>1554150</v>
      </c>
      <c r="M137" s="8">
        <v>6934835</v>
      </c>
      <c r="N137" s="8">
        <v>7840899</v>
      </c>
      <c r="O137" s="8">
        <f>SUM(L137:N137)</f>
        <v>16329884</v>
      </c>
      <c r="P137" s="8">
        <v>3723727</v>
      </c>
      <c r="Q137" s="8"/>
      <c r="R137" s="8"/>
      <c r="S137" s="8">
        <f t="shared" si="176"/>
        <v>3723727</v>
      </c>
      <c r="T137" s="5">
        <f t="shared" si="164"/>
        <v>20053611</v>
      </c>
      <c r="U137" s="8">
        <v>1905200</v>
      </c>
      <c r="V137" s="8">
        <v>7368277</v>
      </c>
      <c r="W137" s="8">
        <v>16395365</v>
      </c>
      <c r="X137" s="8">
        <f>SUM(U137:W137)</f>
        <v>25668842</v>
      </c>
      <c r="Y137" s="8">
        <v>0</v>
      </c>
      <c r="Z137" s="8">
        <v>8078310</v>
      </c>
      <c r="AA137" s="8"/>
      <c r="AB137" s="8">
        <f t="shared" si="177"/>
        <v>8078310</v>
      </c>
      <c r="AC137" s="5">
        <f t="shared" si="166"/>
        <v>33747152</v>
      </c>
      <c r="AD137" s="8">
        <v>1606605</v>
      </c>
      <c r="AE137" s="8">
        <v>7340289</v>
      </c>
      <c r="AF137" s="8">
        <v>16407624</v>
      </c>
      <c r="AG137" s="8">
        <f>SUM(AD137:AF137)</f>
        <v>25354518</v>
      </c>
      <c r="AH137" s="8">
        <v>500000</v>
      </c>
      <c r="AI137" s="21">
        <v>3750000</v>
      </c>
      <c r="AJ137" s="8">
        <v>0</v>
      </c>
      <c r="AK137" s="8">
        <f t="shared" si="167"/>
        <v>4250000</v>
      </c>
      <c r="AL137" s="5">
        <f t="shared" si="178"/>
        <v>29604518</v>
      </c>
      <c r="AM137" s="8">
        <v>1606605</v>
      </c>
      <c r="AN137" s="8">
        <v>7340289</v>
      </c>
      <c r="AO137" s="8">
        <v>16319075</v>
      </c>
      <c r="AP137" s="8">
        <f>SUM(AM137:AO137)</f>
        <v>25265969</v>
      </c>
      <c r="AQ137" s="8">
        <v>500000</v>
      </c>
      <c r="AR137" s="21">
        <v>3750000</v>
      </c>
      <c r="AS137" s="8">
        <v>0</v>
      </c>
      <c r="AT137" s="5">
        <f>AQ137+AR137+AS137</f>
        <v>4250000</v>
      </c>
      <c r="AU137" s="5">
        <f t="shared" si="106"/>
        <v>29515969</v>
      </c>
      <c r="AV137" s="8">
        <v>1606605</v>
      </c>
      <c r="AW137" s="8">
        <v>7340289</v>
      </c>
      <c r="AX137" s="8">
        <v>16319075</v>
      </c>
      <c r="AY137" s="8">
        <f>SUM(AV137:AX137)</f>
        <v>25265969</v>
      </c>
      <c r="AZ137" s="8">
        <v>500000</v>
      </c>
      <c r="BA137" s="21">
        <v>0</v>
      </c>
      <c r="BB137" s="8">
        <v>0</v>
      </c>
      <c r="BC137" s="5">
        <f t="shared" si="115"/>
        <v>500000</v>
      </c>
      <c r="BD137" s="5">
        <f t="shared" si="107"/>
        <v>25765969</v>
      </c>
    </row>
    <row r="138" spans="1:56" ht="33">
      <c r="A138" s="6" t="s">
        <v>17</v>
      </c>
      <c r="B138" s="7" t="s">
        <v>242</v>
      </c>
      <c r="C138" s="8">
        <v>28797</v>
      </c>
      <c r="D138" s="8"/>
      <c r="E138" s="8">
        <v>354352</v>
      </c>
      <c r="F138" s="8">
        <f>SUM(C138:E138)</f>
        <v>383149</v>
      </c>
      <c r="G138" s="8">
        <v>0</v>
      </c>
      <c r="H138" s="8">
        <v>0</v>
      </c>
      <c r="I138" s="8">
        <v>0</v>
      </c>
      <c r="J138" s="8">
        <f t="shared" si="175"/>
        <v>0</v>
      </c>
      <c r="K138" s="5">
        <f t="shared" si="162"/>
        <v>383149</v>
      </c>
      <c r="L138" s="8">
        <v>39271</v>
      </c>
      <c r="M138" s="8"/>
      <c r="N138" s="8">
        <v>354352</v>
      </c>
      <c r="O138" s="8">
        <f>SUM(L138:N138)</f>
        <v>393623</v>
      </c>
      <c r="P138" s="8"/>
      <c r="Q138" s="8"/>
      <c r="R138" s="8"/>
      <c r="S138" s="8">
        <f t="shared" si="176"/>
        <v>0</v>
      </c>
      <c r="T138" s="5">
        <f t="shared" si="164"/>
        <v>393623</v>
      </c>
      <c r="U138" s="8">
        <v>30609</v>
      </c>
      <c r="V138" s="8"/>
      <c r="W138" s="8">
        <v>354352</v>
      </c>
      <c r="X138" s="8">
        <f>SUM(U138:W138)</f>
        <v>384961</v>
      </c>
      <c r="Y138" s="8"/>
      <c r="Z138" s="8"/>
      <c r="AA138" s="8"/>
      <c r="AB138" s="8">
        <f t="shared" si="177"/>
        <v>0</v>
      </c>
      <c r="AC138" s="5">
        <f t="shared" si="166"/>
        <v>384961</v>
      </c>
      <c r="AD138" s="8">
        <v>32723</v>
      </c>
      <c r="AE138" s="8">
        <v>0</v>
      </c>
      <c r="AF138" s="8">
        <v>467277</v>
      </c>
      <c r="AG138" s="8">
        <f>SUM(AD138:AF138)</f>
        <v>500000</v>
      </c>
      <c r="AH138" s="8"/>
      <c r="AI138" s="21">
        <v>0</v>
      </c>
      <c r="AJ138" s="8">
        <v>0</v>
      </c>
      <c r="AK138" s="8">
        <f t="shared" si="167"/>
        <v>0</v>
      </c>
      <c r="AL138" s="5">
        <f t="shared" si="178"/>
        <v>500000</v>
      </c>
      <c r="AM138" s="8">
        <v>32723</v>
      </c>
      <c r="AN138" s="8">
        <v>0</v>
      </c>
      <c r="AO138" s="8">
        <v>467277</v>
      </c>
      <c r="AP138" s="8">
        <f>SUM(AM138:AO138)</f>
        <v>500000</v>
      </c>
      <c r="AQ138" s="8"/>
      <c r="AR138" s="21">
        <v>0</v>
      </c>
      <c r="AS138" s="8">
        <v>0</v>
      </c>
      <c r="AT138" s="5">
        <f>AQ138+AR138+AS138</f>
        <v>0</v>
      </c>
      <c r="AU138" s="5">
        <f t="shared" si="106"/>
        <v>500000</v>
      </c>
      <c r="AV138" s="8">
        <v>32723</v>
      </c>
      <c r="AW138" s="8">
        <v>0</v>
      </c>
      <c r="AX138" s="8">
        <v>467277</v>
      </c>
      <c r="AY138" s="8">
        <f>SUM(AV138:AX138)</f>
        <v>500000</v>
      </c>
      <c r="AZ138" s="8"/>
      <c r="BA138" s="21">
        <v>0</v>
      </c>
      <c r="BB138" s="8">
        <v>0</v>
      </c>
      <c r="BC138" s="5">
        <f t="shared" si="115"/>
        <v>0</v>
      </c>
      <c r="BD138" s="5">
        <f t="shared" si="107"/>
        <v>500000</v>
      </c>
    </row>
    <row r="139" spans="1:56" ht="49.5">
      <c r="A139" s="6" t="s">
        <v>239</v>
      </c>
      <c r="B139" s="7" t="s">
        <v>243</v>
      </c>
      <c r="C139" s="8">
        <v>57276882</v>
      </c>
      <c r="D139" s="8">
        <f>18051065+2281170</f>
        <v>20332235</v>
      </c>
      <c r="E139" s="8">
        <f>7309703+45317612</f>
        <v>52627315</v>
      </c>
      <c r="F139" s="8">
        <f>SUM(C139:E139)</f>
        <v>130236432</v>
      </c>
      <c r="G139" s="8">
        <v>30000000</v>
      </c>
      <c r="H139" s="8">
        <v>0</v>
      </c>
      <c r="I139" s="8">
        <v>0</v>
      </c>
      <c r="J139" s="8">
        <f t="shared" si="175"/>
        <v>30000000</v>
      </c>
      <c r="K139" s="5">
        <f t="shared" si="162"/>
        <v>160236432</v>
      </c>
      <c r="L139" s="8">
        <v>53594954</v>
      </c>
      <c r="M139" s="8">
        <v>15807147</v>
      </c>
      <c r="N139" s="8">
        <f>55552992-585000</f>
        <v>54967992</v>
      </c>
      <c r="O139" s="8">
        <f>SUM(L139:N139)</f>
        <v>124370093</v>
      </c>
      <c r="P139" s="8">
        <f>14687354-4043992</f>
        <v>10643362</v>
      </c>
      <c r="Q139" s="8"/>
      <c r="R139" s="8"/>
      <c r="S139" s="8">
        <f t="shared" si="176"/>
        <v>10643362</v>
      </c>
      <c r="T139" s="5">
        <f t="shared" si="164"/>
        <v>135013455</v>
      </c>
      <c r="U139" s="8">
        <v>51483059</v>
      </c>
      <c r="V139" s="8">
        <v>88536289</v>
      </c>
      <c r="W139" s="8">
        <v>125046778</v>
      </c>
      <c r="X139" s="8">
        <f>SUM(U139:W139)</f>
        <v>265066126</v>
      </c>
      <c r="Y139" s="8">
        <v>7300000</v>
      </c>
      <c r="Z139" s="8"/>
      <c r="AA139" s="8"/>
      <c r="AB139" s="8">
        <f t="shared" si="177"/>
        <v>7300000</v>
      </c>
      <c r="AC139" s="5">
        <f t="shared" si="166"/>
        <v>272366126</v>
      </c>
      <c r="AD139" s="8">
        <v>60049204</v>
      </c>
      <c r="AE139" s="8">
        <v>31194936</v>
      </c>
      <c r="AF139" s="8">
        <v>132985062</v>
      </c>
      <c r="AG139" s="8">
        <f>SUM(AD139:AF139)</f>
        <v>224229202</v>
      </c>
      <c r="AH139" s="8">
        <v>14145516</v>
      </c>
      <c r="AI139" s="21">
        <v>0</v>
      </c>
      <c r="AJ139" s="8">
        <v>0</v>
      </c>
      <c r="AK139" s="8">
        <f t="shared" si="167"/>
        <v>14145516</v>
      </c>
      <c r="AL139" s="5">
        <f t="shared" si="178"/>
        <v>238374718</v>
      </c>
      <c r="AM139" s="8">
        <v>60382204</v>
      </c>
      <c r="AN139" s="8">
        <v>50065355</v>
      </c>
      <c r="AO139" s="8">
        <v>116629983</v>
      </c>
      <c r="AP139" s="8">
        <f>SUM(AM139:AO139)</f>
        <v>227077542</v>
      </c>
      <c r="AQ139" s="8">
        <v>14606942</v>
      </c>
      <c r="AR139" s="21">
        <v>0</v>
      </c>
      <c r="AS139" s="8">
        <v>0</v>
      </c>
      <c r="AT139" s="8">
        <f>SUM(AQ139:AS139)</f>
        <v>14606942</v>
      </c>
      <c r="AU139" s="5">
        <f t="shared" si="106"/>
        <v>241684484</v>
      </c>
      <c r="AV139" s="8">
        <v>60382204</v>
      </c>
      <c r="AW139" s="8">
        <v>50065355</v>
      </c>
      <c r="AX139" s="8">
        <v>116629983</v>
      </c>
      <c r="AY139" s="8">
        <f>SUM(AV139:AX139)</f>
        <v>227077542</v>
      </c>
      <c r="AZ139" s="8">
        <v>14606942</v>
      </c>
      <c r="BA139" s="21">
        <v>0</v>
      </c>
      <c r="BB139" s="8">
        <v>0</v>
      </c>
      <c r="BC139" s="8">
        <f>SUM(AZ139:BB139)</f>
        <v>14606942</v>
      </c>
      <c r="BD139" s="5">
        <f t="shared" si="107"/>
        <v>241684484</v>
      </c>
    </row>
    <row r="140" spans="1:56" ht="99">
      <c r="A140" s="6" t="s">
        <v>244</v>
      </c>
      <c r="B140" s="7" t="s">
        <v>245</v>
      </c>
      <c r="C140" s="8">
        <v>0</v>
      </c>
      <c r="D140" s="8">
        <v>0</v>
      </c>
      <c r="E140" s="8">
        <v>6902000</v>
      </c>
      <c r="F140" s="8">
        <f>SUM(C140:E140)</f>
        <v>6902000</v>
      </c>
      <c r="G140" s="8">
        <v>3000000</v>
      </c>
      <c r="H140" s="8">
        <v>17300000</v>
      </c>
      <c r="I140" s="8">
        <v>0</v>
      </c>
      <c r="J140" s="8">
        <f t="shared" si="175"/>
        <v>20300000</v>
      </c>
      <c r="K140" s="5">
        <f>J140+F140</f>
        <v>27202000</v>
      </c>
      <c r="L140" s="8"/>
      <c r="M140" s="8"/>
      <c r="N140" s="8">
        <v>5302000</v>
      </c>
      <c r="O140" s="8">
        <f>L140+M140+N140</f>
        <v>5302000</v>
      </c>
      <c r="P140" s="8">
        <v>2000000</v>
      </c>
      <c r="Q140" s="8"/>
      <c r="R140" s="8">
        <f>16000000+3723727-57000</f>
        <v>19666727</v>
      </c>
      <c r="S140" s="8">
        <f t="shared" si="176"/>
        <v>21666727</v>
      </c>
      <c r="T140" s="5">
        <f t="shared" si="164"/>
        <v>26968727</v>
      </c>
      <c r="U140" s="8"/>
      <c r="V140" s="8"/>
      <c r="W140" s="8">
        <v>1500000</v>
      </c>
      <c r="X140" s="8">
        <f>U140+V140+W140</f>
        <v>1500000</v>
      </c>
      <c r="Y140" s="8">
        <v>3000000</v>
      </c>
      <c r="Z140" s="8"/>
      <c r="AA140" s="8">
        <v>12000000</v>
      </c>
      <c r="AB140" s="8">
        <f t="shared" si="177"/>
        <v>15000000</v>
      </c>
      <c r="AC140" s="5">
        <f t="shared" si="166"/>
        <v>16500000</v>
      </c>
      <c r="AD140" s="8"/>
      <c r="AE140" s="8"/>
      <c r="AF140" s="8">
        <v>3000000</v>
      </c>
      <c r="AG140" s="8">
        <f>AD140+AE140+AF140</f>
        <v>3000000</v>
      </c>
      <c r="AH140" s="8">
        <v>3000000</v>
      </c>
      <c r="AI140" s="21">
        <v>0</v>
      </c>
      <c r="AJ140" s="8">
        <v>11960000</v>
      </c>
      <c r="AK140" s="8">
        <f>SUM(AH140:AJ140)</f>
        <v>14960000</v>
      </c>
      <c r="AL140" s="5">
        <f t="shared" si="178"/>
        <v>17960000</v>
      </c>
      <c r="AM140" s="8"/>
      <c r="AN140" s="8"/>
      <c r="AO140" s="8">
        <v>1500000</v>
      </c>
      <c r="AP140" s="8">
        <f>AM140+AN140+AO140</f>
        <v>1500000</v>
      </c>
      <c r="AQ140" s="8">
        <v>2000000</v>
      </c>
      <c r="AR140" s="21">
        <v>0</v>
      </c>
      <c r="AS140" s="8">
        <v>13000000</v>
      </c>
      <c r="AT140" s="8">
        <f>SUM(AQ140:AS140)</f>
        <v>15000000</v>
      </c>
      <c r="AU140" s="5">
        <f t="shared" si="106"/>
        <v>16500000</v>
      </c>
      <c r="AV140" s="8"/>
      <c r="AW140" s="8"/>
      <c r="AX140" s="8">
        <v>1500000</v>
      </c>
      <c r="AY140" s="8">
        <f>AV140+AW140+AX140</f>
        <v>1500000</v>
      </c>
      <c r="AZ140" s="8">
        <v>2000000</v>
      </c>
      <c r="BA140" s="21">
        <v>0</v>
      </c>
      <c r="BB140" s="8">
        <v>13000000</v>
      </c>
      <c r="BC140" s="8">
        <f>SUM(AZ140:BB140)</f>
        <v>15000000</v>
      </c>
      <c r="BD140" s="5">
        <f t="shared" si="107"/>
        <v>16500000</v>
      </c>
    </row>
    <row r="141" spans="1:56" ht="33">
      <c r="A141" s="6" t="s">
        <v>246</v>
      </c>
      <c r="B141" s="7" t="s">
        <v>247</v>
      </c>
      <c r="C141" s="8">
        <v>0</v>
      </c>
      <c r="D141" s="8">
        <v>0</v>
      </c>
      <c r="E141" s="8">
        <v>0</v>
      </c>
      <c r="F141" s="8">
        <v>132900000</v>
      </c>
      <c r="G141" s="8">
        <v>0</v>
      </c>
      <c r="H141" s="8">
        <v>0</v>
      </c>
      <c r="I141" s="8">
        <v>0</v>
      </c>
      <c r="J141" s="8">
        <f t="shared" si="175"/>
        <v>0</v>
      </c>
      <c r="K141" s="5">
        <f>F141+J141</f>
        <v>132900000</v>
      </c>
      <c r="L141" s="8"/>
      <c r="M141" s="8"/>
      <c r="N141" s="8"/>
      <c r="O141" s="8">
        <v>153900000</v>
      </c>
      <c r="P141" s="8"/>
      <c r="Q141" s="8"/>
      <c r="R141" s="8"/>
      <c r="S141" s="8">
        <f t="shared" si="176"/>
        <v>0</v>
      </c>
      <c r="T141" s="5">
        <f t="shared" si="164"/>
        <v>153900000</v>
      </c>
      <c r="U141" s="8"/>
      <c r="V141" s="8"/>
      <c r="W141" s="8"/>
      <c r="X141" s="8">
        <v>189300000</v>
      </c>
      <c r="Y141" s="8"/>
      <c r="Z141" s="8"/>
      <c r="AA141" s="8"/>
      <c r="AB141" s="8">
        <f t="shared" si="177"/>
        <v>0</v>
      </c>
      <c r="AC141" s="5">
        <f t="shared" si="166"/>
        <v>189300000</v>
      </c>
      <c r="AD141" s="8"/>
      <c r="AE141" s="8"/>
      <c r="AF141" s="8"/>
      <c r="AG141" s="8">
        <v>220800000</v>
      </c>
      <c r="AH141" s="8"/>
      <c r="AI141" s="21">
        <v>0</v>
      </c>
      <c r="AJ141" s="8">
        <v>0</v>
      </c>
      <c r="AK141" s="8">
        <f t="shared" si="167"/>
        <v>0</v>
      </c>
      <c r="AL141" s="5">
        <f t="shared" si="178"/>
        <v>220800000</v>
      </c>
      <c r="AM141" s="8"/>
      <c r="AN141" s="8"/>
      <c r="AO141" s="8"/>
      <c r="AP141" s="8">
        <v>220800000</v>
      </c>
      <c r="AQ141" s="8"/>
      <c r="AR141" s="21">
        <v>0</v>
      </c>
      <c r="AS141" s="8">
        <v>0</v>
      </c>
      <c r="AT141" s="8">
        <f>SUM(AQ141:AS141)</f>
        <v>0</v>
      </c>
      <c r="AU141" s="5">
        <f t="shared" si="106"/>
        <v>220800000</v>
      </c>
      <c r="AV141" s="8"/>
      <c r="AW141" s="8"/>
      <c r="AX141" s="8"/>
      <c r="AY141" s="8">
        <v>220800000</v>
      </c>
      <c r="AZ141" s="8"/>
      <c r="BA141" s="21">
        <v>0</v>
      </c>
      <c r="BB141" s="8">
        <v>0</v>
      </c>
      <c r="BC141" s="8">
        <f>SUM(AZ141:BB141)</f>
        <v>0</v>
      </c>
      <c r="BD141" s="5">
        <f t="shared" si="107"/>
        <v>220800000</v>
      </c>
    </row>
    <row r="142" spans="1:56" ht="16.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5"/>
      <c r="L142" s="15"/>
      <c r="M142" s="15"/>
      <c r="N142" s="15"/>
      <c r="O142" s="15"/>
      <c r="P142" s="15"/>
      <c r="Q142" s="15"/>
      <c r="R142" s="15"/>
      <c r="S142" s="15"/>
      <c r="T142" s="5"/>
      <c r="U142" s="15"/>
      <c r="V142" s="15"/>
      <c r="W142" s="15"/>
      <c r="X142" s="15"/>
      <c r="Y142" s="15"/>
      <c r="Z142" s="15"/>
      <c r="AA142" s="15"/>
      <c r="AB142" s="15"/>
      <c r="AC142" s="5"/>
      <c r="AD142" s="15"/>
      <c r="AE142" s="15"/>
      <c r="AF142" s="15"/>
      <c r="AG142" s="15"/>
      <c r="AH142" s="15"/>
      <c r="AI142" s="15"/>
      <c r="AJ142" s="15"/>
      <c r="AK142" s="15"/>
      <c r="AL142" s="5">
        <f t="shared" si="178"/>
        <v>0</v>
      </c>
      <c r="AM142" s="15"/>
      <c r="AN142" s="15"/>
      <c r="AO142" s="15"/>
      <c r="AP142" s="15"/>
      <c r="AQ142" s="15"/>
      <c r="AR142" s="15"/>
      <c r="AS142" s="15"/>
      <c r="AT142" s="5"/>
      <c r="AU142" s="5"/>
      <c r="AV142" s="15"/>
      <c r="AW142" s="15"/>
      <c r="AX142" s="15"/>
      <c r="AY142" s="15"/>
      <c r="AZ142" s="15"/>
      <c r="BA142" s="15"/>
      <c r="BB142" s="15"/>
      <c r="BC142" s="5"/>
      <c r="BD142" s="5"/>
    </row>
    <row r="143" spans="1:56" ht="22.5" customHeight="1">
      <c r="A143" s="63" t="s">
        <v>248</v>
      </c>
      <c r="B143" s="63"/>
      <c r="C143" s="22">
        <f>C123+C125</f>
        <v>374076447</v>
      </c>
      <c r="D143" s="22">
        <f t="shared" ref="D143:J143" si="179">D123+D125</f>
        <v>101286797</v>
      </c>
      <c r="E143" s="22">
        <f t="shared" si="179"/>
        <v>272467472</v>
      </c>
      <c r="F143" s="22">
        <f t="shared" si="179"/>
        <v>880730716</v>
      </c>
      <c r="G143" s="22">
        <f t="shared" si="179"/>
        <v>283047208</v>
      </c>
      <c r="H143" s="22">
        <f t="shared" si="179"/>
        <v>83000000</v>
      </c>
      <c r="I143" s="22">
        <f t="shared" si="179"/>
        <v>161186545</v>
      </c>
      <c r="J143" s="22">
        <f t="shared" si="179"/>
        <v>536947318</v>
      </c>
      <c r="K143" s="18">
        <f>F143+J143</f>
        <v>1417678034</v>
      </c>
      <c r="L143" s="22">
        <f>L123+L125</f>
        <v>374900001</v>
      </c>
      <c r="M143" s="22">
        <f t="shared" ref="M143:S143" si="180">M123+M125</f>
        <v>95779000</v>
      </c>
      <c r="N143" s="22">
        <f t="shared" si="180"/>
        <v>290719000</v>
      </c>
      <c r="O143" s="22">
        <f t="shared" si="180"/>
        <v>915298001</v>
      </c>
      <c r="P143" s="22">
        <f t="shared" si="180"/>
        <v>210800000</v>
      </c>
      <c r="Q143" s="22">
        <f t="shared" si="180"/>
        <v>67522162</v>
      </c>
      <c r="R143" s="22">
        <f t="shared" si="180"/>
        <v>179420838</v>
      </c>
      <c r="S143" s="22">
        <f t="shared" si="180"/>
        <v>457743000</v>
      </c>
      <c r="T143" s="22">
        <f>O143+S143</f>
        <v>1373041001</v>
      </c>
      <c r="U143" s="22">
        <f>U123+U125</f>
        <v>393950000</v>
      </c>
      <c r="V143" s="22">
        <f t="shared" ref="V143:AB143" si="181">V123+V125</f>
        <v>188830000</v>
      </c>
      <c r="W143" s="22">
        <f t="shared" si="181"/>
        <v>354644000</v>
      </c>
      <c r="X143" s="22">
        <f t="shared" si="181"/>
        <v>1126724000</v>
      </c>
      <c r="Y143" s="22">
        <f t="shared" si="181"/>
        <v>324806000</v>
      </c>
      <c r="Z143" s="22">
        <f t="shared" si="181"/>
        <v>75978310</v>
      </c>
      <c r="AA143" s="22">
        <f t="shared" si="181"/>
        <v>170980690</v>
      </c>
      <c r="AB143" s="22">
        <f t="shared" si="181"/>
        <v>571765000</v>
      </c>
      <c r="AC143" s="22">
        <f>X143+AB143</f>
        <v>1698489000</v>
      </c>
      <c r="AD143" s="22">
        <f>AD123+AD125</f>
        <v>410927000</v>
      </c>
      <c r="AE143" s="22">
        <f t="shared" ref="AE143:AK143" si="182">AE123+AE125</f>
        <v>169100980</v>
      </c>
      <c r="AF143" s="22">
        <f t="shared" si="182"/>
        <v>367373627</v>
      </c>
      <c r="AG143" s="22">
        <f t="shared" si="182"/>
        <v>1168201607</v>
      </c>
      <c r="AH143" s="22">
        <f t="shared" si="182"/>
        <v>378802128</v>
      </c>
      <c r="AI143" s="22">
        <f t="shared" si="182"/>
        <v>79815918</v>
      </c>
      <c r="AJ143" s="22">
        <f t="shared" si="182"/>
        <v>153409477</v>
      </c>
      <c r="AK143" s="22">
        <f t="shared" si="182"/>
        <v>612027523</v>
      </c>
      <c r="AL143" s="5">
        <f t="shared" si="178"/>
        <v>1780229130</v>
      </c>
      <c r="AM143" s="22">
        <f>AM123+AM125</f>
        <v>410202792</v>
      </c>
      <c r="AN143" s="22">
        <f t="shared" ref="AN143:AS143" si="183">AN123+AN125</f>
        <v>174541090</v>
      </c>
      <c r="AO143" s="22">
        <f t="shared" si="183"/>
        <v>352712826</v>
      </c>
      <c r="AP143" s="22">
        <f t="shared" si="183"/>
        <v>1157216708</v>
      </c>
      <c r="AQ143" s="22">
        <f t="shared" si="183"/>
        <v>300714772</v>
      </c>
      <c r="AR143" s="22">
        <f t="shared" si="183"/>
        <v>80861562</v>
      </c>
      <c r="AS143" s="22">
        <f t="shared" si="183"/>
        <v>157009514</v>
      </c>
      <c r="AT143" s="22">
        <f>AQ143+AR143+AS143</f>
        <v>538585848</v>
      </c>
      <c r="AU143" s="22">
        <f t="shared" si="106"/>
        <v>1695802556</v>
      </c>
      <c r="AV143" s="22">
        <f>AV123+AV125</f>
        <v>410191019</v>
      </c>
      <c r="AW143" s="22">
        <f t="shared" ref="AW143:BB143" si="184">AW123+AW125</f>
        <v>175543781</v>
      </c>
      <c r="AX143" s="22">
        <f t="shared" si="184"/>
        <v>352636760</v>
      </c>
      <c r="AY143" s="22">
        <f t="shared" si="184"/>
        <v>1157704541</v>
      </c>
      <c r="AZ143" s="22">
        <f t="shared" si="184"/>
        <v>294123769</v>
      </c>
      <c r="BA143" s="22">
        <f t="shared" si="184"/>
        <v>71478028</v>
      </c>
      <c r="BB143" s="22">
        <f t="shared" si="184"/>
        <v>139610374</v>
      </c>
      <c r="BC143" s="22">
        <f t="shared" si="115"/>
        <v>505212171</v>
      </c>
      <c r="BD143" s="22">
        <f t="shared" si="107"/>
        <v>1662916712</v>
      </c>
    </row>
    <row r="144" spans="1:56" ht="22.5" customHeight="1">
      <c r="A144" s="36" t="s">
        <v>19</v>
      </c>
      <c r="B144" s="8" t="s">
        <v>249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/>
      <c r="K144" s="8">
        <v>456600000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504502000</v>
      </c>
      <c r="U144" s="8"/>
      <c r="V144" s="8"/>
      <c r="W144" s="8"/>
      <c r="X144" s="8"/>
      <c r="Y144" s="8"/>
      <c r="Z144" s="8"/>
      <c r="AA144" s="8"/>
      <c r="AB144" s="8"/>
      <c r="AC144" s="8">
        <v>468610000</v>
      </c>
      <c r="AD144" s="8"/>
      <c r="AE144" s="8"/>
      <c r="AF144" s="8"/>
      <c r="AG144" s="8">
        <v>671962632</v>
      </c>
      <c r="AH144" s="8"/>
      <c r="AI144" s="8"/>
      <c r="AJ144" s="8"/>
      <c r="AK144" s="8"/>
      <c r="AL144" s="5">
        <f t="shared" si="178"/>
        <v>671962632</v>
      </c>
      <c r="AM144" s="8"/>
      <c r="AN144" s="8"/>
      <c r="AO144" s="8"/>
      <c r="AP144" s="8"/>
      <c r="AQ144" s="8"/>
      <c r="AR144" s="8"/>
      <c r="AS144" s="8"/>
      <c r="AT144" s="8"/>
      <c r="AU144" s="8">
        <v>671963000</v>
      </c>
      <c r="AV144" s="8"/>
      <c r="AW144" s="8"/>
      <c r="AX144" s="8"/>
      <c r="AY144" s="8">
        <v>671963000</v>
      </c>
      <c r="AZ144" s="8"/>
      <c r="BA144" s="8"/>
      <c r="BB144" s="8"/>
      <c r="BC144" s="8"/>
      <c r="BD144" s="22">
        <f t="shared" si="107"/>
        <v>671963000</v>
      </c>
    </row>
    <row r="145" spans="1:56" ht="16.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5"/>
      <c r="L145" s="15"/>
      <c r="M145" s="15"/>
      <c r="N145" s="15"/>
      <c r="O145" s="15"/>
      <c r="P145" s="15"/>
      <c r="Q145" s="15"/>
      <c r="R145" s="15"/>
      <c r="S145" s="15"/>
      <c r="T145" s="5"/>
      <c r="U145" s="15"/>
      <c r="V145" s="15"/>
      <c r="W145" s="15"/>
      <c r="X145" s="15"/>
      <c r="Y145" s="15"/>
      <c r="Z145" s="15"/>
      <c r="AA145" s="15"/>
      <c r="AB145" s="15"/>
      <c r="AC145" s="5"/>
      <c r="AD145" s="15"/>
      <c r="AE145" s="15"/>
      <c r="AF145" s="15"/>
      <c r="AG145" s="15"/>
      <c r="AH145" s="15"/>
      <c r="AI145" s="15"/>
      <c r="AJ145" s="15"/>
      <c r="AK145" s="15"/>
      <c r="AL145" s="5">
        <f t="shared" si="178"/>
        <v>0</v>
      </c>
      <c r="AM145" s="15"/>
      <c r="AN145" s="15"/>
      <c r="AO145" s="15"/>
      <c r="AP145" s="15"/>
      <c r="AQ145" s="15"/>
      <c r="AR145" s="15"/>
      <c r="AS145" s="15"/>
      <c r="AT145" s="15"/>
      <c r="AU145" s="5"/>
      <c r="AV145" s="15"/>
      <c r="AW145" s="15"/>
      <c r="AX145" s="15"/>
      <c r="AY145" s="15"/>
      <c r="AZ145" s="15"/>
      <c r="BA145" s="15"/>
      <c r="BB145" s="15"/>
      <c r="BC145" s="37"/>
      <c r="BD145" s="5"/>
    </row>
    <row r="146" spans="1:56" ht="16.5">
      <c r="A146" s="39"/>
      <c r="B146" s="39" t="s">
        <v>250</v>
      </c>
      <c r="C146" s="39">
        <f>C143+C144</f>
        <v>374076447</v>
      </c>
      <c r="D146" s="39">
        <f>D144+D143</f>
        <v>101286797</v>
      </c>
      <c r="E146" s="39">
        <f t="shared" ref="E146:BD146" si="185">E144+E143</f>
        <v>272467472</v>
      </c>
      <c r="F146" s="39">
        <f t="shared" si="185"/>
        <v>880730716</v>
      </c>
      <c r="G146" s="39">
        <f t="shared" si="185"/>
        <v>283047208</v>
      </c>
      <c r="H146" s="39">
        <f t="shared" si="185"/>
        <v>83000000</v>
      </c>
      <c r="I146" s="39">
        <f t="shared" si="185"/>
        <v>161186545</v>
      </c>
      <c r="J146" s="39">
        <f t="shared" si="185"/>
        <v>536947318</v>
      </c>
      <c r="K146" s="39">
        <f t="shared" si="185"/>
        <v>1874278034</v>
      </c>
      <c r="L146" s="39">
        <f t="shared" si="185"/>
        <v>374900001</v>
      </c>
      <c r="M146" s="39">
        <f t="shared" si="185"/>
        <v>95779000</v>
      </c>
      <c r="N146" s="39">
        <f t="shared" si="185"/>
        <v>290719000</v>
      </c>
      <c r="O146" s="39">
        <f t="shared" si="185"/>
        <v>915298001</v>
      </c>
      <c r="P146" s="39">
        <f t="shared" si="185"/>
        <v>210800000</v>
      </c>
      <c r="Q146" s="39">
        <f t="shared" si="185"/>
        <v>67522162</v>
      </c>
      <c r="R146" s="39">
        <f t="shared" si="185"/>
        <v>179420838</v>
      </c>
      <c r="S146" s="39">
        <f t="shared" si="185"/>
        <v>457743000</v>
      </c>
      <c r="T146" s="39">
        <f t="shared" si="185"/>
        <v>1877543001</v>
      </c>
      <c r="U146" s="39">
        <f t="shared" si="185"/>
        <v>393950000</v>
      </c>
      <c r="V146" s="39">
        <f t="shared" si="185"/>
        <v>188830000</v>
      </c>
      <c r="W146" s="39">
        <f t="shared" si="185"/>
        <v>354644000</v>
      </c>
      <c r="X146" s="39">
        <f t="shared" si="185"/>
        <v>1126724000</v>
      </c>
      <c r="Y146" s="39">
        <f t="shared" si="185"/>
        <v>324806000</v>
      </c>
      <c r="Z146" s="39">
        <f t="shared" si="185"/>
        <v>75978310</v>
      </c>
      <c r="AA146" s="39">
        <f t="shared" si="185"/>
        <v>170980690</v>
      </c>
      <c r="AB146" s="39">
        <f t="shared" si="185"/>
        <v>571765000</v>
      </c>
      <c r="AC146" s="39">
        <f t="shared" si="185"/>
        <v>2167099000</v>
      </c>
      <c r="AD146" s="39">
        <f t="shared" si="185"/>
        <v>410927000</v>
      </c>
      <c r="AE146" s="39">
        <f t="shared" si="185"/>
        <v>169100980</v>
      </c>
      <c r="AF146" s="39">
        <f t="shared" si="185"/>
        <v>367373627</v>
      </c>
      <c r="AG146" s="39">
        <f t="shared" si="185"/>
        <v>1840164239</v>
      </c>
      <c r="AH146" s="39">
        <f t="shared" si="185"/>
        <v>378802128</v>
      </c>
      <c r="AI146" s="39">
        <f t="shared" si="185"/>
        <v>79815918</v>
      </c>
      <c r="AJ146" s="39">
        <f t="shared" si="185"/>
        <v>153409477</v>
      </c>
      <c r="AK146" s="39">
        <f t="shared" si="185"/>
        <v>612027523</v>
      </c>
      <c r="AL146" s="5">
        <f t="shared" si="178"/>
        <v>2452191762</v>
      </c>
      <c r="AM146" s="39">
        <f t="shared" si="185"/>
        <v>410202792</v>
      </c>
      <c r="AN146" s="39">
        <f t="shared" si="185"/>
        <v>174541090</v>
      </c>
      <c r="AO146" s="39">
        <f t="shared" si="185"/>
        <v>352712826</v>
      </c>
      <c r="AP146" s="39">
        <f t="shared" si="185"/>
        <v>1157216708</v>
      </c>
      <c r="AQ146" s="39">
        <f t="shared" si="185"/>
        <v>300714772</v>
      </c>
      <c r="AR146" s="39">
        <f t="shared" si="185"/>
        <v>80861562</v>
      </c>
      <c r="AS146" s="39">
        <f t="shared" si="185"/>
        <v>157009514</v>
      </c>
      <c r="AT146" s="39">
        <f t="shared" si="185"/>
        <v>538585848</v>
      </c>
      <c r="AU146" s="39">
        <f t="shared" si="185"/>
        <v>2367765556</v>
      </c>
      <c r="AV146" s="39">
        <f t="shared" si="185"/>
        <v>410191019</v>
      </c>
      <c r="AW146" s="39">
        <f t="shared" si="185"/>
        <v>175543781</v>
      </c>
      <c r="AX146" s="39">
        <f t="shared" si="185"/>
        <v>352636760</v>
      </c>
      <c r="AY146" s="39">
        <f t="shared" si="185"/>
        <v>1829667541</v>
      </c>
      <c r="AZ146" s="39">
        <f t="shared" si="185"/>
        <v>294123769</v>
      </c>
      <c r="BA146" s="39">
        <f t="shared" si="185"/>
        <v>71478028</v>
      </c>
      <c r="BB146" s="39">
        <f t="shared" si="185"/>
        <v>139610374</v>
      </c>
      <c r="BC146" s="39">
        <f t="shared" si="185"/>
        <v>505212171</v>
      </c>
      <c r="BD146" s="39">
        <f t="shared" si="185"/>
        <v>2334879712</v>
      </c>
    </row>
    <row r="147" spans="1:56">
      <c r="F147" s="31"/>
      <c r="G147" s="31"/>
      <c r="H147" s="31"/>
      <c r="AZ147" s="31"/>
    </row>
    <row r="148" spans="1:56">
      <c r="AW148" s="31"/>
      <c r="AX148" s="31"/>
      <c r="BA148" s="31"/>
    </row>
    <row r="149" spans="1:56">
      <c r="AV149" s="31"/>
      <c r="AW149" s="31"/>
      <c r="AX149" s="31"/>
      <c r="AZ149" s="31"/>
    </row>
    <row r="150" spans="1:56">
      <c r="AI150" s="31"/>
      <c r="AL150" s="31"/>
      <c r="AN150" s="31"/>
      <c r="AO150" s="31"/>
      <c r="AQ150" s="31"/>
      <c r="AZ150" s="31"/>
      <c r="BA150" s="31"/>
    </row>
    <row r="151" spans="1:56">
      <c r="AD151" s="31"/>
      <c r="AE151" s="31"/>
      <c r="AF151" s="31"/>
      <c r="AI151" s="31"/>
      <c r="AK151" s="31"/>
      <c r="AR151" s="31"/>
      <c r="AS151" s="31"/>
      <c r="AY151" s="31"/>
    </row>
    <row r="152" spans="1:56">
      <c r="AM152" s="31"/>
      <c r="BA152" s="31"/>
    </row>
    <row r="153" spans="1:56">
      <c r="BA153" s="31"/>
    </row>
    <row r="156" spans="1:56">
      <c r="AF156" s="31"/>
      <c r="AK156" s="31"/>
      <c r="BD156" s="31"/>
    </row>
    <row r="157" spans="1:56">
      <c r="AM157" s="31"/>
      <c r="AW157" s="38"/>
    </row>
    <row r="158" spans="1:56">
      <c r="AO158" s="31"/>
      <c r="AS158" s="31"/>
      <c r="BA158" s="31"/>
    </row>
    <row r="161" spans="39:51">
      <c r="AY161" s="31"/>
    </row>
    <row r="163" spans="39:51">
      <c r="AV163" s="31"/>
    </row>
    <row r="168" spans="39:51">
      <c r="AM168" s="31"/>
    </row>
    <row r="170" spans="39:51">
      <c r="AQ170" s="31"/>
    </row>
    <row r="172" spans="39:51">
      <c r="AO172" s="31"/>
    </row>
  </sheetData>
  <sheetProtection algorithmName="SHA-512" hashValue="j5N9QejUCQ5lJJRClTizP0uywC7bZjj7mxcOVhGFK7yzXwU6bwK55PVD3sEofGaEW72pCzNJZe6QIIr0I8YmIA==" saltValue="j4x9xVnmYuhNRr0yhLqXxQ==" spinCount="100000" sheet="1" objects="1" scenarios="1"/>
  <mergeCells count="57">
    <mergeCell ref="A118:B118"/>
    <mergeCell ref="G118:H118"/>
    <mergeCell ref="BA3:BC3"/>
    <mergeCell ref="V2:Z2"/>
    <mergeCell ref="AY4:AZ4"/>
    <mergeCell ref="Q4:T4"/>
    <mergeCell ref="H4:K4"/>
    <mergeCell ref="Z4:AC4"/>
    <mergeCell ref="AI4:AL4"/>
    <mergeCell ref="AP4:AQ4"/>
    <mergeCell ref="A7:B7"/>
    <mergeCell ref="A11:B11"/>
    <mergeCell ref="A17:B17"/>
    <mergeCell ref="A22:B22"/>
    <mergeCell ref="A85:B85"/>
    <mergeCell ref="A28:B28"/>
    <mergeCell ref="A123:B123"/>
    <mergeCell ref="A125:B125"/>
    <mergeCell ref="A143:B143"/>
    <mergeCell ref="L5:O5"/>
    <mergeCell ref="P5:S5"/>
    <mergeCell ref="A88:B88"/>
    <mergeCell ref="A94:B94"/>
    <mergeCell ref="A100:B100"/>
    <mergeCell ref="A105:B105"/>
    <mergeCell ref="A109:B109"/>
    <mergeCell ref="A114:B114"/>
    <mergeCell ref="A57:B57"/>
    <mergeCell ref="A62:B62"/>
    <mergeCell ref="A66:B66"/>
    <mergeCell ref="A74:B74"/>
    <mergeCell ref="A80:B80"/>
    <mergeCell ref="AZ5:BD5"/>
    <mergeCell ref="F4:G4"/>
    <mergeCell ref="O4:P4"/>
    <mergeCell ref="X4:Y4"/>
    <mergeCell ref="AG4:AH4"/>
    <mergeCell ref="AM5:AP5"/>
    <mergeCell ref="AQ5:AT5"/>
    <mergeCell ref="AD5:AG5"/>
    <mergeCell ref="AH5:AK5"/>
    <mergeCell ref="U5:X5"/>
    <mergeCell ref="Y5:AB5"/>
    <mergeCell ref="C5:F5"/>
    <mergeCell ref="G5:J5"/>
    <mergeCell ref="AR4:AU4"/>
    <mergeCell ref="BA4:BD4"/>
    <mergeCell ref="A71:B71"/>
    <mergeCell ref="C71:D71"/>
    <mergeCell ref="E71:F71"/>
    <mergeCell ref="G71:H71"/>
    <mergeCell ref="AV5:AY5"/>
    <mergeCell ref="A34:B34"/>
    <mergeCell ref="A39:B39"/>
    <mergeCell ref="A44:B44"/>
    <mergeCell ref="A48:B48"/>
    <mergeCell ref="A52:B5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6B2CE-5191-4060-8EA2-FE87A4ED0C4E}"/>
</file>

<file path=customXml/itemProps2.xml><?xml version="1.0" encoding="utf-8"?>
<ds:datastoreItem xmlns:ds="http://schemas.openxmlformats.org/officeDocument/2006/customXml" ds:itemID="{32367731-E5AC-4F15-BB26-69AD3C973F21}"/>
</file>

<file path=customXml/itemProps3.xml><?xml version="1.0" encoding="utf-8"?>
<ds:datastoreItem xmlns:ds="http://schemas.openxmlformats.org/officeDocument/2006/customXml" ds:itemID="{4CF4BA29-AC9B-4D45-BB3D-C71254B97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Julio Cesar Mieses Ramirez</cp:lastModifiedBy>
  <cp:revision/>
  <dcterms:created xsi:type="dcterms:W3CDTF">2018-12-01T18:50:14Z</dcterms:created>
  <dcterms:modified xsi:type="dcterms:W3CDTF">2023-01-09T18:15:25Z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