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8_{250507FE-8E37-BB4F-899A-F33280E6E866}" xr6:coauthVersionLast="47" xr6:coauthVersionMax="47" xr10:uidLastSave="{00000000-0000-0000-0000-000000000000}"/>
  <bookViews>
    <workbookView xWindow="0" yWindow="500" windowWidth="28800" windowHeight="15840" tabRatio="610" xr2:uid="{00000000-000D-0000-FFFF-FFFF00000000}"/>
  </bookViews>
  <sheets>
    <sheet name="Classif Prog-Admin-Eco" sheetId="1" r:id="rId1"/>
    <sheet name="Classif Fonctionnelle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Titles" localSheetId="1">'Classif Fonctionnelle'!$7:$7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25" i="1" l="1"/>
  <c r="AI125" i="1"/>
  <c r="AJ125" i="1"/>
  <c r="AK125" i="1"/>
  <c r="AG125" i="1"/>
  <c r="AG141" i="1"/>
  <c r="T149" i="1" l="1"/>
  <c r="U41" i="4"/>
  <c r="AJ37" i="4"/>
  <c r="AE19" i="4"/>
  <c r="AD19" i="4"/>
  <c r="AC19" i="4"/>
  <c r="AB19" i="4"/>
  <c r="K19" i="4"/>
  <c r="J19" i="4"/>
  <c r="I19" i="4"/>
  <c r="H19" i="4"/>
  <c r="G19" i="4"/>
  <c r="AT17" i="4"/>
  <c r="AS17" i="4"/>
  <c r="AR17" i="4"/>
  <c r="AQ17" i="4"/>
  <c r="AU17" i="4" s="1"/>
  <c r="AM17" i="4"/>
  <c r="AL17" i="4"/>
  <c r="AK17" i="4"/>
  <c r="AJ17" i="4"/>
  <c r="AI17" i="4"/>
  <c r="AN17" i="4" s="1"/>
  <c r="AE17" i="4"/>
  <c r="AG17" i="4" s="1"/>
  <c r="W17" i="4"/>
  <c r="Z17" i="4" s="1"/>
  <c r="Q17" i="4"/>
  <c r="P17" i="4"/>
  <c r="O17" i="4"/>
  <c r="N17" i="4"/>
  <c r="L17" i="4"/>
  <c r="AT16" i="4"/>
  <c r="AS16" i="4"/>
  <c r="AR16" i="4"/>
  <c r="AQ16" i="4"/>
  <c r="AL16" i="4"/>
  <c r="AK16" i="4"/>
  <c r="AJ16" i="4"/>
  <c r="AI16" i="4"/>
  <c r="AF16" i="4"/>
  <c r="AG16" i="4" s="1"/>
  <c r="Z16" i="4"/>
  <c r="Y16" i="4"/>
  <c r="R16" i="4"/>
  <c r="Q16" i="4"/>
  <c r="P16" i="4"/>
  <c r="O16" i="4"/>
  <c r="N16" i="4"/>
  <c r="L16" i="4"/>
  <c r="AT15" i="4"/>
  <c r="AS15" i="4"/>
  <c r="AR15" i="4"/>
  <c r="AQ15" i="4"/>
  <c r="AU15" i="4" s="1"/>
  <c r="AM15" i="4"/>
  <c r="AL15" i="4"/>
  <c r="AK15" i="4"/>
  <c r="AJ15" i="4"/>
  <c r="AI15" i="4"/>
  <c r="AF15" i="4"/>
  <c r="AG15" i="4" s="1"/>
  <c r="Y15" i="4"/>
  <c r="X15" i="4"/>
  <c r="W15" i="4"/>
  <c r="V15" i="4"/>
  <c r="U15" i="4"/>
  <c r="Z15" i="4" s="1"/>
  <c r="R15" i="4"/>
  <c r="Q15" i="4"/>
  <c r="P15" i="4"/>
  <c r="O15" i="4"/>
  <c r="N15" i="4"/>
  <c r="S15" i="4" s="1"/>
  <c r="L15" i="4"/>
  <c r="AT14" i="4"/>
  <c r="AS14" i="4"/>
  <c r="AR14" i="4"/>
  <c r="AQ14" i="4"/>
  <c r="AP14" i="4"/>
  <c r="AM14" i="4"/>
  <c r="AL14" i="4"/>
  <c r="AK14" i="4"/>
  <c r="AN14" i="4" s="1"/>
  <c r="AJ14" i="4"/>
  <c r="AI14" i="4"/>
  <c r="AF14" i="4"/>
  <c r="AG14" i="4" s="1"/>
  <c r="Z14" i="4"/>
  <c r="S14" i="4"/>
  <c r="L14" i="4"/>
  <c r="AU13" i="4"/>
  <c r="AT13" i="4"/>
  <c r="AS13" i="4"/>
  <c r="AR13" i="4"/>
  <c r="AQ13" i="4"/>
  <c r="AP13" i="4"/>
  <c r="AM13" i="4"/>
  <c r="AL13" i="4"/>
  <c r="AK13" i="4"/>
  <c r="AJ13" i="4"/>
  <c r="AI13" i="4"/>
  <c r="AF13" i="4"/>
  <c r="AG13" i="4" s="1"/>
  <c r="Y13" i="4"/>
  <c r="X13" i="4"/>
  <c r="W13" i="4"/>
  <c r="V13" i="4"/>
  <c r="U13" i="4"/>
  <c r="R13" i="4"/>
  <c r="Q13" i="4"/>
  <c r="P13" i="4"/>
  <c r="O13" i="4"/>
  <c r="N13" i="4"/>
  <c r="L13" i="4"/>
  <c r="AT12" i="4"/>
  <c r="AS12" i="4"/>
  <c r="AR12" i="4"/>
  <c r="AQ12" i="4"/>
  <c r="AP12" i="4"/>
  <c r="AM12" i="4"/>
  <c r="AL12" i="4"/>
  <c r="AK12" i="4"/>
  <c r="AJ12" i="4"/>
  <c r="AI12" i="4"/>
  <c r="AF12" i="4"/>
  <c r="AG12" i="4" s="1"/>
  <c r="Y12" i="4"/>
  <c r="X12" i="4"/>
  <c r="W12" i="4"/>
  <c r="V12" i="4"/>
  <c r="U12" i="4"/>
  <c r="R12" i="4"/>
  <c r="Q12" i="4"/>
  <c r="P12" i="4"/>
  <c r="O12" i="4"/>
  <c r="N12" i="4"/>
  <c r="L12" i="4"/>
  <c r="AS11" i="4"/>
  <c r="AR11" i="4"/>
  <c r="AQ11" i="4"/>
  <c r="AK11" i="4"/>
  <c r="AJ11" i="4"/>
  <c r="AI11" i="4"/>
  <c r="AF11" i="4"/>
  <c r="AG11" i="4" s="1"/>
  <c r="Y11" i="4"/>
  <c r="X11" i="4"/>
  <c r="W11" i="4"/>
  <c r="V11" i="4"/>
  <c r="Z11" i="4" s="1"/>
  <c r="U11" i="4"/>
  <c r="R11" i="4"/>
  <c r="Q11" i="4"/>
  <c r="P11" i="4"/>
  <c r="O11" i="4"/>
  <c r="S11" i="4" s="1"/>
  <c r="N11" i="4"/>
  <c r="L11" i="4"/>
  <c r="AT10" i="4"/>
  <c r="AS10" i="4"/>
  <c r="AR10" i="4"/>
  <c r="AQ10" i="4"/>
  <c r="AU10" i="4" s="1"/>
  <c r="AP10" i="4"/>
  <c r="AM10" i="4"/>
  <c r="AL10" i="4"/>
  <c r="AN10" i="4" s="1"/>
  <c r="AK10" i="4"/>
  <c r="AJ10" i="4"/>
  <c r="AI10" i="4"/>
  <c r="AF10" i="4"/>
  <c r="AG10" i="4" s="1"/>
  <c r="X10" i="4"/>
  <c r="W10" i="4"/>
  <c r="V10" i="4"/>
  <c r="U10" i="4"/>
  <c r="R10" i="4"/>
  <c r="Q10" i="4"/>
  <c r="P10" i="4"/>
  <c r="O10" i="4"/>
  <c r="N10" i="4"/>
  <c r="S10" i="4" s="1"/>
  <c r="L10" i="4"/>
  <c r="AR9" i="4"/>
  <c r="AR19" i="4" s="1"/>
  <c r="AQ9" i="4"/>
  <c r="AL9" i="4"/>
  <c r="AK9" i="4"/>
  <c r="AJ9" i="4"/>
  <c r="AI9" i="4"/>
  <c r="AI19" i="4" s="1"/>
  <c r="AF9" i="4"/>
  <c r="AG9" i="4" s="1"/>
  <c r="V9" i="4"/>
  <c r="Z9" i="4" s="1"/>
  <c r="S9" i="4"/>
  <c r="L9" i="4"/>
  <c r="AT8" i="4"/>
  <c r="AS8" i="4"/>
  <c r="AS19" i="4" s="1"/>
  <c r="AM8" i="4"/>
  <c r="AL8" i="4"/>
  <c r="AL19" i="4" s="1"/>
  <c r="AF8" i="4"/>
  <c r="AG8" i="4" s="1"/>
  <c r="Y8" i="4"/>
  <c r="X8" i="4"/>
  <c r="W8" i="4"/>
  <c r="W19" i="4" s="1"/>
  <c r="V8" i="4"/>
  <c r="U8" i="4"/>
  <c r="R8" i="4"/>
  <c r="Q8" i="4"/>
  <c r="P8" i="4"/>
  <c r="O8" i="4"/>
  <c r="N8" i="4"/>
  <c r="L8" i="4"/>
  <c r="AN16" i="4" l="1"/>
  <c r="AU16" i="4"/>
  <c r="U19" i="4"/>
  <c r="L19" i="4"/>
  <c r="AK19" i="4"/>
  <c r="AU12" i="4"/>
  <c r="AU14" i="4"/>
  <c r="X19" i="4"/>
  <c r="Z12" i="4"/>
  <c r="O19" i="4"/>
  <c r="Y19" i="4"/>
  <c r="AN9" i="4"/>
  <c r="AN11" i="4"/>
  <c r="AN13" i="4"/>
  <c r="S8" i="4"/>
  <c r="S19" i="4" s="1"/>
  <c r="AU8" i="4"/>
  <c r="S12" i="4"/>
  <c r="N19" i="4"/>
  <c r="Q19" i="4"/>
  <c r="P19" i="4"/>
  <c r="AU9" i="4"/>
  <c r="AN12" i="4"/>
  <c r="Z13" i="4"/>
  <c r="AN15" i="4"/>
  <c r="Z10" i="4"/>
  <c r="S17" i="4"/>
  <c r="AU11" i="4"/>
  <c r="S13" i="4"/>
  <c r="V19" i="4"/>
  <c r="AT19" i="4"/>
  <c r="AJ19" i="4"/>
  <c r="AP19" i="4"/>
  <c r="AM19" i="4"/>
  <c r="S16" i="4"/>
  <c r="AA12" i="4"/>
  <c r="AA9" i="4"/>
  <c r="AA17" i="4"/>
  <c r="AG19" i="4"/>
  <c r="AA14" i="4" s="1"/>
  <c r="AA11" i="4"/>
  <c r="AA15" i="4"/>
  <c r="AA13" i="4"/>
  <c r="AF19" i="4"/>
  <c r="Z8" i="4"/>
  <c r="R19" i="4"/>
  <c r="AN8" i="4"/>
  <c r="AQ19" i="4"/>
  <c r="M12" i="4" l="1"/>
  <c r="M9" i="4"/>
  <c r="M10" i="4"/>
  <c r="M17" i="4"/>
  <c r="M8" i="4"/>
  <c r="M11" i="4"/>
  <c r="AV14" i="4"/>
  <c r="AU19" i="4"/>
  <c r="AV9" i="4"/>
  <c r="AO14" i="4"/>
  <c r="AO16" i="4"/>
  <c r="AO11" i="4"/>
  <c r="AV16" i="4"/>
  <c r="AV15" i="4"/>
  <c r="AV12" i="4"/>
  <c r="AO10" i="4"/>
  <c r="AO9" i="4"/>
  <c r="AN19" i="4"/>
  <c r="AO8" i="4"/>
  <c r="AV11" i="4"/>
  <c r="M14" i="4"/>
  <c r="M13" i="4"/>
  <c r="M16" i="4"/>
  <c r="M15" i="4"/>
  <c r="Z19" i="4"/>
  <c r="AA8" i="4"/>
  <c r="AA10" i="4"/>
  <c r="AO17" i="4" l="1"/>
  <c r="AV17" i="4"/>
  <c r="AV13" i="4"/>
  <c r="AO15" i="4"/>
  <c r="AV10" i="4"/>
  <c r="AO13" i="4"/>
  <c r="AO12" i="4"/>
  <c r="AV8" i="4"/>
  <c r="T8" i="4"/>
  <c r="T14" i="4"/>
  <c r="T12" i="4"/>
  <c r="T11" i="4"/>
  <c r="T13" i="4"/>
  <c r="T17" i="4"/>
  <c r="T16" i="4"/>
  <c r="T15" i="4"/>
  <c r="T9" i="4"/>
  <c r="T10" i="4"/>
  <c r="AH14" i="4"/>
  <c r="AH9" i="4"/>
  <c r="AH10" i="4"/>
  <c r="AH8" i="4"/>
  <c r="AH13" i="4"/>
  <c r="AH17" i="4"/>
  <c r="AH12" i="4"/>
  <c r="AH16" i="4"/>
  <c r="AH15" i="4"/>
  <c r="AH11" i="4"/>
  <c r="AK142" i="1" l="1"/>
  <c r="AG142" i="1"/>
  <c r="AK141" i="1"/>
  <c r="AK140" i="1"/>
  <c r="AD140" i="1"/>
  <c r="AG140" i="1" s="1"/>
  <c r="AK139" i="1"/>
  <c r="AG139" i="1"/>
  <c r="AK138" i="1"/>
  <c r="AG138" i="1"/>
  <c r="AK137" i="1"/>
  <c r="AG137" i="1"/>
  <c r="AG136" i="1"/>
  <c r="AG135" i="1"/>
  <c r="AK134" i="1"/>
  <c r="AG134" i="1"/>
  <c r="AK133" i="1"/>
  <c r="AG133" i="1"/>
  <c r="AK132" i="1"/>
  <c r="AG132" i="1"/>
  <c r="AK131" i="1"/>
  <c r="AG131" i="1"/>
  <c r="AK130" i="1"/>
  <c r="AG130" i="1"/>
  <c r="AK129" i="1"/>
  <c r="AG129" i="1"/>
  <c r="AK128" i="1"/>
  <c r="AG128" i="1"/>
  <c r="AK127" i="1"/>
  <c r="AG127" i="1"/>
  <c r="AK69" i="1" l="1"/>
  <c r="AG43" i="1"/>
  <c r="BC142" i="1" l="1"/>
  <c r="AY142" i="1"/>
  <c r="BC141" i="1"/>
  <c r="AY141" i="1"/>
  <c r="BC140" i="1"/>
  <c r="AX140" i="1"/>
  <c r="AW140" i="1"/>
  <c r="AV140" i="1"/>
  <c r="AY140" i="1" s="1"/>
  <c r="AT142" i="1"/>
  <c r="AP142" i="1"/>
  <c r="AT141" i="1"/>
  <c r="AP141" i="1"/>
  <c r="AT140" i="1"/>
  <c r="AO140" i="1"/>
  <c r="AN140" i="1"/>
  <c r="AM140" i="1"/>
  <c r="AP140" i="1" l="1"/>
  <c r="AZ122" i="1"/>
  <c r="AQ122" i="1"/>
  <c r="AZ118" i="1"/>
  <c r="AQ118" i="1"/>
  <c r="AZ97" i="1" l="1"/>
  <c r="AQ97" i="1"/>
  <c r="BF80" i="1"/>
  <c r="BC67" i="1" l="1"/>
  <c r="BC68" i="1"/>
  <c r="BC69" i="1"/>
  <c r="BC70" i="1"/>
  <c r="BC71" i="1"/>
  <c r="AT70" i="1" l="1"/>
  <c r="AU70" i="1" s="1"/>
  <c r="AY68" i="1"/>
  <c r="AY69" i="1"/>
  <c r="AY71" i="1"/>
  <c r="AY67" i="1"/>
  <c r="BB54" i="1" l="1"/>
  <c r="AS54" i="1"/>
  <c r="AT50" i="1" l="1"/>
  <c r="E8" i="1" l="1"/>
  <c r="D36" i="1"/>
  <c r="D40" i="1"/>
  <c r="D45" i="1"/>
  <c r="D82" i="1"/>
  <c r="D97" i="1"/>
  <c r="D112" i="1"/>
  <c r="D128" i="1"/>
  <c r="D129" i="1"/>
  <c r="D130" i="1"/>
  <c r="D131" i="1"/>
  <c r="D132" i="1"/>
  <c r="D133" i="1"/>
  <c r="D124" i="1" l="1"/>
  <c r="AQ35" i="1" l="1"/>
  <c r="AZ35" i="1"/>
  <c r="AY12" i="1" l="1"/>
  <c r="AG70" i="1" l="1"/>
  <c r="AG71" i="1"/>
  <c r="AG68" i="1"/>
  <c r="AG69" i="1"/>
  <c r="AE67" i="1"/>
  <c r="AI36" i="1" l="1"/>
  <c r="AE102" i="1"/>
  <c r="AH77" i="1"/>
  <c r="AG67" i="1" l="1"/>
  <c r="AK70" i="1"/>
  <c r="AL70" i="1" s="1"/>
  <c r="AH122" i="1"/>
  <c r="AG122" i="1"/>
  <c r="AH121" i="1"/>
  <c r="AG121" i="1"/>
  <c r="AG120" i="1"/>
  <c r="AG118" i="1"/>
  <c r="AJ117" i="1"/>
  <c r="AI117" i="1"/>
  <c r="AH117" i="1"/>
  <c r="AG117" i="1"/>
  <c r="AG116" i="1"/>
  <c r="AG114" i="1"/>
  <c r="AG113" i="1"/>
  <c r="AG112" i="1"/>
  <c r="AG111" i="1"/>
  <c r="AG109" i="1"/>
  <c r="AG108" i="1"/>
  <c r="AG107" i="1"/>
  <c r="AG104" i="1"/>
  <c r="AG102" i="1"/>
  <c r="AG98" i="1"/>
  <c r="AH97" i="1"/>
  <c r="AG97" i="1"/>
  <c r="AG96" i="1"/>
  <c r="AG94" i="1"/>
  <c r="AG93" i="1"/>
  <c r="AG92" i="1"/>
  <c r="AG91" i="1"/>
  <c r="AG90" i="1"/>
  <c r="AH88" i="1"/>
  <c r="AG88" i="1"/>
  <c r="AG87" i="1"/>
  <c r="AG84" i="1"/>
  <c r="AG83" i="1"/>
  <c r="AG82" i="1"/>
  <c r="AG80" i="1"/>
  <c r="AG79" i="1"/>
  <c r="AG78" i="1"/>
  <c r="AG77" i="1"/>
  <c r="AG76" i="1"/>
  <c r="AG65" i="1"/>
  <c r="AH64" i="1"/>
  <c r="AG64" i="1"/>
  <c r="AG63" i="1"/>
  <c r="AG61" i="1"/>
  <c r="AG60" i="1"/>
  <c r="AH59" i="1"/>
  <c r="AG59" i="1"/>
  <c r="AG58" i="1"/>
  <c r="AH56" i="1"/>
  <c r="AG56" i="1"/>
  <c r="AG55" i="1"/>
  <c r="AJ54" i="1"/>
  <c r="AH54" i="1"/>
  <c r="AG54" i="1"/>
  <c r="AG53" i="1"/>
  <c r="AH50" i="1"/>
  <c r="AG50" i="1"/>
  <c r="AH49" i="1"/>
  <c r="AG49" i="1"/>
  <c r="AG51" i="1"/>
  <c r="AG47" i="1"/>
  <c r="AG46" i="1"/>
  <c r="AG45" i="1"/>
  <c r="AH41" i="1"/>
  <c r="AG41" i="1"/>
  <c r="AG40" i="1"/>
  <c r="AH38" i="1"/>
  <c r="AG38" i="1"/>
  <c r="AJ37" i="1"/>
  <c r="AH37" i="1"/>
  <c r="AG37" i="1"/>
  <c r="AJ36" i="1"/>
  <c r="AH36" i="1"/>
  <c r="AG36" i="1"/>
  <c r="AH35" i="1"/>
  <c r="AG35" i="1"/>
  <c r="AG32" i="1"/>
  <c r="AG33" i="1"/>
  <c r="AG31" i="1"/>
  <c r="AH30" i="1"/>
  <c r="AG30" i="1"/>
  <c r="AG29" i="1"/>
  <c r="AG27" i="1"/>
  <c r="AG26" i="1"/>
  <c r="AG25" i="1"/>
  <c r="AG24" i="1"/>
  <c r="AG23" i="1"/>
  <c r="AG20" i="1"/>
  <c r="AG19" i="1"/>
  <c r="AH18" i="1"/>
  <c r="AG18" i="1"/>
  <c r="AG15" i="1"/>
  <c r="AG16" i="1"/>
  <c r="AT139" i="1" l="1"/>
  <c r="AP139" i="1"/>
  <c r="AT138" i="1"/>
  <c r="AP138" i="1"/>
  <c r="AT137" i="1"/>
  <c r="AP137" i="1"/>
  <c r="AP136" i="1"/>
  <c r="AU136" i="1" s="1"/>
  <c r="AP135" i="1"/>
  <c r="AU135" i="1" s="1"/>
  <c r="AT134" i="1"/>
  <c r="AP134" i="1"/>
  <c r="AT133" i="1"/>
  <c r="AP133" i="1"/>
  <c r="AT132" i="1"/>
  <c r="AP132" i="1"/>
  <c r="AT131" i="1"/>
  <c r="AP131" i="1"/>
  <c r="AT130" i="1"/>
  <c r="AP130" i="1"/>
  <c r="AT129" i="1"/>
  <c r="AP129" i="1"/>
  <c r="AT128" i="1"/>
  <c r="AP128" i="1"/>
  <c r="AT127" i="1"/>
  <c r="AP127" i="1"/>
  <c r="AT125" i="1"/>
  <c r="AU125" i="1" s="1"/>
  <c r="AT123" i="1"/>
  <c r="AU123" i="1" s="1"/>
  <c r="AT122" i="1"/>
  <c r="AP122" i="1"/>
  <c r="AU122" i="1" s="1"/>
  <c r="AT121" i="1"/>
  <c r="AP121" i="1"/>
  <c r="AT120" i="1"/>
  <c r="AP120" i="1"/>
  <c r="AT118" i="1"/>
  <c r="AP118" i="1"/>
  <c r="AT117" i="1"/>
  <c r="AP117" i="1"/>
  <c r="AT116" i="1"/>
  <c r="AP116" i="1"/>
  <c r="AT114" i="1"/>
  <c r="AP114" i="1"/>
  <c r="AU114" i="1" s="1"/>
  <c r="AT113" i="1"/>
  <c r="AP113" i="1"/>
  <c r="AT112" i="1"/>
  <c r="AP112" i="1"/>
  <c r="AT111" i="1"/>
  <c r="AP111" i="1"/>
  <c r="AT109" i="1"/>
  <c r="AP109" i="1"/>
  <c r="AT108" i="1"/>
  <c r="AP108" i="1"/>
  <c r="AT107" i="1"/>
  <c r="AP107" i="1"/>
  <c r="AT105" i="1"/>
  <c r="AP105" i="1"/>
  <c r="AT104" i="1"/>
  <c r="AP104" i="1"/>
  <c r="AT103" i="1"/>
  <c r="AP103" i="1"/>
  <c r="AT102" i="1"/>
  <c r="AP102" i="1"/>
  <c r="AU99" i="1"/>
  <c r="AT98" i="1"/>
  <c r="AP98" i="1"/>
  <c r="AT97" i="1"/>
  <c r="AP97" i="1"/>
  <c r="AT96" i="1"/>
  <c r="AP96" i="1"/>
  <c r="AT94" i="1"/>
  <c r="AP94" i="1"/>
  <c r="AT93" i="1"/>
  <c r="AP93" i="1"/>
  <c r="AT92" i="1"/>
  <c r="AP92" i="1"/>
  <c r="AT91" i="1"/>
  <c r="AP91" i="1"/>
  <c r="AT90" i="1"/>
  <c r="AT88" i="1"/>
  <c r="AP88" i="1"/>
  <c r="AT87" i="1"/>
  <c r="AU87" i="1" s="1"/>
  <c r="AT85" i="1"/>
  <c r="AP85" i="1"/>
  <c r="AT84" i="1"/>
  <c r="AP84" i="1"/>
  <c r="AT83" i="1"/>
  <c r="AP83" i="1"/>
  <c r="AT82" i="1"/>
  <c r="AP82" i="1"/>
  <c r="AT80" i="1"/>
  <c r="AP80" i="1"/>
  <c r="AT79" i="1"/>
  <c r="AP79" i="1"/>
  <c r="AT78" i="1"/>
  <c r="AP78" i="1"/>
  <c r="AT77" i="1"/>
  <c r="AP77" i="1"/>
  <c r="AT76" i="1"/>
  <c r="AP76" i="1"/>
  <c r="AT71" i="1"/>
  <c r="AP71" i="1"/>
  <c r="AT69" i="1"/>
  <c r="AP69" i="1"/>
  <c r="AT68" i="1"/>
  <c r="AP68" i="1"/>
  <c r="AT67" i="1"/>
  <c r="AP67" i="1"/>
  <c r="AT65" i="1"/>
  <c r="AP65" i="1"/>
  <c r="AT64" i="1"/>
  <c r="AP64" i="1"/>
  <c r="AT63" i="1"/>
  <c r="AP63" i="1"/>
  <c r="AT61" i="1"/>
  <c r="AP61" i="1"/>
  <c r="AT60" i="1"/>
  <c r="AP60" i="1"/>
  <c r="AT59" i="1"/>
  <c r="AP59" i="1"/>
  <c r="AT58" i="1"/>
  <c r="AP58" i="1"/>
  <c r="AT56" i="1"/>
  <c r="AP56" i="1"/>
  <c r="AT55" i="1"/>
  <c r="AP55" i="1"/>
  <c r="AT54" i="1"/>
  <c r="AP54" i="1"/>
  <c r="AT53" i="1"/>
  <c r="AP53" i="1"/>
  <c r="AT51" i="1"/>
  <c r="AP51" i="1"/>
  <c r="AP50" i="1"/>
  <c r="AT49" i="1"/>
  <c r="AP49" i="1"/>
  <c r="AT47" i="1"/>
  <c r="AP47" i="1"/>
  <c r="AT46" i="1"/>
  <c r="AP46" i="1"/>
  <c r="AT45" i="1"/>
  <c r="AP45" i="1"/>
  <c r="AT43" i="1"/>
  <c r="AP43" i="1"/>
  <c r="AT41" i="1"/>
  <c r="AP41" i="1"/>
  <c r="AT40" i="1"/>
  <c r="AP40" i="1"/>
  <c r="AT38" i="1"/>
  <c r="AP38" i="1"/>
  <c r="AT37" i="1"/>
  <c r="AP37" i="1"/>
  <c r="AT36" i="1"/>
  <c r="AP36" i="1"/>
  <c r="AT35" i="1"/>
  <c r="AP35" i="1"/>
  <c r="AT33" i="1"/>
  <c r="AP33" i="1"/>
  <c r="AT32" i="1"/>
  <c r="AP32" i="1"/>
  <c r="AT31" i="1"/>
  <c r="AP31" i="1"/>
  <c r="AT30" i="1"/>
  <c r="AP30" i="1"/>
  <c r="AT29" i="1"/>
  <c r="AP29" i="1"/>
  <c r="AT27" i="1"/>
  <c r="AP27" i="1"/>
  <c r="AT26" i="1"/>
  <c r="AP26" i="1"/>
  <c r="AT25" i="1"/>
  <c r="AP25" i="1"/>
  <c r="AT24" i="1"/>
  <c r="AP24" i="1"/>
  <c r="AT23" i="1"/>
  <c r="AP23" i="1"/>
  <c r="AT21" i="1"/>
  <c r="AP21" i="1"/>
  <c r="AT20" i="1"/>
  <c r="AP20" i="1"/>
  <c r="AT19" i="1"/>
  <c r="AP19" i="1"/>
  <c r="AT18" i="1"/>
  <c r="AP18" i="1"/>
  <c r="AT16" i="1"/>
  <c r="AP16" i="1"/>
  <c r="AT15" i="1"/>
  <c r="AP15" i="1"/>
  <c r="AT14" i="1"/>
  <c r="AP14" i="1"/>
  <c r="AT13" i="1"/>
  <c r="AP13" i="1"/>
  <c r="AT12" i="1"/>
  <c r="AP12" i="1"/>
  <c r="AT10" i="1"/>
  <c r="AP10" i="1"/>
  <c r="AT9" i="1"/>
  <c r="AP9" i="1"/>
  <c r="AT8" i="1"/>
  <c r="AP8" i="1"/>
  <c r="AL142" i="1"/>
  <c r="AL136" i="1"/>
  <c r="AL135" i="1"/>
  <c r="AL127" i="1"/>
  <c r="AL125" i="1"/>
  <c r="AK123" i="1"/>
  <c r="AL123" i="1" s="1"/>
  <c r="AK122" i="1"/>
  <c r="AL122" i="1"/>
  <c r="AK121" i="1"/>
  <c r="AL121" i="1"/>
  <c r="AK120" i="1"/>
  <c r="AL120" i="1"/>
  <c r="AK118" i="1"/>
  <c r="AL118" i="1" s="1"/>
  <c r="AK117" i="1"/>
  <c r="AK116" i="1"/>
  <c r="AL116" i="1" s="1"/>
  <c r="AK114" i="1"/>
  <c r="AL114" i="1" s="1"/>
  <c r="AK113" i="1"/>
  <c r="AL113" i="1" s="1"/>
  <c r="AK112" i="1"/>
  <c r="AK111" i="1"/>
  <c r="AK109" i="1"/>
  <c r="AK108" i="1"/>
  <c r="AK107" i="1"/>
  <c r="AL107" i="1" s="1"/>
  <c r="AK105" i="1"/>
  <c r="AG105" i="1"/>
  <c r="AK104" i="1"/>
  <c r="AL104" i="1" s="1"/>
  <c r="AK103" i="1"/>
  <c r="AG103" i="1"/>
  <c r="AK102" i="1"/>
  <c r="AL102" i="1" s="1"/>
  <c r="AL100" i="1"/>
  <c r="AK98" i="1"/>
  <c r="AL98" i="1" s="1"/>
  <c r="AK97" i="1"/>
  <c r="AK96" i="1"/>
  <c r="AK94" i="1"/>
  <c r="AL94" i="1" s="1"/>
  <c r="AK93" i="1"/>
  <c r="AL93" i="1" s="1"/>
  <c r="AK92" i="1"/>
  <c r="AK91" i="1"/>
  <c r="AK90" i="1"/>
  <c r="AL90" i="1" s="1"/>
  <c r="AK88" i="1"/>
  <c r="AK87" i="1"/>
  <c r="AK85" i="1"/>
  <c r="AG85" i="1"/>
  <c r="AK84" i="1"/>
  <c r="AL84" i="1" s="1"/>
  <c r="AK83" i="1"/>
  <c r="AK82" i="1"/>
  <c r="AL82" i="1" s="1"/>
  <c r="AK80" i="1"/>
  <c r="AK79" i="1"/>
  <c r="AL79" i="1" s="1"/>
  <c r="AK78" i="1"/>
  <c r="AL78" i="1" s="1"/>
  <c r="AK77" i="1"/>
  <c r="AK76" i="1"/>
  <c r="AL76" i="1" s="1"/>
  <c r="AK71" i="1"/>
  <c r="AK68" i="1"/>
  <c r="AL68" i="1" s="1"/>
  <c r="AK67" i="1"/>
  <c r="AK65" i="1"/>
  <c r="AL65" i="1" s="1"/>
  <c r="AK64" i="1"/>
  <c r="AL64" i="1" s="1"/>
  <c r="AK63" i="1"/>
  <c r="AL63" i="1" s="1"/>
  <c r="AK61" i="1"/>
  <c r="AL61" i="1" s="1"/>
  <c r="AK60" i="1"/>
  <c r="AL60" i="1" s="1"/>
  <c r="AK59" i="1"/>
  <c r="AK58" i="1"/>
  <c r="AK56" i="1"/>
  <c r="AL56" i="1" s="1"/>
  <c r="AK55" i="1"/>
  <c r="AL55" i="1" s="1"/>
  <c r="AK54" i="1"/>
  <c r="AK53" i="1"/>
  <c r="AL53" i="1" s="1"/>
  <c r="AK51" i="1"/>
  <c r="AL51" i="1" s="1"/>
  <c r="AK50" i="1"/>
  <c r="AK49" i="1"/>
  <c r="AL49" i="1" s="1"/>
  <c r="AK47" i="1"/>
  <c r="AL47" i="1" s="1"/>
  <c r="AK46" i="1"/>
  <c r="AK45" i="1"/>
  <c r="AL45" i="1" s="1"/>
  <c r="AK43" i="1"/>
  <c r="AL43" i="1" s="1"/>
  <c r="AK41" i="1"/>
  <c r="AK40" i="1"/>
  <c r="AL40" i="1" s="1"/>
  <c r="AK38" i="1"/>
  <c r="AL38" i="1" s="1"/>
  <c r="AK37" i="1"/>
  <c r="AK36" i="1"/>
  <c r="AL36" i="1" s="1"/>
  <c r="AK35" i="1"/>
  <c r="AL35" i="1" s="1"/>
  <c r="AK33" i="1"/>
  <c r="AL33" i="1" s="1"/>
  <c r="AK32" i="1"/>
  <c r="AL32" i="1" s="1"/>
  <c r="AK31" i="1"/>
  <c r="AL31" i="1" s="1"/>
  <c r="AK30" i="1"/>
  <c r="AL30" i="1" s="1"/>
  <c r="AK29" i="1"/>
  <c r="AL29" i="1" s="1"/>
  <c r="AK27" i="1"/>
  <c r="AL27" i="1" s="1"/>
  <c r="AK26" i="1"/>
  <c r="AL26" i="1" s="1"/>
  <c r="AK25" i="1"/>
  <c r="AL25" i="1" s="1"/>
  <c r="AK24" i="1"/>
  <c r="AL24" i="1" s="1"/>
  <c r="AK23" i="1"/>
  <c r="AL23" i="1" s="1"/>
  <c r="AK21" i="1"/>
  <c r="AG21" i="1"/>
  <c r="AK20" i="1"/>
  <c r="AL20" i="1" s="1"/>
  <c r="AK19" i="1"/>
  <c r="AL19" i="1" s="1"/>
  <c r="AK18" i="1"/>
  <c r="AL18" i="1" s="1"/>
  <c r="AK16" i="1"/>
  <c r="AL16" i="1" s="1"/>
  <c r="AK15" i="1"/>
  <c r="AL15" i="1" s="1"/>
  <c r="AK14" i="1"/>
  <c r="AG14" i="1"/>
  <c r="AK13" i="1"/>
  <c r="AG13" i="1"/>
  <c r="AK12" i="1"/>
  <c r="AG12" i="1"/>
  <c r="AK10" i="1"/>
  <c r="AG10" i="1"/>
  <c r="AK9" i="1"/>
  <c r="AG9" i="1"/>
  <c r="AK8" i="1"/>
  <c r="AG8" i="1"/>
  <c r="AC146" i="1"/>
  <c r="AC145" i="1"/>
  <c r="AC143" i="1"/>
  <c r="AB142" i="1"/>
  <c r="AC142" i="1" s="1"/>
  <c r="AB141" i="1"/>
  <c r="X141" i="1"/>
  <c r="AB140" i="1"/>
  <c r="X140" i="1"/>
  <c r="AB139" i="1"/>
  <c r="X139" i="1"/>
  <c r="AB138" i="1"/>
  <c r="X138" i="1"/>
  <c r="AB137" i="1"/>
  <c r="X137" i="1"/>
  <c r="AB136" i="1"/>
  <c r="X136" i="1"/>
  <c r="AB135" i="1"/>
  <c r="X135" i="1"/>
  <c r="AB134" i="1"/>
  <c r="X134" i="1"/>
  <c r="AB133" i="1"/>
  <c r="X133" i="1"/>
  <c r="AB132" i="1"/>
  <c r="X132" i="1"/>
  <c r="AB131" i="1"/>
  <c r="X131" i="1"/>
  <c r="AB130" i="1"/>
  <c r="X130" i="1"/>
  <c r="AB129" i="1"/>
  <c r="X129" i="1"/>
  <c r="AB128" i="1"/>
  <c r="X128" i="1"/>
  <c r="AB127" i="1"/>
  <c r="X127" i="1"/>
  <c r="AC125" i="1"/>
  <c r="S142" i="1"/>
  <c r="T142" i="1" s="1"/>
  <c r="S141" i="1"/>
  <c r="O141" i="1"/>
  <c r="S140" i="1"/>
  <c r="O140" i="1"/>
  <c r="S139" i="1"/>
  <c r="O139" i="1"/>
  <c r="S138" i="1"/>
  <c r="O138" i="1"/>
  <c r="S137" i="1"/>
  <c r="M137" i="1"/>
  <c r="L137" i="1"/>
  <c r="S136" i="1"/>
  <c r="O136" i="1"/>
  <c r="S135" i="1"/>
  <c r="O135" i="1"/>
  <c r="S134" i="1"/>
  <c r="O134" i="1"/>
  <c r="S133" i="1"/>
  <c r="M133" i="1"/>
  <c r="S132" i="1"/>
  <c r="O132" i="1"/>
  <c r="S131" i="1"/>
  <c r="O131" i="1"/>
  <c r="S130" i="1"/>
  <c r="O130" i="1"/>
  <c r="S129" i="1"/>
  <c r="O129" i="1"/>
  <c r="S128" i="1"/>
  <c r="O128" i="1"/>
  <c r="S127" i="1"/>
  <c r="O127" i="1"/>
  <c r="T125" i="1"/>
  <c r="T123" i="1"/>
  <c r="S122" i="1"/>
  <c r="M122" i="1"/>
  <c r="S121" i="1"/>
  <c r="L121" i="1"/>
  <c r="S120" i="1"/>
  <c r="N120" i="1"/>
  <c r="O120" i="1" s="1"/>
  <c r="S118" i="1"/>
  <c r="O118" i="1"/>
  <c r="S117" i="1"/>
  <c r="O117" i="1"/>
  <c r="S116" i="1"/>
  <c r="O116" i="1"/>
  <c r="S114" i="1"/>
  <c r="O114" i="1"/>
  <c r="S113" i="1"/>
  <c r="O113" i="1"/>
  <c r="S112" i="1"/>
  <c r="O112" i="1"/>
  <c r="S111" i="1"/>
  <c r="O111" i="1"/>
  <c r="S109" i="1"/>
  <c r="O109" i="1"/>
  <c r="S108" i="1"/>
  <c r="O108" i="1"/>
  <c r="S107" i="1"/>
  <c r="O107" i="1"/>
  <c r="S105" i="1"/>
  <c r="O105" i="1"/>
  <c r="S104" i="1"/>
  <c r="O104" i="1"/>
  <c r="S103" i="1"/>
  <c r="O103" i="1"/>
  <c r="S102" i="1"/>
  <c r="O102" i="1"/>
  <c r="T100" i="1"/>
  <c r="S99" i="1"/>
  <c r="O99" i="1"/>
  <c r="S98" i="1"/>
  <c r="O98" i="1"/>
  <c r="S97" i="1"/>
  <c r="O97" i="1"/>
  <c r="S96" i="1"/>
  <c r="O96" i="1"/>
  <c r="S94" i="1"/>
  <c r="O94" i="1"/>
  <c r="S93" i="1"/>
  <c r="O93" i="1"/>
  <c r="R92" i="1"/>
  <c r="S92" i="1" s="1"/>
  <c r="O92" i="1"/>
  <c r="R91" i="1"/>
  <c r="P91" i="1"/>
  <c r="O91" i="1"/>
  <c r="S90" i="1"/>
  <c r="O90" i="1"/>
  <c r="S88" i="1"/>
  <c r="O88" i="1"/>
  <c r="S87" i="1"/>
  <c r="O87" i="1"/>
  <c r="S85" i="1"/>
  <c r="O85" i="1"/>
  <c r="S84" i="1"/>
  <c r="O84" i="1"/>
  <c r="S83" i="1"/>
  <c r="O83" i="1"/>
  <c r="S82" i="1"/>
  <c r="N82" i="1"/>
  <c r="O82" i="1" s="1"/>
  <c r="S80" i="1"/>
  <c r="O80" i="1"/>
  <c r="S79" i="1"/>
  <c r="O79" i="1"/>
  <c r="S78" i="1"/>
  <c r="O78" i="1"/>
  <c r="S77" i="1"/>
  <c r="O77" i="1"/>
  <c r="S76" i="1"/>
  <c r="O76" i="1"/>
  <c r="S74" i="1"/>
  <c r="L74" i="1"/>
  <c r="O74" i="1" s="1"/>
  <c r="S73" i="1"/>
  <c r="O73" i="1"/>
  <c r="T71" i="1"/>
  <c r="T69" i="1"/>
  <c r="S68" i="1"/>
  <c r="O68" i="1"/>
  <c r="S67" i="1"/>
  <c r="O67" i="1"/>
  <c r="S65" i="1"/>
  <c r="O65" i="1"/>
  <c r="S64" i="1"/>
  <c r="O64" i="1"/>
  <c r="S63" i="1"/>
  <c r="O63" i="1"/>
  <c r="S61" i="1"/>
  <c r="O61" i="1"/>
  <c r="S60" i="1"/>
  <c r="N60" i="1"/>
  <c r="O60" i="1" s="1"/>
  <c r="S59" i="1"/>
  <c r="O59" i="1"/>
  <c r="S58" i="1"/>
  <c r="M58" i="1"/>
  <c r="O58" i="1" s="1"/>
  <c r="S56" i="1"/>
  <c r="O56" i="1"/>
  <c r="S55" i="1"/>
  <c r="O55" i="1"/>
  <c r="S54" i="1"/>
  <c r="O54" i="1"/>
  <c r="S53" i="1"/>
  <c r="O53" i="1"/>
  <c r="S51" i="1"/>
  <c r="O51" i="1"/>
  <c r="Q50" i="1"/>
  <c r="S50" i="1" s="1"/>
  <c r="O50" i="1"/>
  <c r="Q49" i="1"/>
  <c r="S49" i="1" s="1"/>
  <c r="N49" i="1"/>
  <c r="O49" i="1" s="1"/>
  <c r="S47" i="1"/>
  <c r="O47" i="1"/>
  <c r="S46" i="1"/>
  <c r="O46" i="1"/>
  <c r="S45" i="1"/>
  <c r="O45" i="1"/>
  <c r="S43" i="1"/>
  <c r="O43" i="1"/>
  <c r="T42" i="1"/>
  <c r="S41" i="1"/>
  <c r="O41" i="1"/>
  <c r="S40" i="1"/>
  <c r="O40" i="1"/>
  <c r="S38" i="1"/>
  <c r="O38" i="1"/>
  <c r="S37" i="1"/>
  <c r="O37" i="1"/>
  <c r="S36" i="1"/>
  <c r="O36" i="1"/>
  <c r="S35" i="1"/>
  <c r="O35" i="1"/>
  <c r="S33" i="1"/>
  <c r="O33" i="1"/>
  <c r="S32" i="1"/>
  <c r="O32" i="1"/>
  <c r="S31" i="1"/>
  <c r="O31" i="1"/>
  <c r="S30" i="1"/>
  <c r="O30" i="1"/>
  <c r="S29" i="1"/>
  <c r="O29" i="1"/>
  <c r="S27" i="1"/>
  <c r="O27" i="1"/>
  <c r="S26" i="1"/>
  <c r="O26" i="1"/>
  <c r="S25" i="1"/>
  <c r="O25" i="1"/>
  <c r="S24" i="1"/>
  <c r="O24" i="1"/>
  <c r="S23" i="1"/>
  <c r="O23" i="1"/>
  <c r="S21" i="1"/>
  <c r="O21" i="1"/>
  <c r="S20" i="1"/>
  <c r="O20" i="1"/>
  <c r="P19" i="1"/>
  <c r="S19" i="1" s="1"/>
  <c r="M19" i="1"/>
  <c r="S18" i="1"/>
  <c r="O18" i="1"/>
  <c r="S16" i="1"/>
  <c r="O16" i="1"/>
  <c r="S15" i="1"/>
  <c r="O15" i="1"/>
  <c r="S14" i="1"/>
  <c r="O14" i="1"/>
  <c r="S13" i="1"/>
  <c r="O13" i="1"/>
  <c r="S12" i="1"/>
  <c r="O12" i="1"/>
  <c r="S10" i="1"/>
  <c r="O10" i="1"/>
  <c r="S9" i="1"/>
  <c r="O9" i="1"/>
  <c r="S8" i="1"/>
  <c r="O8" i="1"/>
  <c r="J142" i="1"/>
  <c r="K142" i="1" s="1"/>
  <c r="F141" i="1"/>
  <c r="F140" i="1"/>
  <c r="J139" i="1"/>
  <c r="F139" i="1"/>
  <c r="J138" i="1"/>
  <c r="F138" i="1"/>
  <c r="J137" i="1"/>
  <c r="E137" i="1"/>
  <c r="D137" i="1"/>
  <c r="C137" i="1"/>
  <c r="J134" i="1"/>
  <c r="F134" i="1"/>
  <c r="J133" i="1"/>
  <c r="F133" i="1"/>
  <c r="J132" i="1"/>
  <c r="F132" i="1"/>
  <c r="J131" i="1"/>
  <c r="F131" i="1"/>
  <c r="J130" i="1"/>
  <c r="F130" i="1"/>
  <c r="E129" i="1"/>
  <c r="C129" i="1"/>
  <c r="F128" i="1"/>
  <c r="J127" i="1"/>
  <c r="F127" i="1"/>
  <c r="J123" i="1"/>
  <c r="K123" i="1" s="1"/>
  <c r="J118" i="1"/>
  <c r="F118" i="1"/>
  <c r="J117" i="1"/>
  <c r="F117" i="1"/>
  <c r="J116" i="1"/>
  <c r="F116" i="1"/>
  <c r="J114" i="1"/>
  <c r="F114" i="1"/>
  <c r="J113" i="1"/>
  <c r="F113" i="1"/>
  <c r="J112" i="1"/>
  <c r="F111" i="1"/>
  <c r="J109" i="1"/>
  <c r="F109" i="1"/>
  <c r="J108" i="1"/>
  <c r="F108" i="1"/>
  <c r="J107" i="1"/>
  <c r="C107" i="1"/>
  <c r="J111" i="1"/>
  <c r="F105" i="1"/>
  <c r="J104" i="1"/>
  <c r="F104" i="1"/>
  <c r="J103" i="1"/>
  <c r="F103" i="1"/>
  <c r="F102" i="1"/>
  <c r="G100" i="1"/>
  <c r="J105" i="1" s="1"/>
  <c r="F100" i="1"/>
  <c r="J99" i="1"/>
  <c r="F99" i="1"/>
  <c r="J98" i="1"/>
  <c r="F98" i="1"/>
  <c r="G97" i="1"/>
  <c r="J102" i="1" s="1"/>
  <c r="F97" i="1"/>
  <c r="J96" i="1"/>
  <c r="F94" i="1"/>
  <c r="F93" i="1"/>
  <c r="J92" i="1"/>
  <c r="F92" i="1"/>
  <c r="F91" i="1"/>
  <c r="J90" i="1"/>
  <c r="F90" i="1"/>
  <c r="J94" i="1"/>
  <c r="I88" i="1"/>
  <c r="H88" i="1"/>
  <c r="G88" i="1"/>
  <c r="J91" i="1" s="1"/>
  <c r="F88" i="1"/>
  <c r="J87" i="1"/>
  <c r="F87" i="1"/>
  <c r="J85" i="1"/>
  <c r="F85" i="1"/>
  <c r="J84" i="1"/>
  <c r="F84" i="1"/>
  <c r="J83" i="1"/>
  <c r="F83" i="1"/>
  <c r="F80" i="1"/>
  <c r="F79" i="1"/>
  <c r="J78" i="1"/>
  <c r="F78" i="1"/>
  <c r="I77" i="1"/>
  <c r="G77" i="1"/>
  <c r="F77" i="1"/>
  <c r="G76" i="1"/>
  <c r="J76" i="1" s="1"/>
  <c r="F76" i="1"/>
  <c r="G74" i="1"/>
  <c r="J79" i="1" s="1"/>
  <c r="F74" i="1"/>
  <c r="J68" i="1"/>
  <c r="F68" i="1"/>
  <c r="G67" i="1"/>
  <c r="J67" i="1" s="1"/>
  <c r="F67" i="1"/>
  <c r="J65" i="1"/>
  <c r="F65" i="1"/>
  <c r="J64" i="1"/>
  <c r="F64" i="1"/>
  <c r="G63" i="1"/>
  <c r="F63" i="1"/>
  <c r="J61" i="1"/>
  <c r="F61" i="1"/>
  <c r="H60" i="1"/>
  <c r="J60" i="1" s="1"/>
  <c r="F60" i="1"/>
  <c r="H59" i="1"/>
  <c r="J59" i="1" s="1"/>
  <c r="E59" i="1"/>
  <c r="F58" i="1"/>
  <c r="I56" i="1"/>
  <c r="G56" i="1"/>
  <c r="F56" i="1"/>
  <c r="J55" i="1"/>
  <c r="F55" i="1"/>
  <c r="J54" i="1"/>
  <c r="F54" i="1"/>
  <c r="G53" i="1"/>
  <c r="F53" i="1"/>
  <c r="J51" i="1"/>
  <c r="F51" i="1"/>
  <c r="J50" i="1"/>
  <c r="F50" i="1"/>
  <c r="J49" i="1"/>
  <c r="C49" i="1"/>
  <c r="J47" i="1"/>
  <c r="F47" i="1"/>
  <c r="J46" i="1"/>
  <c r="F46" i="1"/>
  <c r="G45" i="1"/>
  <c r="J43" i="1"/>
  <c r="C43" i="1"/>
  <c r="F43" i="1" s="1"/>
  <c r="G42" i="1"/>
  <c r="J42" i="1" s="1"/>
  <c r="C42" i="1"/>
  <c r="F42" i="1" s="1"/>
  <c r="J41" i="1"/>
  <c r="E41" i="1"/>
  <c r="C41" i="1"/>
  <c r="J40" i="1"/>
  <c r="C40" i="1"/>
  <c r="J38" i="1"/>
  <c r="F38" i="1"/>
  <c r="J37" i="1"/>
  <c r="F37" i="1"/>
  <c r="I36" i="1"/>
  <c r="H36" i="1"/>
  <c r="C36" i="1"/>
  <c r="G35" i="1"/>
  <c r="J35" i="1" s="1"/>
  <c r="E35" i="1"/>
  <c r="F35" i="1" s="1"/>
  <c r="J33" i="1"/>
  <c r="C33" i="1"/>
  <c r="J32" i="1"/>
  <c r="F32" i="1"/>
  <c r="J31" i="1"/>
  <c r="F31" i="1"/>
  <c r="J30" i="1"/>
  <c r="E30" i="1"/>
  <c r="J29" i="1"/>
  <c r="F29" i="1"/>
  <c r="J27" i="1"/>
  <c r="F27" i="1"/>
  <c r="J26" i="1"/>
  <c r="F26" i="1"/>
  <c r="J25" i="1"/>
  <c r="F25" i="1"/>
  <c r="J24" i="1"/>
  <c r="C24" i="1"/>
  <c r="F24" i="1" s="1"/>
  <c r="J23" i="1"/>
  <c r="C23" i="1"/>
  <c r="F23" i="1" s="1"/>
  <c r="J21" i="1"/>
  <c r="F21" i="1"/>
  <c r="J20" i="1"/>
  <c r="F20" i="1"/>
  <c r="J19" i="1"/>
  <c r="E19" i="1"/>
  <c r="C19" i="1"/>
  <c r="J18" i="1"/>
  <c r="F18" i="1"/>
  <c r="J16" i="1"/>
  <c r="F16" i="1"/>
  <c r="J15" i="1"/>
  <c r="F15" i="1"/>
  <c r="J14" i="1"/>
  <c r="F14" i="1"/>
  <c r="J13" i="1"/>
  <c r="F13" i="1"/>
  <c r="J12" i="1"/>
  <c r="F12" i="1"/>
  <c r="J10" i="1"/>
  <c r="F10" i="1"/>
  <c r="G9" i="1"/>
  <c r="J9" i="1" s="1"/>
  <c r="F9" i="1"/>
  <c r="J8" i="1"/>
  <c r="C8" i="1"/>
  <c r="AL13" i="1" l="1"/>
  <c r="T67" i="1"/>
  <c r="AC130" i="1"/>
  <c r="T99" i="1"/>
  <c r="T93" i="1"/>
  <c r="AC134" i="1"/>
  <c r="T79" i="1"/>
  <c r="AU79" i="1"/>
  <c r="AU118" i="1"/>
  <c r="AU102" i="1"/>
  <c r="F33" i="1"/>
  <c r="K33" i="1" s="1"/>
  <c r="O19" i="1"/>
  <c r="T19" i="1" s="1"/>
  <c r="AU91" i="1"/>
  <c r="K12" i="1"/>
  <c r="K14" i="1"/>
  <c r="K16" i="1"/>
  <c r="K61" i="1"/>
  <c r="T120" i="1"/>
  <c r="K32" i="1"/>
  <c r="K47" i="1"/>
  <c r="T43" i="1"/>
  <c r="T85" i="1"/>
  <c r="T90" i="1"/>
  <c r="R124" i="1"/>
  <c r="R144" i="1" s="1"/>
  <c r="R147" i="1" s="1"/>
  <c r="O122" i="1"/>
  <c r="AU85" i="1"/>
  <c r="F40" i="1"/>
  <c r="K40" i="1" s="1"/>
  <c r="K84" i="1"/>
  <c r="T60" i="1"/>
  <c r="T64" i="1"/>
  <c r="AL67" i="1"/>
  <c r="AL69" i="1"/>
  <c r="AL130" i="1"/>
  <c r="AL132" i="1"/>
  <c r="AL134" i="1"/>
  <c r="AL141" i="1"/>
  <c r="AS124" i="1"/>
  <c r="AS144" i="1" s="1"/>
  <c r="AS147" i="1" s="1"/>
  <c r="AU23" i="1"/>
  <c r="AU25" i="1"/>
  <c r="AU27" i="1"/>
  <c r="AU129" i="1"/>
  <c r="AU131" i="1"/>
  <c r="AU133" i="1"/>
  <c r="AU140" i="1"/>
  <c r="K103" i="1"/>
  <c r="T54" i="1"/>
  <c r="T111" i="1"/>
  <c r="T113" i="1"/>
  <c r="T130" i="1"/>
  <c r="T134" i="1"/>
  <c r="T136" i="1"/>
  <c r="AU8" i="1"/>
  <c r="AU10" i="1"/>
  <c r="AU12" i="1"/>
  <c r="AU18" i="1"/>
  <c r="AU29" i="1"/>
  <c r="AU31" i="1"/>
  <c r="AU35" i="1"/>
  <c r="AL8" i="1"/>
  <c r="AL10" i="1"/>
  <c r="AL12" i="1"/>
  <c r="AL14" i="1"/>
  <c r="J53" i="1"/>
  <c r="K53" i="1" s="1"/>
  <c r="J140" i="1"/>
  <c r="K140" i="1" s="1"/>
  <c r="J63" i="1"/>
  <c r="F96" i="1"/>
  <c r="F8" i="1"/>
  <c r="K54" i="1"/>
  <c r="F59" i="1"/>
  <c r="K76" i="1"/>
  <c r="J77" i="1"/>
  <c r="K77" i="1" s="1"/>
  <c r="F82" i="1"/>
  <c r="J97" i="1"/>
  <c r="K97" i="1" s="1"/>
  <c r="M124" i="1"/>
  <c r="P124" i="1"/>
  <c r="P144" i="1" s="1"/>
  <c r="P147" i="1" s="1"/>
  <c r="Q124" i="1"/>
  <c r="Q144" i="1" s="1"/>
  <c r="Q147" i="1" s="1"/>
  <c r="T76" i="1"/>
  <c r="T80" i="1"/>
  <c r="T94" i="1"/>
  <c r="T98" i="1"/>
  <c r="T114" i="1"/>
  <c r="AL131" i="1"/>
  <c r="AL140" i="1"/>
  <c r="F45" i="1"/>
  <c r="K18" i="1"/>
  <c r="K109" i="1"/>
  <c r="F137" i="1"/>
  <c r="K137" i="1" s="1"/>
  <c r="T51" i="1"/>
  <c r="T59" i="1"/>
  <c r="T61" i="1"/>
  <c r="T84" i="1"/>
  <c r="T129" i="1"/>
  <c r="T131" i="1"/>
  <c r="T135" i="1"/>
  <c r="K20" i="1"/>
  <c r="K25" i="1"/>
  <c r="K27" i="1"/>
  <c r="J36" i="1"/>
  <c r="K38" i="1"/>
  <c r="J45" i="1"/>
  <c r="F49" i="1"/>
  <c r="K51" i="1"/>
  <c r="J56" i="1"/>
  <c r="K60" i="1"/>
  <c r="K64" i="1"/>
  <c r="J82" i="1"/>
  <c r="K87" i="1"/>
  <c r="K90" i="1"/>
  <c r="K94" i="1"/>
  <c r="K98" i="1"/>
  <c r="K116" i="1"/>
  <c r="K134" i="1"/>
  <c r="K139" i="1"/>
  <c r="J141" i="1"/>
  <c r="K141" i="1" s="1"/>
  <c r="T9" i="1"/>
  <c r="T12" i="1"/>
  <c r="T14" i="1"/>
  <c r="T16" i="1"/>
  <c r="T20" i="1"/>
  <c r="T24" i="1"/>
  <c r="T26" i="1"/>
  <c r="T30" i="1"/>
  <c r="T32" i="1"/>
  <c r="T36" i="1"/>
  <c r="T38" i="1"/>
  <c r="T41" i="1"/>
  <c r="T47" i="1"/>
  <c r="T50" i="1"/>
  <c r="O133" i="1"/>
  <c r="T133" i="1" s="1"/>
  <c r="AL85" i="1"/>
  <c r="J93" i="1"/>
  <c r="K93" i="1" s="1"/>
  <c r="K105" i="1"/>
  <c r="K10" i="1"/>
  <c r="K13" i="1"/>
  <c r="K15" i="1"/>
  <c r="F19" i="1"/>
  <c r="K19" i="1" s="1"/>
  <c r="K31" i="1"/>
  <c r="K43" i="1"/>
  <c r="K46" i="1"/>
  <c r="K55" i="1"/>
  <c r="K68" i="1"/>
  <c r="J80" i="1"/>
  <c r="K85" i="1"/>
  <c r="J100" i="1"/>
  <c r="K100" i="1" s="1"/>
  <c r="K102" i="1"/>
  <c r="K108" i="1"/>
  <c r="T53" i="1"/>
  <c r="T55" i="1"/>
  <c r="T63" i="1"/>
  <c r="T65" i="1"/>
  <c r="T68" i="1"/>
  <c r="K79" i="1"/>
  <c r="K9" i="1"/>
  <c r="K21" i="1"/>
  <c r="K24" i="1"/>
  <c r="K26" i="1"/>
  <c r="F30" i="1"/>
  <c r="K30" i="1" s="1"/>
  <c r="F36" i="1"/>
  <c r="K37" i="1"/>
  <c r="F41" i="1"/>
  <c r="K41" i="1" s="1"/>
  <c r="K42" i="1"/>
  <c r="K50" i="1"/>
  <c r="K65" i="1"/>
  <c r="K67" i="1"/>
  <c r="K99" i="1"/>
  <c r="K111" i="1"/>
  <c r="K113" i="1"/>
  <c r="K138" i="1"/>
  <c r="T8" i="1"/>
  <c r="T10" i="1"/>
  <c r="T13" i="1"/>
  <c r="T15" i="1"/>
  <c r="T18" i="1"/>
  <c r="T21" i="1"/>
  <c r="T23" i="1"/>
  <c r="T25" i="1"/>
  <c r="T27" i="1"/>
  <c r="T29" i="1"/>
  <c r="T31" i="1"/>
  <c r="T33" i="1"/>
  <c r="T35" i="1"/>
  <c r="T37" i="1"/>
  <c r="T40" i="1"/>
  <c r="T46" i="1"/>
  <c r="T92" i="1"/>
  <c r="T104" i="1"/>
  <c r="T107" i="1"/>
  <c r="T109" i="1"/>
  <c r="T116" i="1"/>
  <c r="T118" i="1"/>
  <c r="O121" i="1"/>
  <c r="T121" i="1" s="1"/>
  <c r="T138" i="1"/>
  <c r="T140" i="1"/>
  <c r="AC129" i="1"/>
  <c r="AC131" i="1"/>
  <c r="AC133" i="1"/>
  <c r="AC135" i="1"/>
  <c r="AC137" i="1"/>
  <c r="AC139" i="1"/>
  <c r="AC141" i="1"/>
  <c r="AL21" i="1"/>
  <c r="AU15" i="1"/>
  <c r="AU21" i="1"/>
  <c r="AU30" i="1"/>
  <c r="AU32" i="1"/>
  <c r="AU38" i="1"/>
  <c r="AU43" i="1"/>
  <c r="AU47" i="1"/>
  <c r="AU51" i="1"/>
  <c r="AU55" i="1"/>
  <c r="AU61" i="1"/>
  <c r="AU63" i="1"/>
  <c r="AU65" i="1"/>
  <c r="AU68" i="1"/>
  <c r="AU92" i="1"/>
  <c r="AU94" i="1"/>
  <c r="AU98" i="1"/>
  <c r="AU121" i="1"/>
  <c r="T103" i="1"/>
  <c r="T105" i="1"/>
  <c r="T108" i="1"/>
  <c r="T141" i="1"/>
  <c r="V124" i="1"/>
  <c r="V144" i="1" s="1"/>
  <c r="V147" i="1" s="1"/>
  <c r="Z124" i="1"/>
  <c r="AC138" i="1"/>
  <c r="AL103" i="1"/>
  <c r="AL137" i="1"/>
  <c r="AU16" i="1"/>
  <c r="AU20" i="1"/>
  <c r="AU56" i="1"/>
  <c r="AU60" i="1"/>
  <c r="AU67" i="1"/>
  <c r="AU69" i="1"/>
  <c r="AU24" i="1"/>
  <c r="AU26" i="1"/>
  <c r="AU76" i="1"/>
  <c r="AU80" i="1"/>
  <c r="AU84" i="1"/>
  <c r="AU88" i="1"/>
  <c r="AU103" i="1"/>
  <c r="AU105" i="1"/>
  <c r="AU109" i="1"/>
  <c r="AU113" i="1"/>
  <c r="AU130" i="1"/>
  <c r="AU134" i="1"/>
  <c r="AU137" i="1"/>
  <c r="AU139" i="1"/>
  <c r="AU141" i="1"/>
  <c r="AJ124" i="1"/>
  <c r="AJ144" i="1" s="1"/>
  <c r="AJ147" i="1" s="1"/>
  <c r="AH124" i="1"/>
  <c r="AH144" i="1" s="1"/>
  <c r="AH147" i="1" s="1"/>
  <c r="AI124" i="1"/>
  <c r="AI144" i="1" s="1"/>
  <c r="AI147" i="1" s="1"/>
  <c r="AL9" i="1"/>
  <c r="AU14" i="1"/>
  <c r="AU64" i="1"/>
  <c r="AQ124" i="1"/>
  <c r="AQ144" i="1" s="1"/>
  <c r="AQ147" i="1" s="1"/>
  <c r="AO124" i="1"/>
  <c r="AO144" i="1" s="1"/>
  <c r="AO147" i="1" s="1"/>
  <c r="AF124" i="1"/>
  <c r="AF144" i="1" s="1"/>
  <c r="AF147" i="1" s="1"/>
  <c r="AM124" i="1"/>
  <c r="AM144" i="1" s="1"/>
  <c r="AM147" i="1" s="1"/>
  <c r="AE124" i="1"/>
  <c r="AE144" i="1" s="1"/>
  <c r="AE147" i="1" s="1"/>
  <c r="AD124" i="1"/>
  <c r="AD144" i="1" s="1"/>
  <c r="AD147" i="1" s="1"/>
  <c r="AL138" i="1"/>
  <c r="AU9" i="1"/>
  <c r="AU36" i="1"/>
  <c r="AU40" i="1"/>
  <c r="AU45" i="1"/>
  <c r="AU49" i="1"/>
  <c r="AU53" i="1"/>
  <c r="AU77" i="1"/>
  <c r="AU96" i="1"/>
  <c r="AU107" i="1"/>
  <c r="AU111" i="1"/>
  <c r="AU127" i="1"/>
  <c r="AU13" i="1"/>
  <c r="AU19" i="1"/>
  <c r="AN124" i="1"/>
  <c r="AN144" i="1" s="1"/>
  <c r="AN147" i="1" s="1"/>
  <c r="AR124" i="1"/>
  <c r="AR144" i="1" s="1"/>
  <c r="AR147" i="1" s="1"/>
  <c r="AU33" i="1"/>
  <c r="AU37" i="1"/>
  <c r="AU41" i="1"/>
  <c r="AU46" i="1"/>
  <c r="AU50" i="1"/>
  <c r="AU54" i="1"/>
  <c r="AU58" i="1"/>
  <c r="AU59" i="1"/>
  <c r="AU71" i="1"/>
  <c r="AU78" i="1"/>
  <c r="AU82" i="1"/>
  <c r="AU83" i="1"/>
  <c r="AU93" i="1"/>
  <c r="AU97" i="1"/>
  <c r="AU104" i="1"/>
  <c r="AU108" i="1"/>
  <c r="AU112" i="1"/>
  <c r="AU116" i="1"/>
  <c r="AU117" i="1"/>
  <c r="AU120" i="1"/>
  <c r="AU128" i="1"/>
  <c r="AU132" i="1"/>
  <c r="AU138" i="1"/>
  <c r="AL37" i="1"/>
  <c r="AL41" i="1"/>
  <c r="AL46" i="1"/>
  <c r="AL50" i="1"/>
  <c r="AL54" i="1"/>
  <c r="AL58" i="1"/>
  <c r="AL59" i="1"/>
  <c r="AL71" i="1"/>
  <c r="AL83" i="1"/>
  <c r="AL87" i="1"/>
  <c r="AL91" i="1"/>
  <c r="AL108" i="1"/>
  <c r="AL111" i="1"/>
  <c r="AL112" i="1"/>
  <c r="AL128" i="1"/>
  <c r="AL77" i="1"/>
  <c r="AL80" i="1"/>
  <c r="AL88" i="1"/>
  <c r="AL92" i="1"/>
  <c r="AL96" i="1"/>
  <c r="AL97" i="1"/>
  <c r="AL105" i="1"/>
  <c r="AL109" i="1"/>
  <c r="AL117" i="1"/>
  <c r="AL129" i="1"/>
  <c r="AL133" i="1"/>
  <c r="AL139" i="1"/>
  <c r="AC127" i="1"/>
  <c r="U124" i="1"/>
  <c r="U144" i="1" s="1"/>
  <c r="U147" i="1" s="1"/>
  <c r="W124" i="1"/>
  <c r="W144" i="1" s="1"/>
  <c r="Y124" i="1"/>
  <c r="Y144" i="1" s="1"/>
  <c r="Y147" i="1" s="1"/>
  <c r="AA124" i="1"/>
  <c r="AA144" i="1" s="1"/>
  <c r="AC128" i="1"/>
  <c r="AC132" i="1"/>
  <c r="AC136" i="1"/>
  <c r="AC140" i="1"/>
  <c r="L124" i="1"/>
  <c r="L144" i="1" s="1"/>
  <c r="L147" i="1" s="1"/>
  <c r="T45" i="1"/>
  <c r="T56" i="1"/>
  <c r="T58" i="1"/>
  <c r="T73" i="1"/>
  <c r="T74" i="1"/>
  <c r="T78" i="1"/>
  <c r="T83" i="1"/>
  <c r="T87" i="1"/>
  <c r="T88" i="1"/>
  <c r="S91" i="1"/>
  <c r="T96" i="1"/>
  <c r="T97" i="1"/>
  <c r="T102" i="1"/>
  <c r="T127" i="1"/>
  <c r="T49" i="1"/>
  <c r="T77" i="1"/>
  <c r="T82" i="1"/>
  <c r="T112" i="1"/>
  <c r="T117" i="1"/>
  <c r="T128" i="1"/>
  <c r="T132" i="1"/>
  <c r="O137" i="1"/>
  <c r="T137" i="1" s="1"/>
  <c r="T139" i="1"/>
  <c r="K35" i="1"/>
  <c r="K8" i="1"/>
  <c r="K23" i="1"/>
  <c r="K29" i="1"/>
  <c r="J88" i="1"/>
  <c r="K88" i="1" s="1"/>
  <c r="K91" i="1"/>
  <c r="F112" i="1"/>
  <c r="K117" i="1"/>
  <c r="D144" i="1"/>
  <c r="D147" i="1" s="1"/>
  <c r="E124" i="1"/>
  <c r="J74" i="1"/>
  <c r="K74" i="1" s="1"/>
  <c r="K78" i="1"/>
  <c r="K83" i="1"/>
  <c r="K92" i="1"/>
  <c r="K104" i="1"/>
  <c r="F107" i="1"/>
  <c r="K114" i="1"/>
  <c r="K118" i="1"/>
  <c r="K127" i="1"/>
  <c r="H128" i="1" s="1"/>
  <c r="F129" i="1"/>
  <c r="K130" i="1"/>
  <c r="K131" i="1"/>
  <c r="K132" i="1"/>
  <c r="K133" i="1"/>
  <c r="Z144" i="1" l="1"/>
  <c r="Z147" i="1" s="1"/>
  <c r="W170" i="1"/>
  <c r="K82" i="1"/>
  <c r="O124" i="1"/>
  <c r="E144" i="1"/>
  <c r="E147" i="1" s="1"/>
  <c r="M144" i="1"/>
  <c r="M147" i="1" s="1"/>
  <c r="W147" i="1"/>
  <c r="J128" i="1"/>
  <c r="K128" i="1" s="1"/>
  <c r="K96" i="1"/>
  <c r="N124" i="1"/>
  <c r="N144" i="1" s="1"/>
  <c r="N147" i="1" s="1"/>
  <c r="K49" i="1"/>
  <c r="K36" i="1"/>
  <c r="K63" i="1"/>
  <c r="C124" i="1"/>
  <c r="C144" i="1" s="1"/>
  <c r="C147" i="1" s="1"/>
  <c r="T91" i="1"/>
  <c r="K59" i="1"/>
  <c r="G124" i="1"/>
  <c r="J129" i="1" s="1"/>
  <c r="AT124" i="1"/>
  <c r="K80" i="1"/>
  <c r="K56" i="1"/>
  <c r="K45" i="1"/>
  <c r="AK144" i="1"/>
  <c r="AK147" i="1" s="1"/>
  <c r="AK124" i="1"/>
  <c r="AT144" i="1"/>
  <c r="AT147" i="1" s="1"/>
  <c r="AG124" i="1"/>
  <c r="AG144" i="1" s="1"/>
  <c r="AB124" i="1"/>
  <c r="AB144" i="1" s="1"/>
  <c r="AB147" i="1" s="1"/>
  <c r="X124" i="1"/>
  <c r="S124" i="1"/>
  <c r="S144" i="1" s="1"/>
  <c r="S147" i="1" s="1"/>
  <c r="K112" i="1"/>
  <c r="K107" i="1"/>
  <c r="BD71" i="1"/>
  <c r="BD69" i="1" l="1"/>
  <c r="K129" i="1"/>
  <c r="G144" i="1"/>
  <c r="AL124" i="1"/>
  <c r="AG147" i="1"/>
  <c r="AL144" i="1"/>
  <c r="AL147" i="1" s="1"/>
  <c r="X144" i="1"/>
  <c r="AC124" i="1"/>
  <c r="O144" i="1"/>
  <c r="T124" i="1"/>
  <c r="F124" i="1"/>
  <c r="G147" i="1" l="1"/>
  <c r="X147" i="1"/>
  <c r="AC147" i="1" s="1"/>
  <c r="AC144" i="1"/>
  <c r="O147" i="1"/>
  <c r="T144" i="1"/>
  <c r="T147" i="1" s="1"/>
  <c r="F144" i="1"/>
  <c r="BC18" i="1"/>
  <c r="BC20" i="1"/>
  <c r="BC87" i="1"/>
  <c r="F147" i="1" l="1"/>
  <c r="AY38" i="1"/>
  <c r="AY37" i="1"/>
  <c r="AY36" i="1"/>
  <c r="AY35" i="1"/>
  <c r="AY33" i="1" l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2" i="1"/>
  <c r="AY121" i="1"/>
  <c r="AY120" i="1"/>
  <c r="AY118" i="1"/>
  <c r="AY117" i="1"/>
  <c r="AY116" i="1"/>
  <c r="AY114" i="1"/>
  <c r="AY113" i="1"/>
  <c r="AY112" i="1"/>
  <c r="AY111" i="1"/>
  <c r="AY109" i="1"/>
  <c r="AY108" i="1"/>
  <c r="AY107" i="1"/>
  <c r="AY105" i="1"/>
  <c r="AY104" i="1"/>
  <c r="AY103" i="1"/>
  <c r="AY102" i="1"/>
  <c r="AY98" i="1"/>
  <c r="AY97" i="1"/>
  <c r="AY96" i="1"/>
  <c r="AY94" i="1"/>
  <c r="AY93" i="1"/>
  <c r="AY92" i="1"/>
  <c r="AY91" i="1"/>
  <c r="AY90" i="1"/>
  <c r="AY88" i="1"/>
  <c r="AY85" i="1"/>
  <c r="AY84" i="1"/>
  <c r="AY83" i="1"/>
  <c r="AY82" i="1"/>
  <c r="AY80" i="1"/>
  <c r="AY79" i="1"/>
  <c r="AY78" i="1"/>
  <c r="AY77" i="1"/>
  <c r="AY76" i="1"/>
  <c r="AY65" i="1"/>
  <c r="AY64" i="1"/>
  <c r="AY63" i="1"/>
  <c r="AY61" i="1"/>
  <c r="AY60" i="1"/>
  <c r="AY59" i="1"/>
  <c r="AY58" i="1"/>
  <c r="AY56" i="1"/>
  <c r="AY55" i="1"/>
  <c r="AY54" i="1"/>
  <c r="AY53" i="1"/>
  <c r="AY51" i="1"/>
  <c r="AY50" i="1"/>
  <c r="AY49" i="1"/>
  <c r="AY47" i="1"/>
  <c r="AY46" i="1"/>
  <c r="AY45" i="1"/>
  <c r="AY43" i="1"/>
  <c r="AY41" i="1"/>
  <c r="AY40" i="1"/>
  <c r="AY32" i="1"/>
  <c r="AY31" i="1"/>
  <c r="AY30" i="1"/>
  <c r="AY29" i="1"/>
  <c r="AY27" i="1"/>
  <c r="AY26" i="1"/>
  <c r="AY25" i="1"/>
  <c r="AY24" i="1"/>
  <c r="AY23" i="1"/>
  <c r="AY21" i="1"/>
  <c r="AY20" i="1"/>
  <c r="AY19" i="1"/>
  <c r="AY18" i="1"/>
  <c r="AY16" i="1"/>
  <c r="AY15" i="1"/>
  <c r="AY14" i="1"/>
  <c r="AY13" i="1"/>
  <c r="AY10" i="1"/>
  <c r="AY9" i="1"/>
  <c r="AY8" i="1"/>
  <c r="AV124" i="1" l="1"/>
  <c r="BD136" i="1" l="1"/>
  <c r="BD135" i="1" l="1"/>
  <c r="BC137" i="1"/>
  <c r="BC120" i="1"/>
  <c r="BC121" i="1"/>
  <c r="BC122" i="1"/>
  <c r="BD73" i="1" l="1"/>
  <c r="BD121" i="1"/>
  <c r="BD120" i="1"/>
  <c r="BD122" i="1"/>
  <c r="BC54" i="1" l="1"/>
  <c r="BC56" i="1"/>
  <c r="BC55" i="1"/>
  <c r="BC53" i="1"/>
  <c r="BC107" i="1" l="1"/>
  <c r="BC108" i="1"/>
  <c r="BC109" i="1"/>
  <c r="BC91" i="1" l="1"/>
  <c r="BC92" i="1"/>
  <c r="BC94" i="1"/>
  <c r="BC93" i="1"/>
  <c r="BC90" i="1"/>
  <c r="BC118" i="1"/>
  <c r="BC117" i="1"/>
  <c r="BC116" i="1"/>
  <c r="BC76" i="1" l="1"/>
  <c r="BC78" i="1"/>
  <c r="BC80" i="1"/>
  <c r="BC79" i="1"/>
  <c r="BC77" i="1"/>
  <c r="BC65" i="1"/>
  <c r="BC64" i="1"/>
  <c r="BC63" i="1"/>
  <c r="BC38" i="1" l="1"/>
  <c r="BC37" i="1"/>
  <c r="BC32" i="1"/>
  <c r="BC33" i="1"/>
  <c r="BC31" i="1"/>
  <c r="BC30" i="1"/>
  <c r="BC29" i="1"/>
  <c r="BC35" i="1" l="1"/>
  <c r="BC36" i="1"/>
  <c r="BC21" i="1" l="1"/>
  <c r="BC19" i="1"/>
  <c r="BC8" i="1" l="1"/>
  <c r="BC9" i="1"/>
  <c r="BC10" i="1"/>
  <c r="BC12" i="1"/>
  <c r="BC13" i="1"/>
  <c r="BC14" i="1"/>
  <c r="BC15" i="1"/>
  <c r="BC16" i="1"/>
  <c r="BC23" i="1"/>
  <c r="BC24" i="1"/>
  <c r="BC25" i="1"/>
  <c r="BC26" i="1"/>
  <c r="BC27" i="1"/>
  <c r="BC40" i="1"/>
  <c r="BC41" i="1"/>
  <c r="BD41" i="1" s="1"/>
  <c r="BC43" i="1"/>
  <c r="BC45" i="1"/>
  <c r="BC46" i="1"/>
  <c r="BC47" i="1"/>
  <c r="BC49" i="1"/>
  <c r="BC50" i="1"/>
  <c r="BC51" i="1"/>
  <c r="BC58" i="1"/>
  <c r="BC59" i="1"/>
  <c r="BC60" i="1"/>
  <c r="BC61" i="1"/>
  <c r="BC82" i="1"/>
  <c r="BC83" i="1"/>
  <c r="BC84" i="1"/>
  <c r="BC85" i="1"/>
  <c r="BC88" i="1"/>
  <c r="BC96" i="1"/>
  <c r="BC97" i="1"/>
  <c r="BC98" i="1"/>
  <c r="BC102" i="1"/>
  <c r="BC103" i="1"/>
  <c r="BC104" i="1"/>
  <c r="BC105" i="1"/>
  <c r="BC111" i="1"/>
  <c r="BC112" i="1"/>
  <c r="BC113" i="1"/>
  <c r="BC114" i="1"/>
  <c r="BC123" i="1"/>
  <c r="BC125" i="1"/>
  <c r="BC127" i="1"/>
  <c r="BC128" i="1"/>
  <c r="BC129" i="1"/>
  <c r="BC130" i="1"/>
  <c r="BC131" i="1"/>
  <c r="BC132" i="1"/>
  <c r="BC133" i="1"/>
  <c r="BC134" i="1"/>
  <c r="BC138" i="1"/>
  <c r="BC139" i="1"/>
  <c r="BD67" i="1" l="1"/>
  <c r="BD123" i="1"/>
  <c r="BD125" i="1"/>
  <c r="BD68" i="1" l="1"/>
  <c r="BD98" i="1" l="1"/>
  <c r="BD97" i="1"/>
  <c r="BD96" i="1"/>
  <c r="BD141" i="1"/>
  <c r="BD140" i="1"/>
  <c r="BD139" i="1"/>
  <c r="BD138" i="1"/>
  <c r="BD137" i="1"/>
  <c r="BD134" i="1"/>
  <c r="BD133" i="1"/>
  <c r="BD132" i="1"/>
  <c r="BD131" i="1"/>
  <c r="BD130" i="1"/>
  <c r="BD129" i="1"/>
  <c r="BD128" i="1"/>
  <c r="BD127" i="1"/>
  <c r="BD118" i="1"/>
  <c r="BD117" i="1"/>
  <c r="BD116" i="1"/>
  <c r="BD114" i="1"/>
  <c r="BD113" i="1"/>
  <c r="BD112" i="1"/>
  <c r="BD111" i="1"/>
  <c r="BD109" i="1"/>
  <c r="BD108" i="1"/>
  <c r="BD107" i="1"/>
  <c r="BD105" i="1"/>
  <c r="BD104" i="1"/>
  <c r="BD103" i="1"/>
  <c r="BD102" i="1"/>
  <c r="BD99" i="1"/>
  <c r="BD94" i="1"/>
  <c r="BD93" i="1"/>
  <c r="BD92" i="1"/>
  <c r="BD91" i="1"/>
  <c r="BD90" i="1"/>
  <c r="BD88" i="1"/>
  <c r="BD87" i="1"/>
  <c r="BD85" i="1"/>
  <c r="BD84" i="1"/>
  <c r="BD83" i="1"/>
  <c r="BD82" i="1"/>
  <c r="BD80" i="1"/>
  <c r="BD79" i="1"/>
  <c r="BD78" i="1"/>
  <c r="BD77" i="1"/>
  <c r="BD76" i="1"/>
  <c r="BD65" i="1"/>
  <c r="BD64" i="1"/>
  <c r="BD63" i="1"/>
  <c r="BD61" i="1"/>
  <c r="BD60" i="1"/>
  <c r="BD59" i="1"/>
  <c r="BD58" i="1"/>
  <c r="BD56" i="1"/>
  <c r="BD55" i="1"/>
  <c r="BD54" i="1"/>
  <c r="BD53" i="1"/>
  <c r="BD51" i="1"/>
  <c r="BD50" i="1"/>
  <c r="BD49" i="1"/>
  <c r="BD47" i="1"/>
  <c r="BD46" i="1"/>
  <c r="BD45" i="1"/>
  <c r="AT2" i="1"/>
  <c r="AO2" i="1"/>
  <c r="BD43" i="1"/>
  <c r="BD40" i="1"/>
  <c r="BD38" i="1"/>
  <c r="BD37" i="1"/>
  <c r="BD36" i="1"/>
  <c r="BD35" i="1"/>
  <c r="BD33" i="1"/>
  <c r="BD32" i="1"/>
  <c r="BD31" i="1"/>
  <c r="BD30" i="1"/>
  <c r="BD29" i="1"/>
  <c r="BD27" i="1"/>
  <c r="BD26" i="1"/>
  <c r="BD25" i="1"/>
  <c r="BD24" i="1"/>
  <c r="BD23" i="1"/>
  <c r="BD21" i="1"/>
  <c r="BD20" i="1"/>
  <c r="BD19" i="1"/>
  <c r="BD18" i="1"/>
  <c r="BD16" i="1"/>
  <c r="BD15" i="1"/>
  <c r="BD14" i="1"/>
  <c r="BD13" i="1"/>
  <c r="BD12" i="1"/>
  <c r="BD10" i="1"/>
  <c r="BD9" i="1"/>
  <c r="BD8" i="1"/>
  <c r="AM2" i="1" l="1"/>
  <c r="BA124" i="1"/>
  <c r="BA144" i="1" s="1"/>
  <c r="BA147" i="1" s="1"/>
  <c r="BB124" i="1"/>
  <c r="AZ124" i="1"/>
  <c r="AX124" i="1"/>
  <c r="AX144" i="1" s="1"/>
  <c r="AX147" i="1" s="1"/>
  <c r="AW124" i="1"/>
  <c r="AQ2" i="1" s="1"/>
  <c r="AV144" i="1"/>
  <c r="AV147" i="1" s="1"/>
  <c r="BC124" i="1" l="1"/>
  <c r="AY124" i="1"/>
  <c r="AW144" i="1"/>
  <c r="AW147" i="1" s="1"/>
  <c r="AZ144" i="1"/>
  <c r="AZ147" i="1" s="1"/>
  <c r="BB144" i="1"/>
  <c r="BB147" i="1" s="1"/>
  <c r="BD124" i="1" l="1"/>
  <c r="BC144" i="1"/>
  <c r="BC147" i="1" s="1"/>
  <c r="AY144" i="1"/>
  <c r="AY147" i="1" s="1"/>
  <c r="BD144" i="1" l="1"/>
  <c r="BD147" i="1" s="1"/>
  <c r="H124" i="1" l="1"/>
  <c r="H144" i="1" l="1"/>
  <c r="H147" i="1" l="1"/>
  <c r="I124" i="1"/>
  <c r="J58" i="1"/>
  <c r="K58" i="1" s="1"/>
  <c r="I144" i="1" l="1"/>
  <c r="J124" i="1"/>
  <c r="I147" i="1" l="1"/>
  <c r="J144" i="1"/>
  <c r="K124" i="1"/>
  <c r="J147" i="1" l="1"/>
  <c r="K144" i="1"/>
  <c r="K147" i="1" s="1"/>
  <c r="AU124" i="1"/>
  <c r="AP124" i="1"/>
  <c r="AP144" i="1" s="1"/>
  <c r="AU144" i="1" l="1"/>
  <c r="AU147" i="1" s="1"/>
  <c r="AP147" i="1"/>
  <c r="AP90" i="1" l="1"/>
  <c r="AU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F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EZIN:</t>
        </r>
        <r>
          <rPr>
            <sz val="9"/>
            <color indexed="81"/>
            <rFont val="Tahoma"/>
            <family val="2"/>
          </rPr>
          <t xml:space="preserve">
Dont 4.448.293.000 FCFA pour CAA</t>
        </r>
      </text>
    </comment>
  </commentList>
</comments>
</file>

<file path=xl/sharedStrings.xml><?xml version="1.0" encoding="utf-8"?>
<sst xmlns="http://schemas.openxmlformats.org/spreadsheetml/2006/main" count="403" uniqueCount="294">
  <si>
    <t>DEPENSES ORDINAIRES</t>
  </si>
  <si>
    <t>DEPENSES EN CAPITAL</t>
  </si>
  <si>
    <t>Code Prog.</t>
  </si>
  <si>
    <t>Ministère /Programme/Dotation</t>
  </si>
  <si>
    <t>Dépenses de personnel</t>
  </si>
  <si>
    <t>Dépenses d'acquisitions de biens et services</t>
  </si>
  <si>
    <t>Dépenses de transfert</t>
  </si>
  <si>
    <t>Total dépenses ordinaires (a)</t>
  </si>
  <si>
    <t>Ressources Intérieures</t>
  </si>
  <si>
    <t>Ressources extérieures (dons)</t>
  </si>
  <si>
    <t>Ressources extérieures (prêts)</t>
  </si>
  <si>
    <t>Total dépenses en capital (b)</t>
  </si>
  <si>
    <t>MINISTERE DU PLAN ET DU DEVELOPPEMENT</t>
  </si>
  <si>
    <t>014</t>
  </si>
  <si>
    <t>Pilotage et soutien aux services du MPD</t>
  </si>
  <si>
    <t>015</t>
  </si>
  <si>
    <t>Orientation du développement</t>
  </si>
  <si>
    <t>016</t>
  </si>
  <si>
    <t>Financement du développement et suivi-évaluation</t>
  </si>
  <si>
    <t>MINISTERE DE LA JUSTICE ET DE LA LEGISLATION</t>
  </si>
  <si>
    <t>017</t>
  </si>
  <si>
    <t>Pilotage et soutien aux services du MJL</t>
  </si>
  <si>
    <t>018</t>
  </si>
  <si>
    <t>Cadre législatif normatif et institutionnel</t>
  </si>
  <si>
    <t>019</t>
  </si>
  <si>
    <t>Services judiciaires</t>
  </si>
  <si>
    <t>020</t>
  </si>
  <si>
    <t>Système pénitentiaire</t>
  </si>
  <si>
    <t>021</t>
  </si>
  <si>
    <t>Promotion des Droits de l’Homme et Protection de l’Enfance et l'Adolescence</t>
  </si>
  <si>
    <t>MINISTERE DES AFFAIRES ETRANGERES ET DE LA COOPERATION</t>
  </si>
  <si>
    <t>022</t>
  </si>
  <si>
    <t>Pilotage et soutiens aux services du MAEC</t>
  </si>
  <si>
    <t>023</t>
  </si>
  <si>
    <t>Diplomatie et coopération internationale</t>
  </si>
  <si>
    <t>024</t>
  </si>
  <si>
    <t xml:space="preserve">Béninois de la diaspora et affaires consulaires </t>
  </si>
  <si>
    <t>025</t>
  </si>
  <si>
    <t xml:space="preserve">Système d'information et communication stratégiques (Diplomatie stratégique) </t>
  </si>
  <si>
    <t>MINISTERE DE L'ECONOMIE ET DES FINANCES</t>
  </si>
  <si>
    <t>026</t>
  </si>
  <si>
    <t>Pilotage et soutien aux services du MEF</t>
  </si>
  <si>
    <t>027</t>
  </si>
  <si>
    <t xml:space="preserve">Gestion du cadre macroéconomique </t>
  </si>
  <si>
    <t>028</t>
  </si>
  <si>
    <t>Mobilisation des ressources financières et gestion de la trésorerie de l'Etat</t>
  </si>
  <si>
    <t>029</t>
  </si>
  <si>
    <t xml:space="preserve">Gestion des dépenses publiques </t>
  </si>
  <si>
    <t>030</t>
  </si>
  <si>
    <t xml:space="preserve">Gestion des biens de l'Etat et du foncier </t>
  </si>
  <si>
    <t>MINISTERE DE L'INTERIEUR ET DE LA SECURITE PUBLIQUE</t>
  </si>
  <si>
    <t>031</t>
  </si>
  <si>
    <t>Pilotage et soutien aux services du MISP</t>
  </si>
  <si>
    <t>032</t>
  </si>
  <si>
    <t xml:space="preserve">Sécurité publique </t>
  </si>
  <si>
    <t>033</t>
  </si>
  <si>
    <t xml:space="preserve">Prévention et gestion des sinistres et catastrophes </t>
  </si>
  <si>
    <t>034</t>
  </si>
  <si>
    <t xml:space="preserve">Gestion intégrée des espaces frontaliers </t>
  </si>
  <si>
    <t>035</t>
  </si>
  <si>
    <t xml:space="preserve">Gestion des affaires interieures </t>
  </si>
  <si>
    <t>MINISTERE DE L'AGRICULTURE, DE L'ELEVAGE ET DE LA PECHE</t>
  </si>
  <si>
    <t>036</t>
  </si>
  <si>
    <t xml:space="preserve">Pilotage et soutiens aux services  du MAEP </t>
  </si>
  <si>
    <t>037</t>
  </si>
  <si>
    <t>Agriculture</t>
  </si>
  <si>
    <t>038</t>
  </si>
  <si>
    <t xml:space="preserve">Elevage </t>
  </si>
  <si>
    <t>039</t>
  </si>
  <si>
    <t xml:space="preserve">Pêche et aquaculture </t>
  </si>
  <si>
    <t>MINISTERE DE LA DECENTRALISATION ET DE LA GOUVERNANCE LOCALE</t>
  </si>
  <si>
    <t>040</t>
  </si>
  <si>
    <t>Pilotage et soutien aux services du MDGL</t>
  </si>
  <si>
    <t>041</t>
  </si>
  <si>
    <t>Promotion de la bonne gouvernance locale</t>
  </si>
  <si>
    <t>042</t>
  </si>
  <si>
    <t xml:space="preserve">Promotion de l’économie locale et de l’intercommunalité </t>
  </si>
  <si>
    <t>043</t>
  </si>
  <si>
    <t xml:space="preserve">Appui à la déconcentration </t>
  </si>
  <si>
    <t>MINISTERE DU TRAVAIL ET DE LA FONCTION PUBLIQUE</t>
  </si>
  <si>
    <t>044</t>
  </si>
  <si>
    <t>Pilotage et soutien aux services du MTFP</t>
  </si>
  <si>
    <t>045</t>
  </si>
  <si>
    <t>Travail et Sécurité Sociale</t>
  </si>
  <si>
    <t>048</t>
  </si>
  <si>
    <t>Modernisation de l'administration publique</t>
  </si>
  <si>
    <t>MINISTERE DE LA SANTE</t>
  </si>
  <si>
    <t>049</t>
  </si>
  <si>
    <t>Prévention et Sécurité sanitaire</t>
  </si>
  <si>
    <t>050</t>
  </si>
  <si>
    <t>Offre et accès aux soins de santé</t>
  </si>
  <si>
    <t>051</t>
  </si>
  <si>
    <t>Pilotage et Soutien aux services du MS</t>
  </si>
  <si>
    <t>MINISTERE DE L'ENSEIGNEMENT SUPERIEUR ET DE LA RECHERCHE SCIENTIFIQUE</t>
  </si>
  <si>
    <t>054</t>
  </si>
  <si>
    <t>Pilotage et soutien aux services du MESRS</t>
  </si>
  <si>
    <t>055</t>
  </si>
  <si>
    <t>Enseignement supérieur</t>
  </si>
  <si>
    <t>056</t>
  </si>
  <si>
    <t>Recherche scientifique et innovation technologique</t>
  </si>
  <si>
    <t>057</t>
  </si>
  <si>
    <t>Vie de l'étudiant</t>
  </si>
  <si>
    <t>MINISTERE DES ENSEIGNEMENTS SECONDAIRE, TECHNIQUE, ET DE LA FORMATION PROFESSIONNELLE</t>
  </si>
  <si>
    <t>058</t>
  </si>
  <si>
    <t>Pilotage et soutien aux services  du MESTFP</t>
  </si>
  <si>
    <t>059</t>
  </si>
  <si>
    <t xml:space="preserve">Enseignement secondaire général </t>
  </si>
  <si>
    <t>060</t>
  </si>
  <si>
    <t xml:space="preserve">Enseignement technique et formation professionnelle </t>
  </si>
  <si>
    <t>061</t>
  </si>
  <si>
    <t>Alphabétisation et formation des adultes</t>
  </si>
  <si>
    <t>MINISTERE DES ENSEIGNEMENTS MATERNEL ET PRIMAIRE</t>
  </si>
  <si>
    <t>062</t>
  </si>
  <si>
    <t>Pilotage et soutiens aux services du MEMP</t>
  </si>
  <si>
    <t>063</t>
  </si>
  <si>
    <t>Accès, équité et rétention</t>
  </si>
  <si>
    <t>064</t>
  </si>
  <si>
    <t>Qualité de l'enseignement</t>
  </si>
  <si>
    <t>065</t>
  </si>
  <si>
    <t>066</t>
  </si>
  <si>
    <t>067</t>
  </si>
  <si>
    <t>MINISTERE DES INFRASTRUCTURES ET DES TRANSPORTS</t>
  </si>
  <si>
    <t>068</t>
  </si>
  <si>
    <t>Pilotage et soutien aux services du MIT</t>
  </si>
  <si>
    <t>069</t>
  </si>
  <si>
    <t>Entretien et construction de routes et infrastructures de transport rural</t>
  </si>
  <si>
    <t>070</t>
  </si>
  <si>
    <t>Transport Terrestre et securité routière</t>
  </si>
  <si>
    <t>071</t>
  </si>
  <si>
    <t>Transport maritime</t>
  </si>
  <si>
    <t>072</t>
  </si>
  <si>
    <t>Transport aérien</t>
  </si>
  <si>
    <t>MINISTERE DE L'INDUSTRIE ET DU COMMERCE</t>
  </si>
  <si>
    <t>073</t>
  </si>
  <si>
    <t>074</t>
  </si>
  <si>
    <t>Industrie</t>
  </si>
  <si>
    <t>075</t>
  </si>
  <si>
    <t>Commerce</t>
  </si>
  <si>
    <t>077</t>
  </si>
  <si>
    <t>Appui au secteur privé</t>
  </si>
  <si>
    <t>MINISTERE DE L'ENERGIE</t>
  </si>
  <si>
    <t>078</t>
  </si>
  <si>
    <t>Pilotage et soutiens aux services  du ME</t>
  </si>
  <si>
    <t>079</t>
  </si>
  <si>
    <t xml:space="preserve">Energie </t>
  </si>
  <si>
    <t>MINISTERE DU CADRE DE VIE ET DU DEVELOPPEMENT DURABLE</t>
  </si>
  <si>
    <t>082</t>
  </si>
  <si>
    <t>Pilotage et soutien aux services du MCVDD</t>
  </si>
  <si>
    <t>083</t>
  </si>
  <si>
    <t>Gestion de l'environnement et des changements climatiques</t>
  </si>
  <si>
    <t>084</t>
  </si>
  <si>
    <t>Gestion durable des forêts et des ressources naturelles</t>
  </si>
  <si>
    <t>085</t>
  </si>
  <si>
    <t>Gestion des territoires</t>
  </si>
  <si>
    <t>086</t>
  </si>
  <si>
    <t>Habitat</t>
  </si>
  <si>
    <t>090</t>
  </si>
  <si>
    <t>091</t>
  </si>
  <si>
    <t xml:space="preserve">Sport </t>
  </si>
  <si>
    <t>092</t>
  </si>
  <si>
    <t>088</t>
  </si>
  <si>
    <t>Tourisme</t>
  </si>
  <si>
    <t>089</t>
  </si>
  <si>
    <t>Culture</t>
  </si>
  <si>
    <t>MINISTERE DE LA DEFENSE NATIONALE</t>
  </si>
  <si>
    <t>094</t>
  </si>
  <si>
    <t>Pilotage et soutien aux services du MDN</t>
  </si>
  <si>
    <t>095</t>
  </si>
  <si>
    <t>Préparation des Forces</t>
  </si>
  <si>
    <t>096</t>
  </si>
  <si>
    <t>Protection du territoire national et participation aux opérations militaires</t>
  </si>
  <si>
    <t>097</t>
  </si>
  <si>
    <t>Equipements et infrastructures</t>
  </si>
  <si>
    <t>MINISTERE DES AFFAIRES SOCIALES ET DE LA MICROFINANCE</t>
  </si>
  <si>
    <t>098</t>
  </si>
  <si>
    <t>Pilotage et soutien aux services du MASM</t>
  </si>
  <si>
    <t>099</t>
  </si>
  <si>
    <t>PROMOTION SOCIO-ECONOMIQUE DES COUCHES VULNERABLES</t>
  </si>
  <si>
    <t>100</t>
  </si>
  <si>
    <t>PROMOTION DE L'INDUSTRIE DE LA MICROFINANCE</t>
  </si>
  <si>
    <t>MINISTERE DES PETITES ET MOYENNES ENTREPRISES ET DE LA PROMOTION DE L'EMPLOI</t>
  </si>
  <si>
    <t>0101</t>
  </si>
  <si>
    <t>Pilotage et soutien aux services du MPMEPE</t>
  </si>
  <si>
    <t>0102</t>
  </si>
  <si>
    <t>Emploi</t>
  </si>
  <si>
    <t>0103</t>
  </si>
  <si>
    <t>Artisanat</t>
  </si>
  <si>
    <t>0104</t>
  </si>
  <si>
    <t>PME</t>
  </si>
  <si>
    <t>MINISTERE DE L'EAU ET DES MINES</t>
  </si>
  <si>
    <t>0105</t>
  </si>
  <si>
    <t>Pilotage et soutiens aux services du MEM</t>
  </si>
  <si>
    <t>080</t>
  </si>
  <si>
    <t xml:space="preserve">Eau </t>
  </si>
  <si>
    <t>081</t>
  </si>
  <si>
    <t>Mines</t>
  </si>
  <si>
    <t>TOTAL PROGRAMMES BUDGETAIRES</t>
  </si>
  <si>
    <t>DOTATIONS BUDGETAIRES</t>
  </si>
  <si>
    <t>001</t>
  </si>
  <si>
    <t>Dotation pour l'Assemblée Nationale</t>
  </si>
  <si>
    <t>002</t>
  </si>
  <si>
    <t>Dotation pour la Cour Constitutionnelle</t>
  </si>
  <si>
    <t>003</t>
  </si>
  <si>
    <t>Dotation pour la Cour Suprême</t>
  </si>
  <si>
    <t>004</t>
  </si>
  <si>
    <t>Dotation pour le Conseil Economique et Social</t>
  </si>
  <si>
    <t>005</t>
  </si>
  <si>
    <t>Dotation pour la Haute Autorité de l’Audiovisuel et de la Communication</t>
  </si>
  <si>
    <t>006</t>
  </si>
  <si>
    <t>Dotation pour la Haute Cour de Justice</t>
  </si>
  <si>
    <t>007</t>
  </si>
  <si>
    <t>Dotation pour le Médiateur de la République</t>
  </si>
  <si>
    <t>008</t>
  </si>
  <si>
    <t xml:space="preserve">Dotation pour la Commission Electorale Nationale Autonome </t>
  </si>
  <si>
    <t>009</t>
  </si>
  <si>
    <t>Dotation pour le FNRB, la CAA et le Fonds Routier</t>
  </si>
  <si>
    <t>010</t>
  </si>
  <si>
    <t>Dotation pour la Présidence de la République</t>
  </si>
  <si>
    <t>011</t>
  </si>
  <si>
    <t>Dotation pour les dépenses d'intervention publique, accidentelles et imprévisibles</t>
  </si>
  <si>
    <t>012</t>
  </si>
  <si>
    <t>Dotations pour les crédits destinés à couvrir les défauts de remboursement ou les appels en garanties intervenues sur les comptes d'avances, de prêts, d'aval et de garanties</t>
  </si>
  <si>
    <t>Dotation pour les Charges financières de la dette</t>
  </si>
  <si>
    <t>TOTAL BUDGET DE L'ETAT</t>
  </si>
  <si>
    <t>Jeunesse et Loisirs</t>
  </si>
  <si>
    <t>Total des Prévisions</t>
  </si>
  <si>
    <t>013</t>
  </si>
  <si>
    <t>(en milliers de francs CFA)</t>
  </si>
  <si>
    <t xml:space="preserve">Commission Béninoise des Droits de l'Homme </t>
  </si>
  <si>
    <t>Autorité de Protection des Données à Caractère Personnel</t>
  </si>
  <si>
    <t>Cour des Comptes</t>
  </si>
  <si>
    <t>MINISTERE DU NUMERIQUE ET DE LA DIGITALISATION</t>
  </si>
  <si>
    <t>MINISTERE  DES SPORTS</t>
  </si>
  <si>
    <t>Pilotage et soutiens aux services du MTCA</t>
  </si>
  <si>
    <t>093</t>
  </si>
  <si>
    <t>Culture et Art</t>
  </si>
  <si>
    <t>MINISTERE DE LA COMMUNICATION ET DE LA POSTE</t>
  </si>
  <si>
    <t>Pilotage et soutien aux services du MND</t>
  </si>
  <si>
    <t>Pilotage et soutien aux services du MCP</t>
  </si>
  <si>
    <t xml:space="preserve">Information, Communication et poste </t>
  </si>
  <si>
    <t>MINISTERE DU TOURISME, DE LA CULTURE ET DES ARTS</t>
  </si>
  <si>
    <t xml:space="preserve">Opérations de Trésoreries </t>
  </si>
  <si>
    <t>TOTAL DE LA LOI DE FINANCES</t>
  </si>
  <si>
    <t>Pilotage et soutien aux services du MIC</t>
  </si>
  <si>
    <t>Sécurité Numérique</t>
  </si>
  <si>
    <t>Digitalisation de l'Administration, des entreprises et de la société</t>
  </si>
  <si>
    <t>Infrastructure et Usages Numériques</t>
  </si>
  <si>
    <t>Pilotage et soutien aux services du Msports</t>
  </si>
  <si>
    <t xml:space="preserve"> </t>
  </si>
  <si>
    <t>Medias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</si>
  <si>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</si>
  <si>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 (LFI)</t>
  </si>
  <si>
    <t>N°</t>
  </si>
  <si>
    <t>FONCTIONS</t>
  </si>
  <si>
    <t>TOTAL FONCTION</t>
  </si>
  <si>
    <t>Poids</t>
  </si>
  <si>
    <t>Observations</t>
  </si>
  <si>
    <t>DEPENSES DE PERSONNEL</t>
  </si>
  <si>
    <t>ACHATS DE BIENS ET SERVICES</t>
  </si>
  <si>
    <t>AUTRES TRANSFERTS COURANTS</t>
  </si>
  <si>
    <t>FINANCEMENT INTERIEUR</t>
  </si>
  <si>
    <t>FINANCEMENT EXTERIEUR</t>
  </si>
  <si>
    <t>DEPENSES D'ACQUISITION DE BIENS ET SERVICES</t>
  </si>
  <si>
    <t>01</t>
  </si>
  <si>
    <t>Services Généraux des Administrations publiques</t>
  </si>
  <si>
    <r>
      <t xml:space="preserve">MDC, MAEC, MDGL, MTFP, AN, CC, CS, CES, HAC, HCJ, MR, CENA, CBDH, APDP, PR, </t>
    </r>
    <r>
      <rPr>
        <sz val="9"/>
        <rFont val="Segoe UI"/>
        <family val="2"/>
      </rPr>
      <t>Dépenses d'intervention publique accidentelle et imprévisible (Dépenses fiscales, Modenisation de régies financières, Dépenses communes, Dépenses diverses, dépenses d'exercice clos, Etude de faisabilité et expertise Promotion de la recherche agricole) , Charges financières de la Dette Publique, Cour des Comptes</t>
    </r>
  </si>
  <si>
    <t>02</t>
  </si>
  <si>
    <t>Defense</t>
  </si>
  <si>
    <t>MDN, Compte OME</t>
  </si>
  <si>
    <t>03</t>
  </si>
  <si>
    <t>Ordre et Sécurité Publique</t>
  </si>
  <si>
    <t>MJL, MISP, Prévention et Gestion des Catastrophes</t>
  </si>
  <si>
    <t>04</t>
  </si>
  <si>
    <t>Affaires économiques</t>
  </si>
  <si>
    <r>
      <t xml:space="preserve">MEF, MAEP, MCP, MIT, MIC, MPMEPE, ME, MND, </t>
    </r>
    <r>
      <rPr>
        <sz val="10"/>
        <rFont val="Segoe UI"/>
        <family val="2"/>
      </rPr>
      <t>Modernisation des Régies, Dépenses d'intervention publique accidentelles et imprévisibles (Investissement en portefeuille, Dépenses fiscales, Etude de faisabilité)</t>
    </r>
  </si>
  <si>
    <t>05</t>
  </si>
  <si>
    <t xml:space="preserve">Protection de l'environnement </t>
  </si>
  <si>
    <t>MCVDD (données pilotage et soutien, environnement et climat, Eau forêt et chasse)</t>
  </si>
  <si>
    <t>06</t>
  </si>
  <si>
    <t>Logement et équipements collectifs</t>
  </si>
  <si>
    <t>MCVDD (données ville et territoire durable, habitat), MEM</t>
  </si>
  <si>
    <t>07</t>
  </si>
  <si>
    <t>Santé</t>
  </si>
  <si>
    <t>MS</t>
  </si>
  <si>
    <t>08</t>
  </si>
  <si>
    <t>Loisirs, Culture et Culte</t>
  </si>
  <si>
    <t>M Sport, MTCA</t>
  </si>
  <si>
    <t>09</t>
  </si>
  <si>
    <t>Enseignement</t>
  </si>
  <si>
    <t>MESRS, MESTFP, MEMP, Partenariat mondial pour l'éducation</t>
  </si>
  <si>
    <t>10</t>
  </si>
  <si>
    <t xml:space="preserve">Protection sociale </t>
  </si>
  <si>
    <t>MASM, Assurance retraite des agents de l'Etat</t>
  </si>
  <si>
    <t>TOTAL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</si>
</sst>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C_F_A_-;\-* #,##0\ _C_F_A_-;_-* &quot;-&quot;\ _C_F_A_-;_-@_-"/>
    <numFmt numFmtId="165" formatCode="#,##0.0"/>
    <numFmt numFmtId="166" formatCode="_-* #,##0.0\ _C_F_A_-;\-* #,##0.0\ _C_F_A_-;_-* &quot;-&quot;?\ _C_F_A_-;_-@_-"/>
    <numFmt numFmtId="167" formatCode="_-* #,##0.00\ _€_-;\-* #,##0.00\ _€_-;_-* &quot;-&quot;??\ _€_-;_-@_-"/>
    <numFmt numFmtId="168" formatCode="_-* #,##0\ _€_-;\-* #,##0\ _€_-;_-* &quot;-&quot;??\ _€_-;_-@_-"/>
    <numFmt numFmtId="169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002060"/>
      <name val="Segoe UI"/>
      <family val="2"/>
    </font>
    <font>
      <sz val="11"/>
      <color rgb="FF9C000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Segoe UI"/>
      <family val="2"/>
    </font>
    <font>
      <sz val="11"/>
      <color rgb="FF006100"/>
      <name val="Calibri"/>
      <family val="2"/>
      <scheme val="minor"/>
    </font>
    <font>
      <b/>
      <sz val="9"/>
      <color theme="1"/>
      <name val="Segoe UI"/>
      <family val="2"/>
    </font>
    <font>
      <b/>
      <sz val="11"/>
      <name val="Segoe UI"/>
      <family val="2"/>
    </font>
    <font>
      <sz val="9"/>
      <color rgb="FF000000"/>
      <name val="Segoe UI"/>
      <family val="2"/>
    </font>
    <font>
      <sz val="9"/>
      <name val="Segoe UI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8" fillId="8" borderId="0" applyNumberFormat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6" fillId="10" borderId="0" applyNumberFormat="0" applyBorder="0" applyAlignment="0" applyProtection="0"/>
    <xf numFmtId="167" fontId="11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1" fillId="4" borderId="7" xfId="0" applyNumberFormat="1" applyFont="1" applyFill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5" fontId="5" fillId="0" borderId="8" xfId="0" applyNumberFormat="1" applyFont="1" applyFill="1" applyBorder="1" applyAlignment="1">
      <alignment vertical="center"/>
    </xf>
    <xf numFmtId="0" fontId="4" fillId="0" borderId="10" xfId="0" quotePrefix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165" fontId="5" fillId="0" borderId="10" xfId="0" applyNumberFormat="1" applyFont="1" applyFill="1" applyBorder="1" applyAlignment="1">
      <alignment vertical="center"/>
    </xf>
    <xf numFmtId="0" fontId="1" fillId="5" borderId="0" xfId="0" applyFont="1" applyFill="1" applyBorder="1" applyAlignment="1">
      <alignment vertical="center" wrapText="1"/>
    </xf>
    <xf numFmtId="165" fontId="1" fillId="6" borderId="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5" fontId="1" fillId="4" borderId="4" xfId="0" applyNumberFormat="1" applyFont="1" applyFill="1" applyBorder="1" applyAlignment="1">
      <alignment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165" fontId="5" fillId="0" borderId="12" xfId="0" applyNumberFormat="1" applyFont="1" applyFill="1" applyBorder="1" applyAlignment="1">
      <alignment vertical="center"/>
    </xf>
    <xf numFmtId="165" fontId="1" fillId="7" borderId="4" xfId="0" applyNumberFormat="1" applyFont="1" applyFill="1" applyBorder="1" applyAlignment="1">
      <alignment vertical="center"/>
    </xf>
    <xf numFmtId="3" fontId="0" fillId="0" borderId="0" xfId="0" applyNumberFormat="1"/>
    <xf numFmtId="0" fontId="0" fillId="0" borderId="14" xfId="0" applyBorder="1"/>
    <xf numFmtId="3" fontId="4" fillId="0" borderId="0" xfId="0" applyNumberFormat="1" applyFont="1"/>
    <xf numFmtId="165" fontId="0" fillId="0" borderId="0" xfId="0" applyNumberFormat="1"/>
    <xf numFmtId="0" fontId="4" fillId="0" borderId="16" xfId="0" quotePrefix="1" applyFont="1" applyBorder="1" applyAlignment="1">
      <alignment horizontal="center" vertical="center"/>
    </xf>
    <xf numFmtId="165" fontId="1" fillId="4" borderId="6" xfId="0" quotePrefix="1" applyNumberFormat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9" fillId="0" borderId="0" xfId="0" applyFont="1"/>
    <xf numFmtId="165" fontId="10" fillId="8" borderId="4" xfId="1" applyNumberFormat="1" applyFont="1" applyBorder="1" applyAlignment="1">
      <alignment vertical="center"/>
    </xf>
    <xf numFmtId="164" fontId="5" fillId="0" borderId="9" xfId="2" applyFont="1" applyFill="1" applyBorder="1" applyAlignment="1">
      <alignment vertical="center" wrapText="1"/>
    </xf>
    <xf numFmtId="0" fontId="4" fillId="0" borderId="17" xfId="0" quotePrefix="1" applyFont="1" applyBorder="1" applyAlignment="1">
      <alignment horizontal="center" vertical="center"/>
    </xf>
    <xf numFmtId="165" fontId="5" fillId="0" borderId="17" xfId="0" applyNumberFormat="1" applyFont="1" applyFill="1" applyBorder="1" applyAlignment="1">
      <alignment vertical="center"/>
    </xf>
    <xf numFmtId="165" fontId="5" fillId="0" borderId="13" xfId="0" applyNumberFormat="1" applyFont="1" applyFill="1" applyBorder="1" applyAlignment="1">
      <alignment vertical="center"/>
    </xf>
    <xf numFmtId="165" fontId="1" fillId="4" borderId="6" xfId="0" applyNumberFormat="1" applyFont="1" applyFill="1" applyBorder="1" applyAlignment="1">
      <alignment vertical="center"/>
    </xf>
    <xf numFmtId="165" fontId="5" fillId="9" borderId="8" xfId="0" applyNumberFormat="1" applyFont="1" applyFill="1" applyBorder="1" applyAlignment="1">
      <alignment vertical="center"/>
    </xf>
    <xf numFmtId="164" fontId="0" fillId="0" borderId="0" xfId="0" applyNumberFormat="1"/>
    <xf numFmtId="166" fontId="0" fillId="0" borderId="0" xfId="0" applyNumberFormat="1"/>
    <xf numFmtId="165" fontId="5" fillId="0" borderId="19" xfId="0" applyNumberFormat="1" applyFont="1" applyFill="1" applyBorder="1" applyAlignment="1">
      <alignment vertical="center"/>
    </xf>
    <xf numFmtId="165" fontId="0" fillId="9" borderId="0" xfId="0" applyNumberFormat="1" applyFill="1"/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5" fillId="0" borderId="7" xfId="0" applyNumberFormat="1" applyFont="1" applyBorder="1" applyAlignment="1">
      <alignment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6" fillId="0" borderId="8" xfId="0" applyNumberFormat="1" applyFont="1" applyBorder="1" applyAlignment="1">
      <alignment vertical="center"/>
    </xf>
    <xf numFmtId="3" fontId="5" fillId="3" borderId="8" xfId="0" applyNumberFormat="1" applyFont="1" applyFill="1" applyBorder="1" applyAlignment="1">
      <alignment vertical="center"/>
    </xf>
    <xf numFmtId="3" fontId="6" fillId="0" borderId="10" xfId="0" applyNumberFormat="1" applyFont="1" applyBorder="1" applyAlignment="1">
      <alignment vertical="center"/>
    </xf>
    <xf numFmtId="3" fontId="5" fillId="3" borderId="10" xfId="0" applyNumberFormat="1" applyFont="1" applyFill="1" applyBorder="1" applyAlignment="1">
      <alignment vertical="center"/>
    </xf>
    <xf numFmtId="3" fontId="5" fillId="3" borderId="7" xfId="0" applyNumberFormat="1" applyFont="1" applyFill="1" applyBorder="1" applyAlignment="1">
      <alignment vertical="center"/>
    </xf>
    <xf numFmtId="165" fontId="12" fillId="0" borderId="8" xfId="0" applyNumberFormat="1" applyFont="1" applyFill="1" applyBorder="1" applyAlignment="1">
      <alignment vertical="center"/>
    </xf>
    <xf numFmtId="3" fontId="5" fillId="0" borderId="10" xfId="0" applyNumberFormat="1" applyFont="1" applyBorder="1" applyAlignment="1">
      <alignment vertical="center"/>
    </xf>
    <xf numFmtId="3" fontId="15" fillId="0" borderId="7" xfId="0" applyNumberFormat="1" applyFont="1" applyBorder="1" applyAlignment="1">
      <alignment vertical="center"/>
    </xf>
    <xf numFmtId="3" fontId="5" fillId="0" borderId="12" xfId="0" applyNumberFormat="1" applyFont="1" applyBorder="1" applyAlignment="1">
      <alignment vertical="center"/>
    </xf>
    <xf numFmtId="3" fontId="15" fillId="0" borderId="8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165" fontId="4" fillId="4" borderId="7" xfId="0" applyNumberFormat="1" applyFont="1" applyFill="1" applyBorder="1" applyAlignment="1">
      <alignment vertical="center"/>
    </xf>
    <xf numFmtId="165" fontId="15" fillId="0" borderId="8" xfId="0" applyNumberFormat="1" applyFont="1" applyFill="1" applyBorder="1" applyAlignment="1">
      <alignment vertical="center"/>
    </xf>
    <xf numFmtId="164" fontId="15" fillId="0" borderId="0" xfId="2" applyFont="1" applyAlignment="1"/>
    <xf numFmtId="165" fontId="15" fillId="9" borderId="8" xfId="0" applyNumberFormat="1" applyFont="1" applyFill="1" applyBorder="1" applyAlignment="1">
      <alignment vertical="center"/>
    </xf>
    <xf numFmtId="165" fontId="15" fillId="0" borderId="13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165" fontId="15" fillId="0" borderId="18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68" fontId="4" fillId="0" borderId="0" xfId="5" applyNumberFormat="1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/>
    </xf>
    <xf numFmtId="0" fontId="5" fillId="11" borderId="9" xfId="0" applyFont="1" applyFill="1" applyBorder="1" applyAlignment="1">
      <alignment vertical="center" wrapText="1"/>
    </xf>
    <xf numFmtId="3" fontId="5" fillId="9" borderId="9" xfId="0" applyNumberFormat="1" applyFont="1" applyFill="1" applyBorder="1" applyAlignment="1">
      <alignment vertical="center" wrapText="1"/>
    </xf>
    <xf numFmtId="165" fontId="18" fillId="9" borderId="8" xfId="0" applyNumberFormat="1" applyFont="1" applyFill="1" applyBorder="1" applyAlignment="1">
      <alignment vertical="center"/>
    </xf>
    <xf numFmtId="169" fontId="5" fillId="9" borderId="8" xfId="3" applyNumberFormat="1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vertical="center" wrapText="1"/>
    </xf>
    <xf numFmtId="165" fontId="12" fillId="0" borderId="8" xfId="0" applyNumberFormat="1" applyFont="1" applyBorder="1" applyAlignment="1">
      <alignment vertical="center"/>
    </xf>
    <xf numFmtId="169" fontId="5" fillId="0" borderId="8" xfId="3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vertical="center" wrapText="1"/>
    </xf>
    <xf numFmtId="165" fontId="19" fillId="0" borderId="8" xfId="0" applyNumberFormat="1" applyFont="1" applyBorder="1" applyAlignment="1">
      <alignment vertical="center" wrapText="1"/>
    </xf>
    <xf numFmtId="3" fontId="21" fillId="0" borderId="9" xfId="4" applyNumberFormat="1" applyFont="1" applyFill="1" applyBorder="1" applyAlignment="1">
      <alignment vertical="center" wrapText="1"/>
    </xf>
    <xf numFmtId="165" fontId="22" fillId="9" borderId="8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5" fillId="9" borderId="30" xfId="0" applyNumberFormat="1" applyFont="1" applyFill="1" applyBorder="1" applyAlignment="1">
      <alignment vertical="center" wrapText="1"/>
    </xf>
    <xf numFmtId="165" fontId="22" fillId="0" borderId="8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165" fontId="18" fillId="0" borderId="8" xfId="0" applyNumberFormat="1" applyFont="1" applyBorder="1" applyAlignment="1">
      <alignment vertical="center"/>
    </xf>
    <xf numFmtId="3" fontId="5" fillId="9" borderId="4" xfId="0" applyNumberFormat="1" applyFont="1" applyFill="1" applyBorder="1" applyAlignment="1">
      <alignment vertical="center" wrapText="1"/>
    </xf>
    <xf numFmtId="3" fontId="5" fillId="9" borderId="13" xfId="0" applyNumberFormat="1" applyFont="1" applyFill="1" applyBorder="1" applyAlignment="1">
      <alignment vertical="center" wrapText="1"/>
    </xf>
    <xf numFmtId="3" fontId="12" fillId="0" borderId="9" xfId="0" applyNumberFormat="1" applyFont="1" applyBorder="1" applyAlignment="1">
      <alignment vertical="center" wrapText="1"/>
    </xf>
    <xf numFmtId="3" fontId="18" fillId="0" borderId="9" xfId="0" applyNumberFormat="1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68" fontId="4" fillId="0" borderId="0" xfId="5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quotePrefix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6">
    <cellStyle name="Bad" xfId="1" builtinId="27"/>
    <cellStyle name="Comma [0]" xfId="2" builtinId="6"/>
    <cellStyle name="Good" xfId="4" builtinId="26"/>
    <cellStyle name="Milliers 2" xfId="5" xr:uid="{2F21A7BC-57C2-44D5-A211-24AF30117BAF}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AppData/Local/Temp/Tableau%20de%20Classification%20Economique-Administrative-Programmatique%202018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MATRIX/Tableau%20de%20Classification%20Economique-Administrative-Programmatique%202018-2023%20(Enregistr&#233;%20automatiquemen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TABLEAU%20MATRICIEL%20DV/Tableau%20de%20Classification%20Economique-Administrative-Programmatique%202019-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CLASSIFICATION%20LF%202022/Copie%20de%20Classifications%20LF%202022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Copie%20de%20Annexes%20PLF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7">
          <cell r="U7">
            <v>1077600</v>
          </cell>
          <cell r="V7">
            <v>2337482</v>
          </cell>
          <cell r="W7">
            <v>2373097</v>
          </cell>
          <cell r="Y7">
            <v>100000</v>
          </cell>
          <cell r="Z7">
            <v>10000000</v>
          </cell>
          <cell r="AA7">
            <v>4000000</v>
          </cell>
          <cell r="AD7">
            <v>1050259</v>
          </cell>
          <cell r="AE7">
            <v>2732523</v>
          </cell>
          <cell r="AF7">
            <v>1973096</v>
          </cell>
          <cell r="AH7">
            <v>100000</v>
          </cell>
          <cell r="AI7">
            <v>5000000</v>
          </cell>
          <cell r="AJ7">
            <v>3000000</v>
          </cell>
        </row>
        <row r="11">
          <cell r="AD11">
            <v>6277178</v>
          </cell>
          <cell r="AE11">
            <v>3659047</v>
          </cell>
          <cell r="AF11">
            <v>3565848</v>
          </cell>
          <cell r="AH11">
            <v>6752200</v>
          </cell>
        </row>
        <row r="17">
          <cell r="U17">
            <v>13320800</v>
          </cell>
          <cell r="V17">
            <v>8722571</v>
          </cell>
          <cell r="W17">
            <v>195039</v>
          </cell>
          <cell r="Y17">
            <v>1800000</v>
          </cell>
          <cell r="AD17">
            <v>15006544</v>
          </cell>
          <cell r="AE17">
            <v>5728052</v>
          </cell>
          <cell r="AF17">
            <v>100000</v>
          </cell>
          <cell r="AH17">
            <v>2130000</v>
          </cell>
        </row>
        <row r="28">
          <cell r="AD28">
            <v>33313823</v>
          </cell>
          <cell r="AE28">
            <v>8302983</v>
          </cell>
          <cell r="AF28">
            <v>615000</v>
          </cell>
          <cell r="AH28">
            <v>7995029</v>
          </cell>
        </row>
        <row r="39">
          <cell r="U39">
            <v>1970600</v>
          </cell>
          <cell r="V39">
            <v>3460065</v>
          </cell>
          <cell r="W39">
            <v>4252183</v>
          </cell>
          <cell r="Y39">
            <v>15300000</v>
          </cell>
          <cell r="Z39">
            <v>19405501</v>
          </cell>
          <cell r="AD39">
            <v>1786770</v>
          </cell>
          <cell r="AE39">
            <v>3743639</v>
          </cell>
          <cell r="AF39">
            <v>4778680</v>
          </cell>
          <cell r="AH39">
            <v>16000000</v>
          </cell>
          <cell r="AI39">
            <v>15862546</v>
          </cell>
        </row>
        <row r="44">
          <cell r="U44">
            <v>2913800</v>
          </cell>
          <cell r="V44">
            <v>1787820</v>
          </cell>
          <cell r="W44">
            <v>2304270</v>
          </cell>
          <cell r="Y44">
            <v>450000</v>
          </cell>
          <cell r="AD44">
            <v>1757705</v>
          </cell>
          <cell r="AE44">
            <v>3652088</v>
          </cell>
          <cell r="AF44">
            <v>1253000</v>
          </cell>
          <cell r="AH44">
            <v>400000</v>
          </cell>
          <cell r="AI44">
            <v>165000</v>
          </cell>
        </row>
        <row r="89">
          <cell r="AD89">
            <v>568092</v>
          </cell>
          <cell r="AE89">
            <v>866214</v>
          </cell>
          <cell r="AF89">
            <v>632000</v>
          </cell>
          <cell r="AH89">
            <v>1000000</v>
          </cell>
        </row>
        <row r="90">
          <cell r="AD90">
            <v>259028</v>
          </cell>
          <cell r="AE90">
            <v>14000</v>
          </cell>
          <cell r="AF90">
            <v>254830</v>
          </cell>
          <cell r="AH90">
            <v>9595000</v>
          </cell>
          <cell r="AJ90">
            <v>17598204</v>
          </cell>
        </row>
        <row r="91">
          <cell r="AD91">
            <v>2604324</v>
          </cell>
          <cell r="AE91">
            <v>97650</v>
          </cell>
          <cell r="AF91">
            <v>729341</v>
          </cell>
          <cell r="AH91">
            <v>3140000</v>
          </cell>
          <cell r="AJ91">
            <v>5000000</v>
          </cell>
        </row>
        <row r="92">
          <cell r="AD92">
            <v>204638</v>
          </cell>
          <cell r="AE92">
            <v>26600</v>
          </cell>
          <cell r="AF92">
            <v>495875</v>
          </cell>
          <cell r="AH92">
            <v>29627863</v>
          </cell>
          <cell r="AI92">
            <v>1598204</v>
          </cell>
          <cell r="AJ92">
            <v>12401796</v>
          </cell>
        </row>
        <row r="93">
          <cell r="AD93">
            <v>138126</v>
          </cell>
          <cell r="AE93">
            <v>21000</v>
          </cell>
          <cell r="AF93">
            <v>29750</v>
          </cell>
          <cell r="AH93">
            <v>7900000</v>
          </cell>
          <cell r="AI93">
            <v>6500000</v>
          </cell>
        </row>
        <row r="100">
          <cell r="AE100">
            <v>7243967</v>
          </cell>
          <cell r="AW100">
            <v>5068987</v>
          </cell>
        </row>
        <row r="105">
          <cell r="AQ105">
            <v>1000000</v>
          </cell>
        </row>
        <row r="114">
          <cell r="AD114">
            <v>926402</v>
          </cell>
          <cell r="AE114">
            <v>1515747</v>
          </cell>
          <cell r="AF114">
            <v>69993</v>
          </cell>
          <cell r="AH114">
            <v>22030269</v>
          </cell>
          <cell r="AI114">
            <v>6948708</v>
          </cell>
          <cell r="AJ114">
            <v>23000000</v>
          </cell>
        </row>
        <row r="126">
          <cell r="U126">
            <v>10068300</v>
          </cell>
          <cell r="V126">
            <v>3623666</v>
          </cell>
          <cell r="W126">
            <v>265000</v>
          </cell>
          <cell r="AD126">
            <v>10634166</v>
          </cell>
          <cell r="AE126">
            <v>3712584</v>
          </cell>
          <cell r="AF126">
            <v>232000</v>
          </cell>
          <cell r="AH126">
            <v>2500000</v>
          </cell>
        </row>
        <row r="127">
          <cell r="U127">
            <v>1139545</v>
          </cell>
          <cell r="V127">
            <v>556400</v>
          </cell>
          <cell r="W127">
            <v>3600</v>
          </cell>
          <cell r="AD127">
            <v>1103844</v>
          </cell>
          <cell r="AE127">
            <v>593235</v>
          </cell>
          <cell r="AF127">
            <v>3600</v>
          </cell>
        </row>
        <row r="128">
          <cell r="U128">
            <v>1819700</v>
          </cell>
          <cell r="V128">
            <v>750252</v>
          </cell>
          <cell r="W128">
            <v>528000</v>
          </cell>
          <cell r="AD128">
            <v>1910366</v>
          </cell>
          <cell r="AE128">
            <v>750252</v>
          </cell>
          <cell r="AF128">
            <v>528000</v>
          </cell>
        </row>
        <row r="129">
          <cell r="U129">
            <v>1345993</v>
          </cell>
          <cell r="V129">
            <v>546288</v>
          </cell>
          <cell r="W129">
            <v>45000</v>
          </cell>
          <cell r="AD129">
            <v>1404633</v>
          </cell>
          <cell r="AE129">
            <v>543767</v>
          </cell>
          <cell r="AF129">
            <v>47521</v>
          </cell>
        </row>
        <row r="130">
          <cell r="U130">
            <v>1097931</v>
          </cell>
          <cell r="V130">
            <v>845674</v>
          </cell>
          <cell r="W130">
            <v>100000</v>
          </cell>
          <cell r="AD130">
            <v>1277730</v>
          </cell>
          <cell r="AE130">
            <v>845674</v>
          </cell>
          <cell r="AF130">
            <v>100000</v>
          </cell>
        </row>
        <row r="131">
          <cell r="U131">
            <v>287800</v>
          </cell>
          <cell r="V131">
            <v>215600</v>
          </cell>
          <cell r="W131">
            <v>1000</v>
          </cell>
          <cell r="AD131">
            <v>328808</v>
          </cell>
          <cell r="AE131">
            <v>223685</v>
          </cell>
          <cell r="AF131">
            <v>1000</v>
          </cell>
        </row>
        <row r="132">
          <cell r="U132">
            <v>109393</v>
          </cell>
          <cell r="V132">
            <v>211155</v>
          </cell>
          <cell r="W132">
            <v>80000</v>
          </cell>
          <cell r="AD132">
            <v>109648</v>
          </cell>
          <cell r="AE132">
            <v>251155</v>
          </cell>
          <cell r="AF132">
            <v>40000</v>
          </cell>
        </row>
        <row r="133">
          <cell r="W133">
            <v>890000</v>
          </cell>
          <cell r="AF133">
            <v>890000</v>
          </cell>
        </row>
        <row r="134">
          <cell r="W134">
            <v>100000</v>
          </cell>
          <cell r="AF134">
            <v>100000</v>
          </cell>
        </row>
        <row r="135">
          <cell r="U135">
            <v>242550</v>
          </cell>
          <cell r="V135">
            <v>130875</v>
          </cell>
          <cell r="W135">
            <v>196575</v>
          </cell>
          <cell r="AD135">
            <v>351369</v>
          </cell>
          <cell r="AE135">
            <v>246431</v>
          </cell>
          <cell r="AF135">
            <v>2200</v>
          </cell>
        </row>
        <row r="137">
          <cell r="U137">
            <v>1905200</v>
          </cell>
          <cell r="V137">
            <v>7368277</v>
          </cell>
          <cell r="W137">
            <v>16395365</v>
          </cell>
          <cell r="Z137">
            <v>8078310</v>
          </cell>
          <cell r="AD137">
            <v>1606605</v>
          </cell>
          <cell r="AE137">
            <v>7340289</v>
          </cell>
          <cell r="AF137">
            <v>16407624</v>
          </cell>
          <cell r="AH137">
            <v>500000</v>
          </cell>
          <cell r="AI137">
            <v>3750000</v>
          </cell>
        </row>
        <row r="138">
          <cell r="U138">
            <v>30609</v>
          </cell>
          <cell r="W138">
            <v>354352</v>
          </cell>
          <cell r="AD138">
            <v>32723</v>
          </cell>
          <cell r="AF138">
            <v>467277</v>
          </cell>
        </row>
        <row r="139">
          <cell r="U139">
            <v>51483059</v>
          </cell>
          <cell r="V139">
            <v>88536289</v>
          </cell>
          <cell r="W139">
            <v>125046778</v>
          </cell>
          <cell r="Y139">
            <v>7300000</v>
          </cell>
          <cell r="AD139">
            <v>60049204</v>
          </cell>
          <cell r="AE139">
            <v>31194936</v>
          </cell>
          <cell r="AF139">
            <v>132985062</v>
          </cell>
        </row>
        <row r="140">
          <cell r="W140">
            <v>1500000</v>
          </cell>
          <cell r="Y140">
            <v>3000000</v>
          </cell>
          <cell r="AA140">
            <v>12000000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7">
          <cell r="AQ7">
            <v>1000000</v>
          </cell>
          <cell r="AR7">
            <v>500000</v>
          </cell>
          <cell r="AZ7">
            <v>1000000</v>
          </cell>
          <cell r="BA7">
            <v>300000</v>
          </cell>
        </row>
        <row r="11">
          <cell r="AO11">
            <v>3709735</v>
          </cell>
          <cell r="AQ11">
            <v>5464324</v>
          </cell>
          <cell r="AR11">
            <v>0</v>
          </cell>
          <cell r="AS11">
            <v>0</v>
          </cell>
          <cell r="AV11">
            <v>8246677</v>
          </cell>
          <cell r="AW11">
            <v>3229516</v>
          </cell>
          <cell r="AX11">
            <v>3711183</v>
          </cell>
          <cell r="AZ11">
            <v>5364972</v>
          </cell>
          <cell r="BA11">
            <v>0</v>
          </cell>
          <cell r="BB11">
            <v>0</v>
          </cell>
        </row>
        <row r="17">
          <cell r="AQ17">
            <v>0</v>
          </cell>
          <cell r="AZ17">
            <v>0</v>
          </cell>
        </row>
        <row r="22">
          <cell r="AO22">
            <v>3924974</v>
          </cell>
          <cell r="AW22">
            <v>4425823</v>
          </cell>
          <cell r="AX22">
            <v>3924974</v>
          </cell>
          <cell r="AZ22">
            <v>6387336</v>
          </cell>
        </row>
        <row r="28">
          <cell r="AO28">
            <v>560620</v>
          </cell>
          <cell r="AQ28">
            <v>13090955</v>
          </cell>
          <cell r="AR28">
            <v>0</v>
          </cell>
          <cell r="AS28">
            <v>2104152</v>
          </cell>
          <cell r="AV28">
            <v>34710378</v>
          </cell>
          <cell r="AW28">
            <v>7098614</v>
          </cell>
          <cell r="AX28">
            <v>556177</v>
          </cell>
          <cell r="AZ28">
            <v>12727317</v>
          </cell>
          <cell r="BA28">
            <v>0</v>
          </cell>
          <cell r="BB28">
            <v>2104152</v>
          </cell>
        </row>
        <row r="34">
          <cell r="AO34">
            <v>14634101</v>
          </cell>
          <cell r="AW34">
            <v>8839360</v>
          </cell>
          <cell r="AX34">
            <v>13873545</v>
          </cell>
          <cell r="AZ34">
            <v>39081357</v>
          </cell>
        </row>
        <row r="39">
          <cell r="AQ39">
            <v>32821631</v>
          </cell>
          <cell r="AZ39">
            <v>33771631</v>
          </cell>
        </row>
        <row r="44">
          <cell r="AQ44">
            <v>250000</v>
          </cell>
          <cell r="AR44">
            <v>165000</v>
          </cell>
          <cell r="AZ44">
            <v>250000</v>
          </cell>
          <cell r="BA44">
            <v>165000</v>
          </cell>
        </row>
        <row r="48">
          <cell r="AO48">
            <v>17268300</v>
          </cell>
          <cell r="AQ48">
            <v>10000000</v>
          </cell>
          <cell r="AR48">
            <v>3000000</v>
          </cell>
          <cell r="AS48">
            <v>10000000</v>
          </cell>
          <cell r="AV48">
            <v>24267045</v>
          </cell>
          <cell r="AW48">
            <v>11407603</v>
          </cell>
          <cell r="AX48">
            <v>17268300</v>
          </cell>
          <cell r="AZ48">
            <v>10000000</v>
          </cell>
          <cell r="BA48">
            <v>3000000</v>
          </cell>
          <cell r="BB48">
            <v>10000000</v>
          </cell>
        </row>
        <row r="52">
          <cell r="AO52">
            <v>21234000</v>
          </cell>
          <cell r="AQ52">
            <v>12000000</v>
          </cell>
          <cell r="AW52">
            <v>3515168</v>
          </cell>
          <cell r="AX52">
            <v>21234000</v>
          </cell>
          <cell r="AZ52">
            <v>12000000</v>
          </cell>
          <cell r="BA52">
            <v>0</v>
          </cell>
          <cell r="BB52">
            <v>5000000</v>
          </cell>
        </row>
        <row r="57">
          <cell r="AO57">
            <v>8616727</v>
          </cell>
          <cell r="AQ57">
            <v>3000000</v>
          </cell>
          <cell r="AW57">
            <v>22824226</v>
          </cell>
          <cell r="AX57">
            <v>8616727</v>
          </cell>
          <cell r="AZ57">
            <v>3000000</v>
          </cell>
          <cell r="BA57">
            <v>8000000</v>
          </cell>
          <cell r="BB57">
            <v>2000000</v>
          </cell>
        </row>
        <row r="62">
          <cell r="AO62">
            <v>13752556</v>
          </cell>
          <cell r="AQ62">
            <v>13632907</v>
          </cell>
          <cell r="AW62">
            <v>10862362</v>
          </cell>
          <cell r="AX62">
            <v>12946023</v>
          </cell>
          <cell r="AZ62">
            <v>13385230</v>
          </cell>
          <cell r="BA62">
            <v>245296</v>
          </cell>
          <cell r="BB62">
            <v>0</v>
          </cell>
        </row>
        <row r="66">
          <cell r="AO66">
            <v>1421246</v>
          </cell>
          <cell r="AW66">
            <v>862667</v>
          </cell>
          <cell r="AX66">
            <v>1421246</v>
          </cell>
          <cell r="AZ66">
            <v>4000000</v>
          </cell>
        </row>
        <row r="72">
          <cell r="AO72">
            <v>0</v>
          </cell>
          <cell r="AW72">
            <v>0</v>
          </cell>
          <cell r="AX72">
            <v>0</v>
          </cell>
          <cell r="AZ72">
            <v>0</v>
          </cell>
        </row>
        <row r="75">
          <cell r="AO75">
            <v>621500</v>
          </cell>
          <cell r="AW75">
            <v>2082094</v>
          </cell>
          <cell r="AX75">
            <v>621500</v>
          </cell>
          <cell r="AZ75">
            <v>80000000</v>
          </cell>
        </row>
        <row r="81">
          <cell r="AO81">
            <v>489000</v>
          </cell>
          <cell r="AW81">
            <v>1554743</v>
          </cell>
          <cell r="AX81">
            <v>489000</v>
          </cell>
          <cell r="AZ81">
            <v>500000</v>
          </cell>
        </row>
        <row r="86">
          <cell r="AO86">
            <v>180000</v>
          </cell>
          <cell r="AW86">
            <v>1338425</v>
          </cell>
          <cell r="AX86">
            <v>180000</v>
          </cell>
          <cell r="AZ86">
            <v>25000000</v>
          </cell>
        </row>
        <row r="90">
          <cell r="AM90">
            <v>568092</v>
          </cell>
          <cell r="AN90">
            <v>798214</v>
          </cell>
          <cell r="AO90">
            <v>100000</v>
          </cell>
          <cell r="AQ90">
            <v>1000000</v>
          </cell>
          <cell r="AR90">
            <v>0</v>
          </cell>
          <cell r="AS90">
            <v>0</v>
          </cell>
          <cell r="AV90">
            <v>568092</v>
          </cell>
          <cell r="AW90">
            <v>798214</v>
          </cell>
          <cell r="AX90">
            <v>100000</v>
          </cell>
          <cell r="AZ90">
            <v>1000000</v>
          </cell>
          <cell r="BA90">
            <v>0</v>
          </cell>
          <cell r="BB90">
            <v>0</v>
          </cell>
        </row>
        <row r="91">
          <cell r="AM91">
            <v>259028</v>
          </cell>
          <cell r="AN91">
            <v>14000</v>
          </cell>
          <cell r="AO91">
            <v>254830</v>
          </cell>
          <cell r="AQ91">
            <v>4595000</v>
          </cell>
          <cell r="AR91">
            <v>0</v>
          </cell>
          <cell r="AS91">
            <v>12598204</v>
          </cell>
          <cell r="AV91">
            <v>259028</v>
          </cell>
          <cell r="AW91">
            <v>14000</v>
          </cell>
          <cell r="AX91">
            <v>254830</v>
          </cell>
          <cell r="AZ91">
            <v>4595000</v>
          </cell>
          <cell r="BA91">
            <v>0</v>
          </cell>
          <cell r="BB91">
            <v>12598204</v>
          </cell>
        </row>
        <row r="92">
          <cell r="AM92">
            <v>2604324</v>
          </cell>
          <cell r="AN92">
            <v>97650</v>
          </cell>
          <cell r="AO92">
            <v>729341</v>
          </cell>
          <cell r="AQ92">
            <v>3140000</v>
          </cell>
          <cell r="AR92">
            <v>0</v>
          </cell>
          <cell r="AS92">
            <v>4000000</v>
          </cell>
          <cell r="AV92">
            <v>2604324</v>
          </cell>
          <cell r="AW92">
            <v>97650</v>
          </cell>
          <cell r="AX92">
            <v>729341</v>
          </cell>
          <cell r="AZ92">
            <v>3140000</v>
          </cell>
          <cell r="BA92">
            <v>0</v>
          </cell>
          <cell r="BB92">
            <v>4000000</v>
          </cell>
        </row>
        <row r="93">
          <cell r="AM93">
            <v>204638</v>
          </cell>
          <cell r="AN93">
            <v>26600</v>
          </cell>
          <cell r="AO93">
            <v>495875</v>
          </cell>
          <cell r="AQ93">
            <v>22365000</v>
          </cell>
          <cell r="AR93">
            <v>1500000</v>
          </cell>
          <cell r="AS93">
            <v>10401796</v>
          </cell>
          <cell r="AV93">
            <v>204638</v>
          </cell>
          <cell r="AW93">
            <v>26600</v>
          </cell>
          <cell r="AX93">
            <v>495875</v>
          </cell>
          <cell r="AZ93">
            <v>22365000</v>
          </cell>
          <cell r="BA93">
            <v>1500000</v>
          </cell>
          <cell r="BB93">
            <v>10401796</v>
          </cell>
        </row>
        <row r="94">
          <cell r="AM94">
            <v>138126</v>
          </cell>
          <cell r="AN94">
            <v>21000</v>
          </cell>
          <cell r="AO94">
            <v>29750</v>
          </cell>
          <cell r="AQ94">
            <v>7900000</v>
          </cell>
          <cell r="AR94">
            <v>1500000</v>
          </cell>
          <cell r="AS94">
            <v>0</v>
          </cell>
          <cell r="AV94">
            <v>138126</v>
          </cell>
          <cell r="AW94">
            <v>21000</v>
          </cell>
          <cell r="AX94">
            <v>29750</v>
          </cell>
          <cell r="AZ94">
            <v>7900000</v>
          </cell>
          <cell r="BA94">
            <v>1500000</v>
          </cell>
          <cell r="BB94">
            <v>0</v>
          </cell>
        </row>
        <row r="95">
          <cell r="AO95">
            <v>1591055</v>
          </cell>
          <cell r="AQ95">
            <v>14200000</v>
          </cell>
          <cell r="AR95">
            <v>0</v>
          </cell>
          <cell r="AS95">
            <v>0</v>
          </cell>
          <cell r="AW95">
            <v>3553998</v>
          </cell>
          <cell r="AX95">
            <v>1591055</v>
          </cell>
          <cell r="AZ95">
            <v>14200000</v>
          </cell>
          <cell r="BA95">
            <v>0</v>
          </cell>
          <cell r="BB95">
            <v>0</v>
          </cell>
        </row>
        <row r="101">
          <cell r="AO101">
            <v>806649</v>
          </cell>
          <cell r="AQ101">
            <v>10000000</v>
          </cell>
          <cell r="AW101">
            <v>5068987</v>
          </cell>
          <cell r="AX101">
            <v>806649</v>
          </cell>
        </row>
        <row r="106">
          <cell r="AO106">
            <v>2671335</v>
          </cell>
          <cell r="AQ106">
            <v>1000000</v>
          </cell>
          <cell r="AR106">
            <v>0</v>
          </cell>
          <cell r="AS106">
            <v>200000</v>
          </cell>
          <cell r="AW106">
            <v>1550073</v>
          </cell>
          <cell r="AX106">
            <v>2671335</v>
          </cell>
          <cell r="AZ106">
            <v>1000000</v>
          </cell>
          <cell r="BA106">
            <v>0</v>
          </cell>
          <cell r="BB106">
            <v>200000</v>
          </cell>
        </row>
        <row r="110">
          <cell r="AO110">
            <v>11477019</v>
          </cell>
          <cell r="AW110">
            <v>1164943</v>
          </cell>
          <cell r="AX110">
            <v>11477019</v>
          </cell>
          <cell r="AZ110">
            <v>655500</v>
          </cell>
        </row>
        <row r="115">
          <cell r="AM115">
            <v>926402</v>
          </cell>
          <cell r="AN115">
            <v>1347347</v>
          </cell>
          <cell r="AO115">
            <v>238393</v>
          </cell>
          <cell r="AQ115">
            <v>15000000</v>
          </cell>
          <cell r="AR115">
            <v>9000000</v>
          </cell>
          <cell r="AS115">
            <v>18000000</v>
          </cell>
          <cell r="AV115">
            <v>926402</v>
          </cell>
          <cell r="AW115">
            <v>1347347</v>
          </cell>
          <cell r="AX115">
            <v>238393</v>
          </cell>
          <cell r="AZ115">
            <v>15000000</v>
          </cell>
          <cell r="BA115">
            <v>9000000</v>
          </cell>
          <cell r="BB115">
            <v>18000000</v>
          </cell>
        </row>
        <row r="119">
          <cell r="AO119">
            <v>2185000</v>
          </cell>
          <cell r="AQ119">
            <v>12000000</v>
          </cell>
          <cell r="AR119">
            <v>7000000</v>
          </cell>
          <cell r="AS119">
            <v>3500000</v>
          </cell>
          <cell r="AW119">
            <v>2773571</v>
          </cell>
          <cell r="AX119">
            <v>2185000</v>
          </cell>
          <cell r="AZ119">
            <v>12000000</v>
          </cell>
          <cell r="BA119">
            <v>7000000</v>
          </cell>
          <cell r="BB119">
            <v>3500000</v>
          </cell>
        </row>
        <row r="127">
          <cell r="AQ127">
            <v>2500000</v>
          </cell>
          <cell r="AZ127">
            <v>2500000</v>
          </cell>
        </row>
        <row r="138">
          <cell r="AQ138">
            <v>500000</v>
          </cell>
          <cell r="AZ138">
            <v>500000</v>
          </cell>
        </row>
        <row r="141">
          <cell r="AS141">
            <v>13000000</v>
          </cell>
          <cell r="BB141">
            <v>13000000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11">
          <cell r="AM11">
            <v>8246677</v>
          </cell>
        </row>
        <row r="22">
          <cell r="AM22">
            <v>10679198</v>
          </cell>
        </row>
        <row r="28">
          <cell r="AM28">
            <v>34710378</v>
          </cell>
        </row>
        <row r="34">
          <cell r="AV34">
            <v>7106569</v>
          </cell>
        </row>
        <row r="48">
          <cell r="AM48">
            <v>30679654</v>
          </cell>
        </row>
        <row r="52">
          <cell r="AM52">
            <v>27269883</v>
          </cell>
        </row>
        <row r="57">
          <cell r="AM57">
            <v>70856857</v>
          </cell>
        </row>
        <row r="62">
          <cell r="AM62">
            <v>91069062</v>
          </cell>
        </row>
        <row r="66">
          <cell r="AV66">
            <v>1110180</v>
          </cell>
        </row>
        <row r="72">
          <cell r="AV72">
            <v>0</v>
          </cell>
        </row>
        <row r="75">
          <cell r="AV75">
            <v>1159958</v>
          </cell>
        </row>
        <row r="81">
          <cell r="AV81">
            <v>732000</v>
          </cell>
        </row>
        <row r="86">
          <cell r="AV86">
            <v>711694</v>
          </cell>
        </row>
        <row r="95">
          <cell r="AM95">
            <v>1390747</v>
          </cell>
        </row>
        <row r="101">
          <cell r="AM101">
            <v>37864665</v>
          </cell>
        </row>
        <row r="106">
          <cell r="AM106">
            <v>1914117</v>
          </cell>
        </row>
        <row r="110">
          <cell r="AV110">
            <v>324974</v>
          </cell>
        </row>
        <row r="119">
          <cell r="AM119">
            <v>700301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s ancien"/>
      <sheetName val="TMC Admin-Eco"/>
      <sheetName val="TMC Prog-Eco"/>
      <sheetName val="TMC Fonc-Eco"/>
      <sheetName val="Tableau matriciel Admin-Fonc"/>
      <sheetName val="TMC Fonc-Admin"/>
    </sheetNames>
    <sheetDataSet>
      <sheetData sheetId="0"/>
      <sheetData sheetId="1">
        <row r="88">
          <cell r="F88">
            <v>204930214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C Fonc-Eco"/>
      <sheetName val="TMC Prog-Eco"/>
    </sheetNames>
    <sheetDataSet>
      <sheetData sheetId="0" refreshError="1"/>
      <sheetData sheetId="1" refreshError="1">
        <row r="112">
          <cell r="C112">
            <v>150000</v>
          </cell>
        </row>
        <row r="113">
          <cell r="G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3"/>
  <sheetViews>
    <sheetView tabSelected="1" zoomScaleNormal="100" workbookViewId="0">
      <pane xSplit="2" ySplit="6" topLeftCell="AU80" activePane="bottomRight" state="frozen"/>
      <selection pane="topRight" activeCell="C1" sqref="C1"/>
      <selection pane="bottomLeft" activeCell="A7" sqref="A7"/>
      <selection pane="bottomRight" activeCell="AK92" sqref="AK92"/>
    </sheetView>
  </sheetViews>
  <sheetFormatPr baseColWidth="10" defaultRowHeight="15" x14ac:dyDescent="0.2"/>
  <cols>
    <col min="2" max="2" width="36.1640625" customWidth="1"/>
    <col min="3" max="3" width="22.5" customWidth="1"/>
    <col min="4" max="4" width="17.5" customWidth="1"/>
    <col min="5" max="5" width="16.5" customWidth="1"/>
    <col min="6" max="6" width="17.6640625" customWidth="1"/>
    <col min="7" max="7" width="16.5" customWidth="1"/>
    <col min="8" max="8" width="17.1640625" customWidth="1"/>
    <col min="9" max="9" width="16.6640625" customWidth="1"/>
    <col min="10" max="10" width="19" customWidth="1"/>
    <col min="11" max="11" width="21.5" customWidth="1"/>
    <col min="12" max="12" width="19" customWidth="1"/>
    <col min="13" max="13" width="15.83203125" customWidth="1"/>
    <col min="14" max="14" width="16.5" customWidth="1"/>
    <col min="15" max="15" width="17.6640625" customWidth="1"/>
    <col min="16" max="16" width="15.5" customWidth="1"/>
    <col min="17" max="17" width="16.33203125" customWidth="1"/>
    <col min="18" max="18" width="17" customWidth="1"/>
    <col min="19" max="20" width="18.6640625" customWidth="1"/>
    <col min="21" max="21" width="17" customWidth="1"/>
    <col min="22" max="23" width="15.5" customWidth="1"/>
    <col min="24" max="24" width="18.1640625" customWidth="1"/>
    <col min="25" max="25" width="16.33203125" customWidth="1"/>
    <col min="26" max="26" width="17.5" customWidth="1"/>
    <col min="27" max="27" width="16.33203125" customWidth="1"/>
    <col min="28" max="28" width="15.83203125" customWidth="1"/>
    <col min="29" max="29" width="18" customWidth="1"/>
    <col min="30" max="30" width="17.33203125" customWidth="1"/>
    <col min="31" max="31" width="16.5" customWidth="1"/>
    <col min="32" max="32" width="17.33203125" customWidth="1"/>
    <col min="33" max="33" width="19.83203125" customWidth="1"/>
    <col min="34" max="34" width="17.83203125" customWidth="1"/>
    <col min="35" max="35" width="16" customWidth="1"/>
    <col min="36" max="36" width="15.5" customWidth="1"/>
    <col min="37" max="37" width="16.83203125" customWidth="1"/>
    <col min="38" max="38" width="20.5" customWidth="1"/>
    <col min="39" max="39" width="16.33203125" customWidth="1"/>
    <col min="40" max="40" width="16" customWidth="1"/>
    <col min="41" max="41" width="16.1640625" customWidth="1"/>
    <col min="42" max="42" width="18.33203125" customWidth="1"/>
    <col min="43" max="43" width="18.1640625" customWidth="1"/>
    <col min="44" max="44" width="16.6640625" customWidth="1"/>
    <col min="45" max="45" width="15.83203125" customWidth="1"/>
    <col min="46" max="47" width="18.1640625" customWidth="1"/>
    <col min="48" max="48" width="17.33203125" customWidth="1"/>
    <col min="49" max="49" width="18" customWidth="1"/>
    <col min="50" max="50" width="17.1640625" customWidth="1"/>
    <col min="51" max="51" width="18.6640625" customWidth="1"/>
    <col min="52" max="52" width="19.33203125" customWidth="1"/>
    <col min="53" max="53" width="16.5" customWidth="1"/>
    <col min="54" max="54" width="15.6640625" customWidth="1"/>
    <col min="55" max="55" width="16.33203125" customWidth="1"/>
    <col min="56" max="56" width="18.5" customWidth="1"/>
  </cols>
  <sheetData>
    <row r="1" spans="1:57" hidden="1" x14ac:dyDescent="0.2">
      <c r="H1" s="27"/>
      <c r="AH1" s="41"/>
      <c r="AJ1" s="27"/>
      <c r="AL1" s="27"/>
      <c r="AV1" s="27"/>
      <c r="BD1" s="27"/>
    </row>
    <row r="2" spans="1:57" hidden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V2" s="121"/>
      <c r="W2" s="121"/>
      <c r="X2" s="121"/>
      <c r="Y2" s="121"/>
      <c r="Z2" s="121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>
        <f>AR7+AR39+AR44+AR1371</f>
        <v>665000</v>
      </c>
      <c r="AN2" s="27"/>
      <c r="AO2" s="27">
        <f>AW44-AN44</f>
        <v>224523</v>
      </c>
      <c r="AP2" s="27"/>
      <c r="AQ2" s="41">
        <f>AW124-AN124</f>
        <v>6462177</v>
      </c>
      <c r="AR2" s="24"/>
      <c r="AS2" s="40"/>
      <c r="AT2" s="27">
        <f>AO44-AX44</f>
        <v>-57659</v>
      </c>
      <c r="AU2" s="27"/>
      <c r="AV2" s="24"/>
      <c r="AW2" s="40"/>
      <c r="AX2" s="27"/>
      <c r="AY2" s="27"/>
      <c r="AZ2" s="27"/>
      <c r="BA2" s="27"/>
    </row>
    <row r="3" spans="1:57" x14ac:dyDescent="0.2">
      <c r="B3" s="24"/>
      <c r="N3">
        <v>0</v>
      </c>
      <c r="AD3" s="27" t="s">
        <v>248</v>
      </c>
      <c r="AG3" s="43"/>
      <c r="AL3" s="27"/>
      <c r="AN3" s="27"/>
      <c r="BA3" s="120" t="s">
        <v>227</v>
      </c>
      <c r="BB3" s="120"/>
      <c r="BC3" s="120"/>
    </row>
    <row r="4" spans="1:57" ht="15" customHeight="1" x14ac:dyDescent="0.2">
      <c r="B4" s="24"/>
      <c r="C4" s="106">
        <v>2019</v>
      </c>
      <c r="D4" s="107"/>
      <c r="E4" s="107"/>
      <c r="F4" s="107"/>
      <c r="G4" s="107"/>
      <c r="H4" s="107"/>
      <c r="I4" s="107"/>
      <c r="J4" s="107"/>
      <c r="K4" s="108"/>
      <c r="L4" s="106">
        <v>2020</v>
      </c>
      <c r="M4" s="107"/>
      <c r="N4" s="107"/>
      <c r="O4" s="107"/>
      <c r="P4" s="107"/>
      <c r="Q4" s="107"/>
      <c r="R4" s="107"/>
      <c r="S4" s="107"/>
      <c r="T4" s="108"/>
      <c r="U4" s="106">
        <v>2021</v>
      </c>
      <c r="V4" s="107"/>
      <c r="W4" s="107"/>
      <c r="X4" s="107"/>
      <c r="Y4" s="107"/>
      <c r="Z4" s="107"/>
      <c r="AA4" s="107"/>
      <c r="AB4" s="107"/>
      <c r="AC4" s="108"/>
      <c r="AD4" s="106">
        <v>2022</v>
      </c>
      <c r="AE4" s="107"/>
      <c r="AF4" s="107"/>
      <c r="AG4" s="107"/>
      <c r="AH4" s="107"/>
      <c r="AI4" s="107"/>
      <c r="AJ4" s="107"/>
      <c r="AK4" s="107"/>
      <c r="AL4" s="108"/>
      <c r="AM4" s="106">
        <v>2023</v>
      </c>
      <c r="AN4" s="107"/>
      <c r="AO4" s="107"/>
      <c r="AP4" s="107"/>
      <c r="AQ4" s="107"/>
      <c r="AR4" s="107"/>
      <c r="AS4" s="107"/>
      <c r="AT4" s="107"/>
      <c r="AU4" s="108"/>
      <c r="AV4" s="106">
        <v>2024</v>
      </c>
      <c r="AW4" s="107"/>
      <c r="AX4" s="107"/>
      <c r="AY4" s="107"/>
      <c r="AZ4" s="107"/>
      <c r="BA4" s="107"/>
      <c r="BB4" s="107"/>
      <c r="BC4" s="107"/>
      <c r="BD4" s="108"/>
    </row>
    <row r="5" spans="1:57" ht="16.5" customHeight="1" x14ac:dyDescent="0.2">
      <c r="A5" s="1"/>
      <c r="B5" s="24"/>
      <c r="C5" s="106" t="s">
        <v>0</v>
      </c>
      <c r="D5" s="107"/>
      <c r="E5" s="107"/>
      <c r="F5" s="108"/>
      <c r="G5" s="109" t="s">
        <v>1</v>
      </c>
      <c r="H5" s="109"/>
      <c r="I5" s="109"/>
      <c r="J5" s="109"/>
      <c r="K5" s="46"/>
      <c r="L5" s="106" t="s">
        <v>0</v>
      </c>
      <c r="M5" s="107"/>
      <c r="N5" s="107"/>
      <c r="O5" s="108"/>
      <c r="P5" s="109" t="s">
        <v>1</v>
      </c>
      <c r="Q5" s="109"/>
      <c r="R5" s="109"/>
      <c r="S5" s="109"/>
      <c r="T5" s="46"/>
      <c r="U5" s="106" t="s">
        <v>0</v>
      </c>
      <c r="V5" s="107"/>
      <c r="W5" s="107"/>
      <c r="X5" s="108"/>
      <c r="Y5" s="109" t="s">
        <v>1</v>
      </c>
      <c r="Z5" s="109"/>
      <c r="AA5" s="109"/>
      <c r="AB5" s="109"/>
      <c r="AC5" s="46"/>
      <c r="AD5" s="106" t="s">
        <v>0</v>
      </c>
      <c r="AE5" s="107"/>
      <c r="AF5" s="107"/>
      <c r="AG5" s="108"/>
      <c r="AH5" s="109" t="s">
        <v>1</v>
      </c>
      <c r="AI5" s="109"/>
      <c r="AJ5" s="109"/>
      <c r="AK5" s="109"/>
      <c r="AL5" s="46"/>
      <c r="AM5" s="106" t="s">
        <v>0</v>
      </c>
      <c r="AN5" s="107"/>
      <c r="AO5" s="107"/>
      <c r="AP5" s="108"/>
      <c r="AQ5" s="109" t="s">
        <v>1</v>
      </c>
      <c r="AR5" s="109"/>
      <c r="AS5" s="109"/>
      <c r="AT5" s="109"/>
      <c r="AU5" s="109"/>
      <c r="AV5" s="106" t="s">
        <v>0</v>
      </c>
      <c r="AW5" s="107"/>
      <c r="AX5" s="107"/>
      <c r="AY5" s="108"/>
      <c r="AZ5" s="109" t="s">
        <v>1</v>
      </c>
      <c r="BA5" s="109"/>
      <c r="BB5" s="109"/>
      <c r="BC5" s="109"/>
      <c r="BD5" s="109"/>
    </row>
    <row r="6" spans="1:57" ht="45" x14ac:dyDescent="0.2">
      <c r="A6" s="2" t="s">
        <v>2</v>
      </c>
      <c r="B6" s="2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3" t="s">
        <v>8</v>
      </c>
      <c r="H6" s="3" t="s">
        <v>9</v>
      </c>
      <c r="I6" s="3" t="s">
        <v>10</v>
      </c>
      <c r="J6" s="4" t="s">
        <v>11</v>
      </c>
      <c r="K6" s="4" t="s">
        <v>225</v>
      </c>
      <c r="L6" s="3" t="s">
        <v>4</v>
      </c>
      <c r="M6" s="3" t="s">
        <v>5</v>
      </c>
      <c r="N6" s="3" t="s">
        <v>6</v>
      </c>
      <c r="O6" s="4" t="s">
        <v>7</v>
      </c>
      <c r="P6" s="3" t="s">
        <v>8</v>
      </c>
      <c r="Q6" s="3" t="s">
        <v>9</v>
      </c>
      <c r="R6" s="3" t="s">
        <v>10</v>
      </c>
      <c r="S6" s="4" t="s">
        <v>11</v>
      </c>
      <c r="T6" s="4" t="s">
        <v>225</v>
      </c>
      <c r="U6" s="3" t="s">
        <v>4</v>
      </c>
      <c r="V6" s="3" t="s">
        <v>5</v>
      </c>
      <c r="W6" s="3" t="s">
        <v>6</v>
      </c>
      <c r="X6" s="4" t="s">
        <v>7</v>
      </c>
      <c r="Y6" s="3" t="s">
        <v>8</v>
      </c>
      <c r="Z6" s="3" t="s">
        <v>9</v>
      </c>
      <c r="AA6" s="3" t="s">
        <v>10</v>
      </c>
      <c r="AB6" s="4" t="s">
        <v>11</v>
      </c>
      <c r="AC6" s="4" t="s">
        <v>225</v>
      </c>
      <c r="AD6" s="3" t="s">
        <v>4</v>
      </c>
      <c r="AE6" s="3" t="s">
        <v>5</v>
      </c>
      <c r="AF6" s="3" t="s">
        <v>6</v>
      </c>
      <c r="AG6" s="4" t="s">
        <v>7</v>
      </c>
      <c r="AH6" s="3" t="s">
        <v>8</v>
      </c>
      <c r="AI6" s="3" t="s">
        <v>9</v>
      </c>
      <c r="AJ6" s="3" t="s">
        <v>10</v>
      </c>
      <c r="AK6" s="4" t="s">
        <v>11</v>
      </c>
      <c r="AL6" s="4" t="s">
        <v>225</v>
      </c>
      <c r="AM6" s="3" t="s">
        <v>4</v>
      </c>
      <c r="AN6" s="3" t="s">
        <v>5</v>
      </c>
      <c r="AO6" s="3" t="s">
        <v>6</v>
      </c>
      <c r="AP6" s="4" t="s">
        <v>7</v>
      </c>
      <c r="AQ6" s="3" t="s">
        <v>8</v>
      </c>
      <c r="AR6" s="3" t="s">
        <v>9</v>
      </c>
      <c r="AS6" s="3" t="s">
        <v>10</v>
      </c>
      <c r="AT6" s="4" t="s">
        <v>11</v>
      </c>
      <c r="AU6" s="4" t="s">
        <v>225</v>
      </c>
      <c r="AV6" s="3" t="s">
        <v>4</v>
      </c>
      <c r="AW6" s="3" t="s">
        <v>5</v>
      </c>
      <c r="AX6" s="3" t="s">
        <v>6</v>
      </c>
      <c r="AY6" s="4" t="s">
        <v>7</v>
      </c>
      <c r="AZ6" s="3" t="s">
        <v>8</v>
      </c>
      <c r="BA6" s="3" t="s">
        <v>9</v>
      </c>
      <c r="BB6" s="3" t="s">
        <v>10</v>
      </c>
      <c r="BC6" s="4" t="s">
        <v>11</v>
      </c>
      <c r="BD6" s="4" t="s">
        <v>225</v>
      </c>
      <c r="BE6" s="25"/>
    </row>
    <row r="7" spans="1:57" ht="16" x14ac:dyDescent="0.2">
      <c r="A7" s="110" t="s">
        <v>12</v>
      </c>
      <c r="B7" s="111"/>
      <c r="C7" s="5">
        <v>844123</v>
      </c>
      <c r="D7" s="5">
        <v>2332400</v>
      </c>
      <c r="E7" s="5">
        <v>2731100</v>
      </c>
      <c r="F7" s="5">
        <v>5907623</v>
      </c>
      <c r="G7" s="5">
        <v>275000</v>
      </c>
      <c r="H7" s="5">
        <v>3085000</v>
      </c>
      <c r="I7" s="5">
        <v>4950000</v>
      </c>
      <c r="J7" s="5">
        <v>8310000</v>
      </c>
      <c r="K7" s="5">
        <v>14217623</v>
      </c>
      <c r="L7" s="5">
        <v>1077600</v>
      </c>
      <c r="M7" s="5">
        <v>2337482</v>
      </c>
      <c r="N7" s="5">
        <v>2373097</v>
      </c>
      <c r="O7" s="5">
        <v>5788179</v>
      </c>
      <c r="P7" s="5">
        <v>100000</v>
      </c>
      <c r="Q7" s="5">
        <v>10000000</v>
      </c>
      <c r="R7" s="5">
        <v>4000000</v>
      </c>
      <c r="S7" s="5">
        <v>14100000</v>
      </c>
      <c r="T7" s="5">
        <v>19888179</v>
      </c>
      <c r="U7" s="5">
        <v>910215</v>
      </c>
      <c r="V7" s="5">
        <v>2687523</v>
      </c>
      <c r="W7" s="5">
        <v>1258096</v>
      </c>
      <c r="X7" s="5">
        <v>4855834</v>
      </c>
      <c r="Y7" s="5">
        <v>100000</v>
      </c>
      <c r="Z7" s="5">
        <v>2323210</v>
      </c>
      <c r="AA7" s="5">
        <v>486000</v>
      </c>
      <c r="AB7" s="5">
        <v>2909210</v>
      </c>
      <c r="AC7" s="5">
        <v>7765044</v>
      </c>
      <c r="AD7" s="5">
        <v>1093213</v>
      </c>
      <c r="AE7" s="5">
        <v>2772023</v>
      </c>
      <c r="AF7" s="5">
        <v>427202</v>
      </c>
      <c r="AG7" s="5">
        <v>4292438</v>
      </c>
      <c r="AH7" s="5">
        <v>800000</v>
      </c>
      <c r="AI7" s="5">
        <v>862000</v>
      </c>
      <c r="AJ7" s="5">
        <v>0</v>
      </c>
      <c r="AK7" s="5">
        <v>1662000</v>
      </c>
      <c r="AL7" s="5">
        <v>5954438</v>
      </c>
      <c r="AM7" s="5">
        <v>1093213</v>
      </c>
      <c r="AN7" s="5">
        <v>2462113</v>
      </c>
      <c r="AO7" s="5">
        <v>1235651</v>
      </c>
      <c r="AP7" s="5">
        <v>4790977</v>
      </c>
      <c r="AQ7" s="5">
        <v>1000000</v>
      </c>
      <c r="AR7" s="5">
        <v>500000</v>
      </c>
      <c r="AS7" s="5">
        <v>0</v>
      </c>
      <c r="AT7" s="5">
        <v>1500000</v>
      </c>
      <c r="AU7" s="5">
        <v>6290977</v>
      </c>
      <c r="AV7" s="5">
        <v>1093213</v>
      </c>
      <c r="AW7" s="5">
        <v>2588736</v>
      </c>
      <c r="AX7" s="5">
        <v>967417</v>
      </c>
      <c r="AY7" s="5">
        <v>4649366</v>
      </c>
      <c r="AZ7" s="5">
        <v>1000000</v>
      </c>
      <c r="BA7" s="5">
        <v>300000</v>
      </c>
      <c r="BB7" s="5">
        <v>0</v>
      </c>
      <c r="BC7" s="5">
        <v>1300000</v>
      </c>
      <c r="BD7" s="5">
        <v>5949366</v>
      </c>
    </row>
    <row r="8" spans="1:57" ht="17" x14ac:dyDescent="0.2">
      <c r="A8" s="6" t="s">
        <v>13</v>
      </c>
      <c r="B8" s="7" t="s">
        <v>14</v>
      </c>
      <c r="C8" s="8">
        <f>432183-1787</f>
        <v>430396</v>
      </c>
      <c r="D8" s="8">
        <v>2238900</v>
      </c>
      <c r="E8" s="8">
        <f>679500+25600</f>
        <v>705100</v>
      </c>
      <c r="F8" s="8">
        <f>SUM(C8:E8)</f>
        <v>3374396</v>
      </c>
      <c r="G8" s="8">
        <v>0</v>
      </c>
      <c r="H8" s="8">
        <v>0</v>
      </c>
      <c r="I8" s="8">
        <v>0</v>
      </c>
      <c r="J8" s="8">
        <f>SUM(G8:I8)</f>
        <v>0</v>
      </c>
      <c r="K8" s="5">
        <f t="shared" ref="K8:K27" si="0">F8+J8</f>
        <v>3374396</v>
      </c>
      <c r="L8" s="8">
        <v>645439</v>
      </c>
      <c r="M8" s="8">
        <v>2234482</v>
      </c>
      <c r="N8" s="8">
        <v>748216</v>
      </c>
      <c r="O8" s="8">
        <f>SUM(L8:N8)</f>
        <v>3628137</v>
      </c>
      <c r="P8" s="8">
        <v>0</v>
      </c>
      <c r="Q8" s="8">
        <v>0</v>
      </c>
      <c r="R8" s="8">
        <v>0</v>
      </c>
      <c r="S8" s="8">
        <f>SUM(P8:R8)</f>
        <v>0</v>
      </c>
      <c r="T8" s="5">
        <f t="shared" ref="T8:T76" si="1">O8+S8</f>
        <v>3628137</v>
      </c>
      <c r="U8" s="65"/>
      <c r="V8" s="65"/>
      <c r="W8" s="8"/>
      <c r="X8" s="8"/>
      <c r="Y8" s="8"/>
      <c r="Z8" s="8"/>
      <c r="AA8" s="8"/>
      <c r="AB8" s="8"/>
      <c r="AC8" s="5"/>
      <c r="AD8" s="47">
        <v>856858</v>
      </c>
      <c r="AE8" s="47">
        <v>2580023</v>
      </c>
      <c r="AF8" s="47">
        <v>195500</v>
      </c>
      <c r="AG8" s="8">
        <f>SUM(AD8:AF8)</f>
        <v>3632381</v>
      </c>
      <c r="AH8" s="47">
        <v>0</v>
      </c>
      <c r="AI8" s="47">
        <v>0</v>
      </c>
      <c r="AJ8" s="47">
        <v>0</v>
      </c>
      <c r="AK8" s="5">
        <f t="shared" ref="AK8:AK16" si="2">AH8+AI8+AJ8</f>
        <v>0</v>
      </c>
      <c r="AL8" s="5">
        <f t="shared" ref="AL8:AL41" si="3">AG8+AK8</f>
        <v>3632381</v>
      </c>
      <c r="AM8" s="8">
        <v>856858</v>
      </c>
      <c r="AN8" s="8">
        <v>2270113</v>
      </c>
      <c r="AO8" s="8">
        <v>195500</v>
      </c>
      <c r="AP8" s="8">
        <f>SUM(AM8:AO8)</f>
        <v>3322471</v>
      </c>
      <c r="AQ8" s="8">
        <v>0</v>
      </c>
      <c r="AR8" s="8">
        <v>0</v>
      </c>
      <c r="AS8" s="8">
        <v>0</v>
      </c>
      <c r="AT8" s="5">
        <f t="shared" ref="AT8:AT16" si="4">AQ8+AR8+AS8</f>
        <v>0</v>
      </c>
      <c r="AU8" s="5">
        <f t="shared" ref="AU8:AU41" si="5">AP8+AT8</f>
        <v>3322471</v>
      </c>
      <c r="AV8" s="8">
        <v>856858</v>
      </c>
      <c r="AW8" s="8">
        <v>2396736</v>
      </c>
      <c r="AX8" s="8">
        <v>195500</v>
      </c>
      <c r="AY8" s="8">
        <f>SUM(AV8:AX8)</f>
        <v>3449094</v>
      </c>
      <c r="AZ8" s="8">
        <v>0</v>
      </c>
      <c r="BA8" s="8">
        <v>0</v>
      </c>
      <c r="BB8" s="8">
        <v>0</v>
      </c>
      <c r="BC8" s="5">
        <f t="shared" ref="BC8:BC61" si="6">AZ8+BA8+BB8</f>
        <v>0</v>
      </c>
      <c r="BD8" s="5">
        <f t="shared" ref="BD8:BD76" si="7">AY8+BC8</f>
        <v>3449094</v>
      </c>
    </row>
    <row r="9" spans="1:57" ht="17" x14ac:dyDescent="0.2">
      <c r="A9" s="6" t="s">
        <v>15</v>
      </c>
      <c r="B9" s="7" t="s">
        <v>16</v>
      </c>
      <c r="C9" s="8">
        <v>196485</v>
      </c>
      <c r="D9" s="8">
        <v>40500</v>
      </c>
      <c r="E9" s="8">
        <v>1735000</v>
      </c>
      <c r="F9" s="8">
        <f>SUM(C9:E9)</f>
        <v>1971985</v>
      </c>
      <c r="G9" s="8">
        <f>2860000-H9</f>
        <v>275000</v>
      </c>
      <c r="H9" s="8">
        <v>2585000</v>
      </c>
      <c r="I9" s="8">
        <v>0</v>
      </c>
      <c r="J9" s="8">
        <f>SUM(G9:I9)</f>
        <v>2860000</v>
      </c>
      <c r="K9" s="5">
        <f t="shared" si="0"/>
        <v>4831985</v>
      </c>
      <c r="L9" s="8">
        <v>194261</v>
      </c>
      <c r="M9" s="8">
        <v>45000</v>
      </c>
      <c r="N9" s="8">
        <v>1340251</v>
      </c>
      <c r="O9" s="8">
        <f>SUM(L9:N9)</f>
        <v>1579512</v>
      </c>
      <c r="P9" s="8">
        <v>100000</v>
      </c>
      <c r="Q9" s="8">
        <v>8745559</v>
      </c>
      <c r="R9" s="8">
        <v>0</v>
      </c>
      <c r="S9" s="8">
        <f>SUM(P9:R9)</f>
        <v>8845559</v>
      </c>
      <c r="T9" s="5">
        <f t="shared" si="1"/>
        <v>10425071</v>
      </c>
      <c r="U9" s="8"/>
      <c r="V9" s="8"/>
      <c r="W9" s="65"/>
      <c r="X9" s="8"/>
      <c r="Y9" s="8"/>
      <c r="Z9" s="65"/>
      <c r="AA9" s="8"/>
      <c r="AB9" s="8"/>
      <c r="AC9" s="5"/>
      <c r="AD9" s="48">
        <v>236355</v>
      </c>
      <c r="AE9" s="48">
        <v>192000</v>
      </c>
      <c r="AF9" s="48">
        <v>231702</v>
      </c>
      <c r="AG9" s="8">
        <f>SUM(AD9:AF9)</f>
        <v>660057</v>
      </c>
      <c r="AH9" s="49">
        <v>800000</v>
      </c>
      <c r="AI9" s="49">
        <v>862000</v>
      </c>
      <c r="AJ9" s="49">
        <v>0</v>
      </c>
      <c r="AK9" s="5">
        <f t="shared" si="2"/>
        <v>1662000</v>
      </c>
      <c r="AL9" s="5">
        <f t="shared" si="3"/>
        <v>2322057</v>
      </c>
      <c r="AM9" s="8">
        <v>236355</v>
      </c>
      <c r="AN9" s="8">
        <v>192000</v>
      </c>
      <c r="AO9" s="8">
        <v>1040151</v>
      </c>
      <c r="AP9" s="8">
        <f>SUM(AM9:AO9)</f>
        <v>1468506</v>
      </c>
      <c r="AQ9" s="8">
        <v>1000000</v>
      </c>
      <c r="AR9" s="8">
        <v>500000</v>
      </c>
      <c r="AS9" s="8">
        <v>0</v>
      </c>
      <c r="AT9" s="5">
        <f t="shared" si="4"/>
        <v>1500000</v>
      </c>
      <c r="AU9" s="5">
        <f t="shared" si="5"/>
        <v>2968506</v>
      </c>
      <c r="AV9" s="8">
        <v>236355</v>
      </c>
      <c r="AW9" s="8">
        <v>192000</v>
      </c>
      <c r="AX9" s="8">
        <v>771917</v>
      </c>
      <c r="AY9" s="8">
        <f>SUM(AV9:AX9)</f>
        <v>1200272</v>
      </c>
      <c r="AZ9" s="8">
        <v>1000000</v>
      </c>
      <c r="BA9" s="8">
        <v>300000</v>
      </c>
      <c r="BB9" s="8">
        <v>0</v>
      </c>
      <c r="BC9" s="5">
        <f t="shared" si="6"/>
        <v>1300000</v>
      </c>
      <c r="BD9" s="5">
        <f t="shared" si="7"/>
        <v>2500272</v>
      </c>
    </row>
    <row r="10" spans="1:57" ht="34" x14ac:dyDescent="0.2">
      <c r="A10" s="9" t="s">
        <v>17</v>
      </c>
      <c r="B10" s="7" t="s">
        <v>18</v>
      </c>
      <c r="C10" s="8">
        <v>217242</v>
      </c>
      <c r="D10" s="8">
        <v>53000</v>
      </c>
      <c r="E10" s="8">
        <v>291000</v>
      </c>
      <c r="F10" s="8">
        <f>SUM(C10:E10)</f>
        <v>561242</v>
      </c>
      <c r="G10" s="8"/>
      <c r="H10" s="8">
        <v>500000</v>
      </c>
      <c r="I10" s="8">
        <v>4950000</v>
      </c>
      <c r="J10" s="8">
        <f>SUM(G10:I10)</f>
        <v>5450000</v>
      </c>
      <c r="K10" s="5">
        <f t="shared" si="0"/>
        <v>6011242</v>
      </c>
      <c r="L10" s="8">
        <v>237900</v>
      </c>
      <c r="M10" s="8">
        <v>58000</v>
      </c>
      <c r="N10" s="8">
        <v>284630</v>
      </c>
      <c r="O10" s="8">
        <f>SUM(L10:N10)</f>
        <v>580530</v>
      </c>
      <c r="P10" s="8"/>
      <c r="Q10" s="8">
        <v>1254441</v>
      </c>
      <c r="R10" s="8">
        <v>4000000</v>
      </c>
      <c r="S10" s="8">
        <f>SUM(P10:R10)</f>
        <v>5254441</v>
      </c>
      <c r="T10" s="5">
        <f t="shared" si="1"/>
        <v>5834971</v>
      </c>
      <c r="U10" s="8"/>
      <c r="V10" s="8"/>
      <c r="W10" s="8"/>
      <c r="X10" s="8"/>
      <c r="Y10" s="8"/>
      <c r="Z10" s="8"/>
      <c r="AA10" s="65"/>
      <c r="AB10" s="8"/>
      <c r="AC10" s="5"/>
      <c r="AD10" s="8">
        <v>0</v>
      </c>
      <c r="AE10" s="8">
        <v>0</v>
      </c>
      <c r="AF10" s="8">
        <v>0</v>
      </c>
      <c r="AG10" s="8">
        <f>SUM(AD10:AF10)</f>
        <v>0</v>
      </c>
      <c r="AH10" s="8">
        <v>0</v>
      </c>
      <c r="AI10" s="8">
        <v>0</v>
      </c>
      <c r="AJ10" s="8">
        <v>0</v>
      </c>
      <c r="AK10" s="5">
        <f t="shared" si="2"/>
        <v>0</v>
      </c>
      <c r="AL10" s="5">
        <f t="shared" si="3"/>
        <v>0</v>
      </c>
      <c r="AM10" s="8">
        <v>0</v>
      </c>
      <c r="AN10" s="8">
        <v>0</v>
      </c>
      <c r="AO10" s="8">
        <v>0</v>
      </c>
      <c r="AP10" s="8">
        <f>SUM(AM10:AO10)</f>
        <v>0</v>
      </c>
      <c r="AQ10" s="8">
        <v>0</v>
      </c>
      <c r="AR10" s="8">
        <v>0</v>
      </c>
      <c r="AS10" s="8">
        <v>0</v>
      </c>
      <c r="AT10" s="5">
        <f t="shared" si="4"/>
        <v>0</v>
      </c>
      <c r="AU10" s="5">
        <f t="shared" si="5"/>
        <v>0</v>
      </c>
      <c r="AV10" s="8">
        <v>0</v>
      </c>
      <c r="AW10" s="8">
        <v>0</v>
      </c>
      <c r="AX10" s="8">
        <v>0</v>
      </c>
      <c r="AY10" s="8">
        <f>SUM(AV10:AX10)</f>
        <v>0</v>
      </c>
      <c r="AZ10" s="8">
        <v>0</v>
      </c>
      <c r="BA10" s="8">
        <v>0</v>
      </c>
      <c r="BB10" s="8">
        <v>0</v>
      </c>
      <c r="BC10" s="5">
        <f t="shared" si="6"/>
        <v>0</v>
      </c>
      <c r="BD10" s="5">
        <f t="shared" si="7"/>
        <v>0</v>
      </c>
    </row>
    <row r="11" spans="1:57" ht="16" x14ac:dyDescent="0.2">
      <c r="A11" s="110" t="s">
        <v>19</v>
      </c>
      <c r="B11" s="111"/>
      <c r="C11" s="5">
        <v>5960320</v>
      </c>
      <c r="D11" s="5">
        <v>2124176</v>
      </c>
      <c r="E11" s="5">
        <v>4237800</v>
      </c>
      <c r="F11" s="5">
        <v>12322296</v>
      </c>
      <c r="G11" s="5">
        <v>3004000</v>
      </c>
      <c r="H11" s="5">
        <v>600000</v>
      </c>
      <c r="I11" s="5">
        <v>0</v>
      </c>
      <c r="J11" s="5">
        <v>3604000</v>
      </c>
      <c r="K11" s="5">
        <v>15926296</v>
      </c>
      <c r="L11" s="5">
        <v>6901500</v>
      </c>
      <c r="M11" s="5">
        <v>2801025</v>
      </c>
      <c r="N11" s="5">
        <v>4019736</v>
      </c>
      <c r="O11" s="5">
        <v>13722261</v>
      </c>
      <c r="P11" s="5">
        <v>3131000</v>
      </c>
      <c r="Q11" s="5">
        <v>450000</v>
      </c>
      <c r="R11" s="5">
        <v>0</v>
      </c>
      <c r="S11" s="5">
        <v>3581000</v>
      </c>
      <c r="T11" s="5">
        <v>17303261</v>
      </c>
      <c r="U11" s="5">
        <v>6277177</v>
      </c>
      <c r="V11" s="5">
        <v>3659047</v>
      </c>
      <c r="W11" s="5">
        <v>5312028</v>
      </c>
      <c r="X11" s="5">
        <v>15248252</v>
      </c>
      <c r="Y11" s="5">
        <v>6752200</v>
      </c>
      <c r="Z11" s="5">
        <v>0</v>
      </c>
      <c r="AA11" s="5">
        <v>0</v>
      </c>
      <c r="AB11" s="5">
        <v>6752200</v>
      </c>
      <c r="AC11" s="5">
        <v>22000452</v>
      </c>
      <c r="AD11" s="5">
        <v>8246677</v>
      </c>
      <c r="AE11" s="5">
        <v>3659047</v>
      </c>
      <c r="AF11" s="5">
        <v>4565848</v>
      </c>
      <c r="AG11" s="5">
        <v>16471572</v>
      </c>
      <c r="AH11" s="5">
        <v>4967568</v>
      </c>
      <c r="AI11" s="5">
        <v>0</v>
      </c>
      <c r="AJ11" s="5">
        <v>0</v>
      </c>
      <c r="AK11" s="5">
        <v>4967568</v>
      </c>
      <c r="AL11" s="5">
        <v>21439140</v>
      </c>
      <c r="AM11" s="5">
        <v>8246677</v>
      </c>
      <c r="AN11" s="5">
        <v>3096837</v>
      </c>
      <c r="AO11" s="5">
        <v>3709735</v>
      </c>
      <c r="AP11" s="5">
        <v>15053249</v>
      </c>
      <c r="AQ11" s="5">
        <v>5464324</v>
      </c>
      <c r="AR11" s="5">
        <v>0</v>
      </c>
      <c r="AS11" s="5">
        <v>0</v>
      </c>
      <c r="AT11" s="5">
        <v>5464324</v>
      </c>
      <c r="AU11" s="5">
        <v>20517573</v>
      </c>
      <c r="AV11" s="5">
        <v>8246677</v>
      </c>
      <c r="AW11" s="5">
        <v>3229516</v>
      </c>
      <c r="AX11" s="5">
        <v>3711183</v>
      </c>
      <c r="AY11" s="5">
        <v>15187376</v>
      </c>
      <c r="AZ11" s="5">
        <v>5364972</v>
      </c>
      <c r="BA11" s="5">
        <v>0</v>
      </c>
      <c r="BB11" s="5">
        <v>0</v>
      </c>
      <c r="BC11" s="5">
        <v>5364972</v>
      </c>
      <c r="BD11" s="5">
        <v>20552348</v>
      </c>
    </row>
    <row r="12" spans="1:57" ht="17" x14ac:dyDescent="0.2">
      <c r="A12" s="6" t="s">
        <v>20</v>
      </c>
      <c r="B12" s="10" t="s">
        <v>21</v>
      </c>
      <c r="C12" s="8">
        <v>716635</v>
      </c>
      <c r="D12" s="8">
        <v>1465224</v>
      </c>
      <c r="E12" s="8">
        <v>309024</v>
      </c>
      <c r="F12" s="8">
        <f>SUM(C12:E12)</f>
        <v>2490883</v>
      </c>
      <c r="G12" s="8">
        <v>0</v>
      </c>
      <c r="H12" s="8">
        <v>0</v>
      </c>
      <c r="I12" s="8">
        <v>0</v>
      </c>
      <c r="J12" s="8">
        <f>SUM(G12:I12)</f>
        <v>0</v>
      </c>
      <c r="K12" s="5">
        <f t="shared" si="0"/>
        <v>2490883</v>
      </c>
      <c r="L12" s="8">
        <v>1216071</v>
      </c>
      <c r="M12" s="8">
        <v>1892750</v>
      </c>
      <c r="N12" s="8">
        <v>0</v>
      </c>
      <c r="O12" s="8">
        <f>SUM(L12:N12)</f>
        <v>3108821</v>
      </c>
      <c r="P12" s="8">
        <v>0</v>
      </c>
      <c r="Q12" s="8">
        <v>0</v>
      </c>
      <c r="R12" s="8">
        <v>0</v>
      </c>
      <c r="S12" s="8">
        <f>SUM(P12:R12)</f>
        <v>0</v>
      </c>
      <c r="T12" s="5">
        <f t="shared" si="1"/>
        <v>3108821</v>
      </c>
      <c r="U12" s="8"/>
      <c r="V12" s="8"/>
      <c r="W12" s="65"/>
      <c r="X12" s="8"/>
      <c r="Y12" s="8"/>
      <c r="Z12" s="8"/>
      <c r="AA12" s="8"/>
      <c r="AB12" s="8"/>
      <c r="AC12" s="5"/>
      <c r="AD12" s="50">
        <v>920085</v>
      </c>
      <c r="AE12" s="50">
        <v>3224547</v>
      </c>
      <c r="AF12" s="50">
        <v>0</v>
      </c>
      <c r="AG12" s="8">
        <f>SUM(AD12:AF12)</f>
        <v>4144632</v>
      </c>
      <c r="AH12" s="50">
        <v>0</v>
      </c>
      <c r="AI12" s="50">
        <v>0</v>
      </c>
      <c r="AJ12" s="50">
        <v>0</v>
      </c>
      <c r="AK12" s="5">
        <f t="shared" si="2"/>
        <v>0</v>
      </c>
      <c r="AL12" s="5">
        <f t="shared" si="3"/>
        <v>4144632</v>
      </c>
      <c r="AM12" s="8">
        <v>920085</v>
      </c>
      <c r="AN12" s="8">
        <v>2729098</v>
      </c>
      <c r="AO12" s="8">
        <v>0</v>
      </c>
      <c r="AP12" s="8">
        <f>SUM(AM12:AO12)</f>
        <v>3649183</v>
      </c>
      <c r="AQ12" s="8">
        <v>0</v>
      </c>
      <c r="AR12" s="8">
        <v>0</v>
      </c>
      <c r="AS12" s="8">
        <v>0</v>
      </c>
      <c r="AT12" s="5">
        <f t="shared" si="4"/>
        <v>0</v>
      </c>
      <c r="AU12" s="5">
        <f t="shared" si="5"/>
        <v>3649183</v>
      </c>
      <c r="AV12" s="8">
        <v>920085</v>
      </c>
      <c r="AW12" s="8">
        <v>2846021</v>
      </c>
      <c r="AX12" s="8">
        <v>0</v>
      </c>
      <c r="AY12" s="8">
        <f>AV12+AW12+AX12</f>
        <v>3766106</v>
      </c>
      <c r="AZ12" s="8">
        <v>0</v>
      </c>
      <c r="BA12" s="8">
        <v>0</v>
      </c>
      <c r="BB12" s="8">
        <v>0</v>
      </c>
      <c r="BC12" s="5">
        <f t="shared" si="6"/>
        <v>0</v>
      </c>
      <c r="BD12" s="5">
        <f t="shared" si="7"/>
        <v>3766106</v>
      </c>
    </row>
    <row r="13" spans="1:57" ht="17" x14ac:dyDescent="0.2">
      <c r="A13" s="6" t="s">
        <v>22</v>
      </c>
      <c r="B13" s="10" t="s">
        <v>23</v>
      </c>
      <c r="C13" s="8">
        <v>180971</v>
      </c>
      <c r="D13" s="8">
        <v>131000</v>
      </c>
      <c r="E13" s="8">
        <v>198000</v>
      </c>
      <c r="F13" s="8">
        <f>SUM(C13:E13)</f>
        <v>509971</v>
      </c>
      <c r="G13" s="8">
        <v>0</v>
      </c>
      <c r="H13" s="8">
        <v>0</v>
      </c>
      <c r="I13" s="8">
        <v>0</v>
      </c>
      <c r="J13" s="8">
        <f>SUM(G13:I13)</f>
        <v>0</v>
      </c>
      <c r="K13" s="5">
        <f t="shared" si="0"/>
        <v>509971</v>
      </c>
      <c r="L13" s="8">
        <v>225278</v>
      </c>
      <c r="M13" s="8">
        <v>348775</v>
      </c>
      <c r="N13" s="8">
        <v>180000</v>
      </c>
      <c r="O13" s="8">
        <f>SUM(L13:N13)</f>
        <v>754053</v>
      </c>
      <c r="P13" s="8">
        <v>0</v>
      </c>
      <c r="Q13" s="8">
        <v>0</v>
      </c>
      <c r="R13" s="8">
        <v>0</v>
      </c>
      <c r="S13" s="8">
        <f>SUM(P13:R13)</f>
        <v>0</v>
      </c>
      <c r="T13" s="5">
        <f t="shared" si="1"/>
        <v>754053</v>
      </c>
      <c r="U13" s="8"/>
      <c r="V13" s="8"/>
      <c r="W13" s="8"/>
      <c r="X13" s="8"/>
      <c r="Y13" s="8"/>
      <c r="Z13" s="8"/>
      <c r="AA13" s="8"/>
      <c r="AB13" s="8"/>
      <c r="AC13" s="5"/>
      <c r="AD13" s="51">
        <v>472814</v>
      </c>
      <c r="AE13" s="51">
        <v>216500</v>
      </c>
      <c r="AF13" s="51">
        <v>111072</v>
      </c>
      <c r="AG13" s="8">
        <f>SUM(AD13:AF13)</f>
        <v>800386</v>
      </c>
      <c r="AH13" s="51">
        <v>0</v>
      </c>
      <c r="AI13" s="51">
        <v>0</v>
      </c>
      <c r="AJ13" s="51">
        <v>0</v>
      </c>
      <c r="AK13" s="5">
        <f t="shared" si="2"/>
        <v>0</v>
      </c>
      <c r="AL13" s="5">
        <f t="shared" si="3"/>
        <v>800386</v>
      </c>
      <c r="AM13" s="8">
        <v>472814</v>
      </c>
      <c r="AN13" s="8">
        <v>183235</v>
      </c>
      <c r="AO13" s="8">
        <v>90246</v>
      </c>
      <c r="AP13" s="8">
        <f>SUM(AM13:AO13)</f>
        <v>746295</v>
      </c>
      <c r="AQ13" s="8">
        <v>0</v>
      </c>
      <c r="AR13" s="8">
        <v>0</v>
      </c>
      <c r="AS13" s="8">
        <v>0</v>
      </c>
      <c r="AT13" s="5">
        <f t="shared" si="4"/>
        <v>0</v>
      </c>
      <c r="AU13" s="5">
        <f t="shared" si="5"/>
        <v>746295</v>
      </c>
      <c r="AV13" s="8">
        <v>472814</v>
      </c>
      <c r="AW13" s="8">
        <v>191085</v>
      </c>
      <c r="AX13" s="8">
        <v>90281</v>
      </c>
      <c r="AY13" s="8">
        <f>SUM(AV13:AX13)</f>
        <v>754180</v>
      </c>
      <c r="AZ13" s="8">
        <v>0</v>
      </c>
      <c r="BA13" s="8">
        <v>0</v>
      </c>
      <c r="BB13" s="8">
        <v>0</v>
      </c>
      <c r="BC13" s="5">
        <f t="shared" si="6"/>
        <v>0</v>
      </c>
      <c r="BD13" s="5">
        <f t="shared" si="7"/>
        <v>754180</v>
      </c>
    </row>
    <row r="14" spans="1:57" ht="17" x14ac:dyDescent="0.2">
      <c r="A14" s="6" t="s">
        <v>24</v>
      </c>
      <c r="B14" s="10" t="s">
        <v>25</v>
      </c>
      <c r="C14" s="8">
        <v>4901445</v>
      </c>
      <c r="D14" s="8">
        <v>482952</v>
      </c>
      <c r="E14" s="8">
        <v>1425136</v>
      </c>
      <c r="F14" s="8">
        <f>SUM(C14:E14)</f>
        <v>6809533</v>
      </c>
      <c r="G14" s="8">
        <v>1756000</v>
      </c>
      <c r="H14" s="8">
        <v>0</v>
      </c>
      <c r="I14" s="8">
        <v>0</v>
      </c>
      <c r="J14" s="8">
        <f>SUM(G14:I14)</f>
        <v>1756000</v>
      </c>
      <c r="K14" s="5">
        <f t="shared" si="0"/>
        <v>8565533</v>
      </c>
      <c r="L14" s="8">
        <v>5189208</v>
      </c>
      <c r="M14" s="8">
        <v>446000</v>
      </c>
      <c r="N14" s="8">
        <v>1678596</v>
      </c>
      <c r="O14" s="8">
        <f>SUM(L14:N14)</f>
        <v>7313804</v>
      </c>
      <c r="P14" s="8">
        <v>2056500</v>
      </c>
      <c r="Q14" s="8">
        <v>0</v>
      </c>
      <c r="R14" s="8">
        <v>0</v>
      </c>
      <c r="S14" s="8">
        <f>SUM(P14:R14)</f>
        <v>2056500</v>
      </c>
      <c r="T14" s="5">
        <f t="shared" si="1"/>
        <v>9370304</v>
      </c>
      <c r="U14" s="8"/>
      <c r="V14" s="8"/>
      <c r="W14" s="8"/>
      <c r="X14" s="8"/>
      <c r="Y14" s="8"/>
      <c r="Z14" s="8"/>
      <c r="AA14" s="8"/>
      <c r="AB14" s="8"/>
      <c r="AC14" s="5"/>
      <c r="AD14" s="51">
        <v>6522571</v>
      </c>
      <c r="AE14" s="51">
        <v>140000</v>
      </c>
      <c r="AF14" s="51">
        <v>1593636</v>
      </c>
      <c r="AG14" s="8">
        <f>SUM(AD14:AF14)</f>
        <v>8256207</v>
      </c>
      <c r="AH14" s="51">
        <v>4128616</v>
      </c>
      <c r="AI14" s="51">
        <v>0</v>
      </c>
      <c r="AJ14" s="51">
        <v>0</v>
      </c>
      <c r="AK14" s="5">
        <f t="shared" si="2"/>
        <v>4128616</v>
      </c>
      <c r="AL14" s="5">
        <f t="shared" si="3"/>
        <v>12384823</v>
      </c>
      <c r="AM14" s="8">
        <v>6522571</v>
      </c>
      <c r="AN14" s="8">
        <v>118489</v>
      </c>
      <c r="AO14" s="8">
        <v>1294823</v>
      </c>
      <c r="AP14" s="8">
        <f>SUM(AM14:AO14)</f>
        <v>7935883</v>
      </c>
      <c r="AQ14" s="8">
        <v>4549977</v>
      </c>
      <c r="AR14" s="8">
        <v>0</v>
      </c>
      <c r="AS14" s="8">
        <v>0</v>
      </c>
      <c r="AT14" s="5">
        <f t="shared" si="4"/>
        <v>4549977</v>
      </c>
      <c r="AU14" s="5">
        <f t="shared" si="5"/>
        <v>12485860</v>
      </c>
      <c r="AV14" s="8">
        <v>6522571</v>
      </c>
      <c r="AW14" s="8">
        <v>123566</v>
      </c>
      <c r="AX14" s="8">
        <v>1295329</v>
      </c>
      <c r="AY14" s="8">
        <f>SUM(AV14:AX14)</f>
        <v>7941466</v>
      </c>
      <c r="AZ14" s="8">
        <v>4465704</v>
      </c>
      <c r="BA14" s="8">
        <v>0</v>
      </c>
      <c r="BB14" s="8">
        <v>0</v>
      </c>
      <c r="BC14" s="5">
        <f t="shared" si="6"/>
        <v>4465704</v>
      </c>
      <c r="BD14" s="5">
        <f t="shared" si="7"/>
        <v>12407170</v>
      </c>
    </row>
    <row r="15" spans="1:57" ht="17" x14ac:dyDescent="0.2">
      <c r="A15" s="6" t="s">
        <v>26</v>
      </c>
      <c r="B15" s="10" t="s">
        <v>27</v>
      </c>
      <c r="C15" s="8"/>
      <c r="D15" s="8"/>
      <c r="E15" s="8">
        <v>2100000</v>
      </c>
      <c r="F15" s="8">
        <f>SUM(C15:E15)</f>
        <v>2100000</v>
      </c>
      <c r="G15" s="8">
        <v>1150000</v>
      </c>
      <c r="H15" s="8">
        <v>0</v>
      </c>
      <c r="I15" s="8">
        <v>0</v>
      </c>
      <c r="J15" s="8">
        <f>SUM(G15:I15)</f>
        <v>1150000</v>
      </c>
      <c r="K15" s="5">
        <f t="shared" si="0"/>
        <v>3250000</v>
      </c>
      <c r="L15" s="8">
        <v>28225</v>
      </c>
      <c r="M15" s="8"/>
      <c r="N15" s="8">
        <v>2000000</v>
      </c>
      <c r="O15" s="8">
        <f>SUM(L15:N15)</f>
        <v>2028225</v>
      </c>
      <c r="P15" s="8">
        <v>1000000</v>
      </c>
      <c r="Q15" s="8">
        <v>0</v>
      </c>
      <c r="R15" s="8">
        <v>0</v>
      </c>
      <c r="S15" s="8">
        <f>SUM(P15:R15)</f>
        <v>1000000</v>
      </c>
      <c r="T15" s="5">
        <f t="shared" si="1"/>
        <v>3028225</v>
      </c>
      <c r="U15" s="8"/>
      <c r="V15" s="8"/>
      <c r="W15" s="8"/>
      <c r="X15" s="8"/>
      <c r="Y15" s="8"/>
      <c r="Z15" s="8"/>
      <c r="AA15" s="8"/>
      <c r="AB15" s="8"/>
      <c r="AC15" s="5"/>
      <c r="AD15" s="53">
        <v>129487</v>
      </c>
      <c r="AE15" s="53">
        <v>0</v>
      </c>
      <c r="AF15" s="53">
        <v>2700000</v>
      </c>
      <c r="AG15" s="54">
        <f>SUM(AD15:AF15)</f>
        <v>2829487</v>
      </c>
      <c r="AH15" s="53">
        <v>753952</v>
      </c>
      <c r="AI15" s="53">
        <v>0</v>
      </c>
      <c r="AJ15" s="53">
        <v>0</v>
      </c>
      <c r="AK15" s="5">
        <f t="shared" si="2"/>
        <v>753952</v>
      </c>
      <c r="AL15" s="5">
        <f t="shared" si="3"/>
        <v>3583439</v>
      </c>
      <c r="AM15" s="8">
        <v>129487</v>
      </c>
      <c r="AN15" s="8">
        <v>0</v>
      </c>
      <c r="AO15" s="8">
        <v>2193740</v>
      </c>
      <c r="AP15" s="8">
        <f>SUM(AM15:AO15)</f>
        <v>2323227</v>
      </c>
      <c r="AQ15" s="8">
        <v>829347</v>
      </c>
      <c r="AR15" s="8">
        <v>0</v>
      </c>
      <c r="AS15" s="8">
        <v>0</v>
      </c>
      <c r="AT15" s="5">
        <f t="shared" si="4"/>
        <v>829347</v>
      </c>
      <c r="AU15" s="5">
        <f t="shared" si="5"/>
        <v>3152574</v>
      </c>
      <c r="AV15" s="8">
        <v>129487</v>
      </c>
      <c r="AW15" s="8">
        <v>0</v>
      </c>
      <c r="AX15" s="8">
        <v>2194596</v>
      </c>
      <c r="AY15" s="8">
        <f>SUM(AV15:AX15)</f>
        <v>2324083</v>
      </c>
      <c r="AZ15" s="8">
        <v>814268</v>
      </c>
      <c r="BA15" s="8">
        <v>0</v>
      </c>
      <c r="BB15" s="8">
        <v>0</v>
      </c>
      <c r="BC15" s="5">
        <f t="shared" si="6"/>
        <v>814268</v>
      </c>
      <c r="BD15" s="5">
        <f t="shared" si="7"/>
        <v>3138351</v>
      </c>
    </row>
    <row r="16" spans="1:57" ht="34" x14ac:dyDescent="0.2">
      <c r="A16" s="9" t="s">
        <v>28</v>
      </c>
      <c r="B16" s="10" t="s">
        <v>29</v>
      </c>
      <c r="C16" s="8">
        <v>161269</v>
      </c>
      <c r="D16" s="8">
        <v>45000</v>
      </c>
      <c r="E16" s="8">
        <v>205640</v>
      </c>
      <c r="F16" s="8">
        <f>SUM(C16:E16)</f>
        <v>411909</v>
      </c>
      <c r="G16" s="8">
        <v>98000</v>
      </c>
      <c r="H16" s="8">
        <v>600000</v>
      </c>
      <c r="I16" s="8">
        <v>0</v>
      </c>
      <c r="J16" s="8">
        <f>SUM(G16:I16)</f>
        <v>698000</v>
      </c>
      <c r="K16" s="5">
        <f t="shared" si="0"/>
        <v>1109909</v>
      </c>
      <c r="L16" s="8">
        <v>242718</v>
      </c>
      <c r="M16" s="8">
        <v>113500</v>
      </c>
      <c r="N16" s="8">
        <v>161140</v>
      </c>
      <c r="O16" s="8">
        <f>SUM(L16:N16)</f>
        <v>517358</v>
      </c>
      <c r="P16" s="8">
        <v>74500</v>
      </c>
      <c r="Q16" s="8">
        <v>450000</v>
      </c>
      <c r="R16" s="8">
        <v>0</v>
      </c>
      <c r="S16" s="8">
        <f>SUM(P16:R16)</f>
        <v>524500</v>
      </c>
      <c r="T16" s="5">
        <f t="shared" si="1"/>
        <v>1041858</v>
      </c>
      <c r="U16" s="8"/>
      <c r="V16" s="8"/>
      <c r="W16" s="8"/>
      <c r="X16" s="8"/>
      <c r="Y16" s="8"/>
      <c r="Z16" s="8"/>
      <c r="AA16" s="8"/>
      <c r="AB16" s="8"/>
      <c r="AC16" s="5"/>
      <c r="AD16" s="51">
        <v>201720</v>
      </c>
      <c r="AE16" s="51">
        <v>78000</v>
      </c>
      <c r="AF16" s="51">
        <v>161140</v>
      </c>
      <c r="AG16" s="52">
        <f>SUM(AD16:AF16)</f>
        <v>440860</v>
      </c>
      <c r="AH16" s="51">
        <v>85000</v>
      </c>
      <c r="AI16" s="51">
        <v>0</v>
      </c>
      <c r="AJ16" s="51">
        <v>0</v>
      </c>
      <c r="AK16" s="5">
        <f t="shared" si="2"/>
        <v>85000</v>
      </c>
      <c r="AL16" s="5">
        <f t="shared" si="3"/>
        <v>525860</v>
      </c>
      <c r="AM16" s="8">
        <v>201720</v>
      </c>
      <c r="AN16" s="8">
        <v>66015</v>
      </c>
      <c r="AO16" s="8">
        <v>130926</v>
      </c>
      <c r="AP16" s="8">
        <f>SUM(AM16:AO16)</f>
        <v>398661</v>
      </c>
      <c r="AQ16" s="8">
        <v>85000</v>
      </c>
      <c r="AR16" s="8">
        <v>0</v>
      </c>
      <c r="AS16" s="8">
        <v>0</v>
      </c>
      <c r="AT16" s="5">
        <f t="shared" si="4"/>
        <v>85000</v>
      </c>
      <c r="AU16" s="5">
        <f t="shared" si="5"/>
        <v>483661</v>
      </c>
      <c r="AV16" s="8">
        <v>201720</v>
      </c>
      <c r="AW16" s="8">
        <v>68844</v>
      </c>
      <c r="AX16" s="8">
        <v>130977</v>
      </c>
      <c r="AY16" s="8">
        <f>SUM(AV16:AX16)</f>
        <v>401541</v>
      </c>
      <c r="AZ16" s="8">
        <v>85000</v>
      </c>
      <c r="BA16" s="8">
        <v>0</v>
      </c>
      <c r="BB16" s="8">
        <v>0</v>
      </c>
      <c r="BC16" s="5">
        <f t="shared" si="6"/>
        <v>85000</v>
      </c>
      <c r="BD16" s="5">
        <f t="shared" si="7"/>
        <v>486541</v>
      </c>
    </row>
    <row r="17" spans="1:56" ht="16" x14ac:dyDescent="0.2">
      <c r="A17" s="110" t="s">
        <v>30</v>
      </c>
      <c r="B17" s="111"/>
      <c r="C17" s="5">
        <v>18152867</v>
      </c>
      <c r="D17" s="5">
        <v>8831806</v>
      </c>
      <c r="E17" s="5">
        <v>344592</v>
      </c>
      <c r="F17" s="5">
        <v>27329265</v>
      </c>
      <c r="G17" s="5">
        <v>1000000</v>
      </c>
      <c r="H17" s="5">
        <v>0</v>
      </c>
      <c r="I17" s="5">
        <v>0</v>
      </c>
      <c r="J17" s="5">
        <v>1000000</v>
      </c>
      <c r="K17" s="5">
        <v>28329265</v>
      </c>
      <c r="L17" s="5">
        <v>13320800</v>
      </c>
      <c r="M17" s="5">
        <v>8722571</v>
      </c>
      <c r="N17" s="5">
        <v>195039</v>
      </c>
      <c r="O17" s="5">
        <v>22238410</v>
      </c>
      <c r="P17" s="5">
        <v>1800000</v>
      </c>
      <c r="Q17" s="5">
        <v>0</v>
      </c>
      <c r="R17" s="5">
        <v>0</v>
      </c>
      <c r="S17" s="5">
        <v>1800000</v>
      </c>
      <c r="T17" s="5">
        <v>24038410</v>
      </c>
      <c r="U17" s="5">
        <v>15006544</v>
      </c>
      <c r="V17" s="5">
        <v>5728052</v>
      </c>
      <c r="W17" s="5">
        <v>100000</v>
      </c>
      <c r="X17" s="5">
        <v>20834596</v>
      </c>
      <c r="Y17" s="5">
        <v>1630000</v>
      </c>
      <c r="Z17" s="5">
        <v>0</v>
      </c>
      <c r="AA17" s="5">
        <v>0</v>
      </c>
      <c r="AB17" s="5">
        <v>1630000</v>
      </c>
      <c r="AC17" s="5">
        <v>22464596</v>
      </c>
      <c r="AD17" s="5">
        <v>10066179</v>
      </c>
      <c r="AE17" s="5">
        <v>5798052</v>
      </c>
      <c r="AF17" s="5">
        <v>100000</v>
      </c>
      <c r="AG17" s="5">
        <v>15964231</v>
      </c>
      <c r="AH17" s="5">
        <v>1000000</v>
      </c>
      <c r="AI17" s="5">
        <v>0</v>
      </c>
      <c r="AJ17" s="5">
        <v>0</v>
      </c>
      <c r="AK17" s="5">
        <v>1000000</v>
      </c>
      <c r="AL17" s="5">
        <v>16964231</v>
      </c>
      <c r="AM17" s="5">
        <v>10066179</v>
      </c>
      <c r="AN17" s="5">
        <v>5109369</v>
      </c>
      <c r="AO17" s="5">
        <v>100676</v>
      </c>
      <c r="AP17" s="5">
        <v>15276224</v>
      </c>
      <c r="AQ17" s="5">
        <v>0</v>
      </c>
      <c r="AR17" s="5">
        <v>0</v>
      </c>
      <c r="AS17" s="5">
        <v>0</v>
      </c>
      <c r="AT17" s="5">
        <v>0</v>
      </c>
      <c r="AU17" s="5">
        <v>15276224</v>
      </c>
      <c r="AV17" s="5">
        <v>10066179</v>
      </c>
      <c r="AW17" s="5">
        <v>5166117</v>
      </c>
      <c r="AX17" s="5">
        <v>93608</v>
      </c>
      <c r="AY17" s="5">
        <v>15325904</v>
      </c>
      <c r="AZ17" s="5">
        <v>0</v>
      </c>
      <c r="BA17" s="5">
        <v>0</v>
      </c>
      <c r="BB17" s="5">
        <v>0</v>
      </c>
      <c r="BC17" s="5">
        <v>0</v>
      </c>
      <c r="BD17" s="5">
        <v>15325904</v>
      </c>
    </row>
    <row r="18" spans="1:56" ht="34" x14ac:dyDescent="0.2">
      <c r="A18" s="6" t="s">
        <v>31</v>
      </c>
      <c r="B18" s="11" t="s">
        <v>32</v>
      </c>
      <c r="C18" s="8">
        <v>3539789</v>
      </c>
      <c r="D18" s="8">
        <v>2544006</v>
      </c>
      <c r="E18" s="8">
        <v>120000</v>
      </c>
      <c r="F18" s="8">
        <f>SUM(C18:E18)</f>
        <v>6203795</v>
      </c>
      <c r="G18" s="8">
        <v>100000</v>
      </c>
      <c r="H18" s="8">
        <v>0</v>
      </c>
      <c r="I18" s="8">
        <v>0</v>
      </c>
      <c r="J18" s="8">
        <f>SUM(G18:I18)</f>
        <v>100000</v>
      </c>
      <c r="K18" s="5">
        <f t="shared" si="0"/>
        <v>6303795</v>
      </c>
      <c r="L18" s="8">
        <v>3539789</v>
      </c>
      <c r="M18" s="8">
        <v>2876361</v>
      </c>
      <c r="N18" s="8">
        <v>75447</v>
      </c>
      <c r="O18" s="8">
        <f>SUM(L18:N18)</f>
        <v>6491597</v>
      </c>
      <c r="P18" s="8">
        <v>200000</v>
      </c>
      <c r="Q18" s="8">
        <v>0</v>
      </c>
      <c r="R18" s="8">
        <v>0</v>
      </c>
      <c r="S18" s="8">
        <f>SUM(P18:R18)</f>
        <v>200000</v>
      </c>
      <c r="T18" s="5">
        <f t="shared" si="1"/>
        <v>6691597</v>
      </c>
      <c r="U18" s="8"/>
      <c r="V18" s="8"/>
      <c r="W18" s="8"/>
      <c r="X18" s="8"/>
      <c r="Y18" s="8"/>
      <c r="Z18" s="8"/>
      <c r="AA18" s="8"/>
      <c r="AB18" s="8"/>
      <c r="AC18" s="5"/>
      <c r="AD18" s="47">
        <v>1434900</v>
      </c>
      <c r="AE18" s="47">
        <v>2481822</v>
      </c>
      <c r="AF18" s="47">
        <v>0</v>
      </c>
      <c r="AG18" s="55">
        <f>SUM(AD18:AF18)</f>
        <v>3916722</v>
      </c>
      <c r="AH18" s="47">
        <f>648000+12000</f>
        <v>660000</v>
      </c>
      <c r="AI18" s="47">
        <v>0</v>
      </c>
      <c r="AJ18" s="47">
        <v>0</v>
      </c>
      <c r="AK18" s="56">
        <f>SUM(AH18:AJ18)</f>
        <v>660000</v>
      </c>
      <c r="AL18" s="5">
        <f t="shared" si="3"/>
        <v>4576722</v>
      </c>
      <c r="AM18" s="8">
        <v>1434900</v>
      </c>
      <c r="AN18" s="8">
        <v>2231822</v>
      </c>
      <c r="AO18" s="8">
        <v>0</v>
      </c>
      <c r="AP18" s="8">
        <f>SUM(AM18:AO18)</f>
        <v>3666722</v>
      </c>
      <c r="AQ18" s="8">
        <v>0</v>
      </c>
      <c r="AR18" s="8">
        <v>0</v>
      </c>
      <c r="AS18" s="8">
        <v>0</v>
      </c>
      <c r="AT18" s="8">
        <f>SUM(AQ18:AS18)</f>
        <v>0</v>
      </c>
      <c r="AU18" s="5">
        <f t="shared" si="5"/>
        <v>3666722</v>
      </c>
      <c r="AV18" s="8">
        <v>1434900</v>
      </c>
      <c r="AW18" s="8">
        <v>2231822</v>
      </c>
      <c r="AX18" s="8">
        <v>0</v>
      </c>
      <c r="AY18" s="8">
        <f>SUM(AV18:AX18)</f>
        <v>3666722</v>
      </c>
      <c r="AZ18" s="8">
        <v>0</v>
      </c>
      <c r="BA18" s="8">
        <v>0</v>
      </c>
      <c r="BB18" s="8">
        <v>0</v>
      </c>
      <c r="BC18" s="8">
        <f>SUM(AZ18:BB18)</f>
        <v>0</v>
      </c>
      <c r="BD18" s="5">
        <f t="shared" si="7"/>
        <v>3666722</v>
      </c>
    </row>
    <row r="19" spans="1:56" ht="17" x14ac:dyDescent="0.2">
      <c r="A19" s="6" t="s">
        <v>33</v>
      </c>
      <c r="B19" s="11" t="s">
        <v>34</v>
      </c>
      <c r="C19" s="8">
        <f>14318710-2524072</f>
        <v>11794638</v>
      </c>
      <c r="D19" s="8">
        <v>5325100</v>
      </c>
      <c r="E19" s="8">
        <f>100840-998</f>
        <v>99842</v>
      </c>
      <c r="F19" s="8">
        <f>SUM(C19:E19)</f>
        <v>17219580</v>
      </c>
      <c r="G19" s="8">
        <v>150000</v>
      </c>
      <c r="H19" s="8">
        <v>0</v>
      </c>
      <c r="I19" s="8">
        <v>0</v>
      </c>
      <c r="J19" s="8">
        <f>SUM(G19:I19)</f>
        <v>150000</v>
      </c>
      <c r="K19" s="5">
        <f t="shared" si="0"/>
        <v>17369580</v>
      </c>
      <c r="L19" s="8">
        <v>6962571</v>
      </c>
      <c r="M19" s="8">
        <f>5325100-441590</f>
        <v>4883510</v>
      </c>
      <c r="N19" s="8">
        <v>54842</v>
      </c>
      <c r="O19" s="8">
        <f>SUM(L19:N19)</f>
        <v>11900923</v>
      </c>
      <c r="P19" s="8">
        <f>150000*2</f>
        <v>300000</v>
      </c>
      <c r="Q19" s="8">
        <v>0</v>
      </c>
      <c r="R19" s="8">
        <v>0</v>
      </c>
      <c r="S19" s="8">
        <f>SUM(P19:R19)</f>
        <v>300000</v>
      </c>
      <c r="T19" s="5">
        <f t="shared" si="1"/>
        <v>12200923</v>
      </c>
      <c r="U19" s="8"/>
      <c r="V19" s="8"/>
      <c r="W19" s="8"/>
      <c r="X19" s="8"/>
      <c r="Y19" s="8"/>
      <c r="Z19" s="8"/>
      <c r="AA19" s="8"/>
      <c r="AB19" s="8"/>
      <c r="AC19" s="5"/>
      <c r="AD19" s="49">
        <v>1492712</v>
      </c>
      <c r="AE19" s="49">
        <v>440974</v>
      </c>
      <c r="AF19" s="49">
        <v>100000</v>
      </c>
      <c r="AG19" s="52">
        <f>SUM(AD19:AF19)</f>
        <v>2033686</v>
      </c>
      <c r="AH19" s="49">
        <v>0</v>
      </c>
      <c r="AI19" s="49">
        <v>0</v>
      </c>
      <c r="AJ19" s="49">
        <v>0</v>
      </c>
      <c r="AK19" s="56">
        <f>SUM(AH19:AJ19)</f>
        <v>0</v>
      </c>
      <c r="AL19" s="5">
        <f t="shared" si="3"/>
        <v>2033686</v>
      </c>
      <c r="AM19" s="8">
        <v>1492712</v>
      </c>
      <c r="AN19" s="8">
        <v>390974</v>
      </c>
      <c r="AO19" s="8">
        <v>100676</v>
      </c>
      <c r="AP19" s="8">
        <f>SUM(AM19:AO19)</f>
        <v>1984362</v>
      </c>
      <c r="AQ19" s="8">
        <v>0</v>
      </c>
      <c r="AR19" s="8">
        <v>0</v>
      </c>
      <c r="AS19" s="8">
        <v>0</v>
      </c>
      <c r="AT19" s="8">
        <f>SUM(AQ19:AS19)</f>
        <v>0</v>
      </c>
      <c r="AU19" s="5">
        <f t="shared" si="5"/>
        <v>1984362</v>
      </c>
      <c r="AV19" s="8">
        <v>1492712</v>
      </c>
      <c r="AW19" s="8">
        <v>390974</v>
      </c>
      <c r="AX19" s="8">
        <v>93608</v>
      </c>
      <c r="AY19" s="8">
        <f>SUM(AV19:AX19)</f>
        <v>1977294</v>
      </c>
      <c r="AZ19" s="8">
        <v>0</v>
      </c>
      <c r="BA19" s="8">
        <v>0</v>
      </c>
      <c r="BB19" s="8">
        <v>0</v>
      </c>
      <c r="BC19" s="8">
        <f>SUM(AZ19:BB19)</f>
        <v>0</v>
      </c>
      <c r="BD19" s="5">
        <f t="shared" si="7"/>
        <v>1977294</v>
      </c>
    </row>
    <row r="20" spans="1:56" ht="34" x14ac:dyDescent="0.2">
      <c r="A20" s="6" t="s">
        <v>35</v>
      </c>
      <c r="B20" s="11" t="s">
        <v>36</v>
      </c>
      <c r="C20" s="8">
        <v>2680140</v>
      </c>
      <c r="D20" s="8">
        <v>962700</v>
      </c>
      <c r="E20" s="8">
        <v>55000</v>
      </c>
      <c r="F20" s="8">
        <f>SUM(C20:E20)</f>
        <v>3697840</v>
      </c>
      <c r="G20" s="8">
        <v>600000</v>
      </c>
      <c r="H20" s="8">
        <v>0</v>
      </c>
      <c r="I20" s="8">
        <v>0</v>
      </c>
      <c r="J20" s="8">
        <f>SUM(G20:I20)</f>
        <v>600000</v>
      </c>
      <c r="K20" s="5">
        <f t="shared" si="0"/>
        <v>4297840</v>
      </c>
      <c r="L20" s="8">
        <v>2680140</v>
      </c>
      <c r="M20" s="8">
        <v>962700</v>
      </c>
      <c r="N20" s="8">
        <v>25000</v>
      </c>
      <c r="O20" s="8">
        <f>SUM(L20:N20)</f>
        <v>3667840</v>
      </c>
      <c r="P20" s="8">
        <v>1000000</v>
      </c>
      <c r="Q20" s="8">
        <v>0</v>
      </c>
      <c r="R20" s="8">
        <v>0</v>
      </c>
      <c r="S20" s="8">
        <f>SUM(P20:R20)</f>
        <v>1000000</v>
      </c>
      <c r="T20" s="5">
        <f t="shared" si="1"/>
        <v>4667840</v>
      </c>
      <c r="U20" s="8"/>
      <c r="V20" s="8"/>
      <c r="W20" s="8"/>
      <c r="X20" s="8"/>
      <c r="Y20" s="65"/>
      <c r="Z20" s="8"/>
      <c r="AA20" s="8"/>
      <c r="AB20" s="8"/>
      <c r="AC20" s="5"/>
      <c r="AD20" s="49">
        <v>7138567</v>
      </c>
      <c r="AE20" s="49">
        <v>2875256</v>
      </c>
      <c r="AF20" s="49">
        <v>0</v>
      </c>
      <c r="AG20" s="52">
        <f>SUM(AD20:AF20)</f>
        <v>10013823</v>
      </c>
      <c r="AH20" s="49">
        <v>340000</v>
      </c>
      <c r="AI20" s="49">
        <v>0</v>
      </c>
      <c r="AJ20" s="49">
        <v>0</v>
      </c>
      <c r="AK20" s="56">
        <f>SUM(AH20:AJ20)</f>
        <v>340000</v>
      </c>
      <c r="AL20" s="5">
        <f t="shared" si="3"/>
        <v>10353823</v>
      </c>
      <c r="AM20" s="8">
        <v>7138567</v>
      </c>
      <c r="AN20" s="8">
        <v>2486573</v>
      </c>
      <c r="AO20" s="8">
        <v>0</v>
      </c>
      <c r="AP20" s="8">
        <f>SUM(AM20:AO20)</f>
        <v>9625140</v>
      </c>
      <c r="AQ20" s="8">
        <v>0</v>
      </c>
      <c r="AR20" s="8">
        <v>0</v>
      </c>
      <c r="AS20" s="8">
        <v>0</v>
      </c>
      <c r="AT20" s="8">
        <f>SUM(AQ20:AS20)</f>
        <v>0</v>
      </c>
      <c r="AU20" s="5">
        <f t="shared" si="5"/>
        <v>9625140</v>
      </c>
      <c r="AV20" s="8">
        <v>7138567</v>
      </c>
      <c r="AW20" s="8">
        <v>2543321</v>
      </c>
      <c r="AX20" s="8">
        <v>0</v>
      </c>
      <c r="AY20" s="8">
        <f>SUM(AV20:AX20)</f>
        <v>9681888</v>
      </c>
      <c r="AZ20" s="8">
        <v>0</v>
      </c>
      <c r="BA20" s="8">
        <v>0</v>
      </c>
      <c r="BB20" s="8">
        <v>0</v>
      </c>
      <c r="BC20" s="8">
        <f>SUM(AZ20:BB20)</f>
        <v>0</v>
      </c>
      <c r="BD20" s="5">
        <f t="shared" si="7"/>
        <v>9681888</v>
      </c>
    </row>
    <row r="21" spans="1:56" ht="34" x14ac:dyDescent="0.2">
      <c r="A21" s="9" t="s">
        <v>37</v>
      </c>
      <c r="B21" s="11" t="s">
        <v>38</v>
      </c>
      <c r="C21" s="8">
        <v>138300</v>
      </c>
      <c r="D21" s="8"/>
      <c r="E21" s="8">
        <v>69750</v>
      </c>
      <c r="F21" s="8">
        <f>SUM(C21:E21)</f>
        <v>208050</v>
      </c>
      <c r="G21" s="8">
        <v>150000</v>
      </c>
      <c r="H21" s="8">
        <v>0</v>
      </c>
      <c r="I21" s="8">
        <v>0</v>
      </c>
      <c r="J21" s="8">
        <f>SUM(G21:I21)</f>
        <v>150000</v>
      </c>
      <c r="K21" s="5">
        <f t="shared" si="0"/>
        <v>358050</v>
      </c>
      <c r="L21" s="8">
        <v>138300</v>
      </c>
      <c r="M21" s="8"/>
      <c r="N21" s="8">
        <v>39750</v>
      </c>
      <c r="O21" s="8">
        <f>SUM(L21:N21)</f>
        <v>178050</v>
      </c>
      <c r="P21" s="8">
        <v>300000</v>
      </c>
      <c r="Q21" s="8">
        <v>0</v>
      </c>
      <c r="R21" s="8">
        <v>0</v>
      </c>
      <c r="S21" s="8">
        <f>SUM(P21:R21)</f>
        <v>300000</v>
      </c>
      <c r="T21" s="5">
        <f t="shared" si="1"/>
        <v>478050</v>
      </c>
      <c r="U21" s="8"/>
      <c r="V21" s="8"/>
      <c r="W21" s="8"/>
      <c r="X21" s="8"/>
      <c r="Y21" s="8"/>
      <c r="Z21" s="8"/>
      <c r="AA21" s="8"/>
      <c r="AB21" s="8"/>
      <c r="AC21" s="5"/>
      <c r="AD21" s="8">
        <v>0</v>
      </c>
      <c r="AE21" s="8">
        <v>0</v>
      </c>
      <c r="AF21" s="8">
        <v>0</v>
      </c>
      <c r="AG21" s="8">
        <f>SUM(AD21:AF21)</f>
        <v>0</v>
      </c>
      <c r="AH21" s="8">
        <v>0</v>
      </c>
      <c r="AI21" s="8">
        <v>0</v>
      </c>
      <c r="AJ21" s="8">
        <v>0</v>
      </c>
      <c r="AK21" s="56">
        <f>SUM(AH21:AJ21)</f>
        <v>0</v>
      </c>
      <c r="AL21" s="5">
        <f t="shared" si="3"/>
        <v>0</v>
      </c>
      <c r="AM21" s="8">
        <v>0</v>
      </c>
      <c r="AN21" s="8">
        <v>0</v>
      </c>
      <c r="AO21" s="8">
        <v>0</v>
      </c>
      <c r="AP21" s="8">
        <f>SUM(AM21:AO21)</f>
        <v>0</v>
      </c>
      <c r="AQ21" s="8">
        <v>0</v>
      </c>
      <c r="AR21" s="8">
        <v>0</v>
      </c>
      <c r="AS21" s="8">
        <v>0</v>
      </c>
      <c r="AT21" s="8">
        <f>SUM(AQ21:AS21)</f>
        <v>0</v>
      </c>
      <c r="AU21" s="5">
        <f t="shared" si="5"/>
        <v>0</v>
      </c>
      <c r="AV21" s="8">
        <v>0</v>
      </c>
      <c r="AW21" s="8">
        <v>0</v>
      </c>
      <c r="AX21" s="8">
        <v>0</v>
      </c>
      <c r="AY21" s="8">
        <f>SUM(AV21:AX21)</f>
        <v>0</v>
      </c>
      <c r="AZ21" s="8">
        <v>0</v>
      </c>
      <c r="BA21" s="8">
        <v>0</v>
      </c>
      <c r="BB21" s="8">
        <v>0</v>
      </c>
      <c r="BC21" s="8">
        <f>SUM(AZ21:BB21)</f>
        <v>0</v>
      </c>
      <c r="BD21" s="5">
        <f t="shared" si="7"/>
        <v>0</v>
      </c>
    </row>
    <row r="22" spans="1:56" ht="16" x14ac:dyDescent="0.2">
      <c r="A22" s="110" t="s">
        <v>39</v>
      </c>
      <c r="B22" s="111"/>
      <c r="C22" s="5">
        <v>7395621</v>
      </c>
      <c r="D22" s="5">
        <v>3216069</v>
      </c>
      <c r="E22" s="5">
        <v>3584701</v>
      </c>
      <c r="F22" s="5">
        <v>14196391</v>
      </c>
      <c r="G22" s="5">
        <v>1320265</v>
      </c>
      <c r="H22" s="5">
        <v>0</v>
      </c>
      <c r="I22" s="5">
        <v>0</v>
      </c>
      <c r="J22" s="5">
        <v>1320265</v>
      </c>
      <c r="K22" s="5">
        <v>15516656</v>
      </c>
      <c r="L22" s="5">
        <v>10250700</v>
      </c>
      <c r="M22" s="5">
        <v>2804456</v>
      </c>
      <c r="N22" s="5">
        <v>5282616</v>
      </c>
      <c r="O22" s="5">
        <v>18337772</v>
      </c>
      <c r="P22" s="5">
        <v>1200000</v>
      </c>
      <c r="Q22" s="5">
        <v>0</v>
      </c>
      <c r="R22" s="5">
        <v>0</v>
      </c>
      <c r="S22" s="5">
        <v>1200000</v>
      </c>
      <c r="T22" s="5">
        <v>19537772</v>
      </c>
      <c r="U22" s="5">
        <v>10871391</v>
      </c>
      <c r="V22" s="5">
        <v>3305989</v>
      </c>
      <c r="W22" s="5">
        <v>8504967</v>
      </c>
      <c r="X22" s="5">
        <v>22682347</v>
      </c>
      <c r="Y22" s="5">
        <v>7000000</v>
      </c>
      <c r="Z22" s="5">
        <v>93750</v>
      </c>
      <c r="AA22" s="5">
        <v>0</v>
      </c>
      <c r="AB22" s="5">
        <v>7093750</v>
      </c>
      <c r="AC22" s="5">
        <v>29776097</v>
      </c>
      <c r="AD22" s="5">
        <v>10679198</v>
      </c>
      <c r="AE22" s="5">
        <v>5384298</v>
      </c>
      <c r="AF22" s="5">
        <v>7953267</v>
      </c>
      <c r="AG22" s="5">
        <v>24016763</v>
      </c>
      <c r="AH22" s="5">
        <v>6769333</v>
      </c>
      <c r="AI22" s="5">
        <v>0</v>
      </c>
      <c r="AJ22" s="5">
        <v>0</v>
      </c>
      <c r="AK22" s="5">
        <v>6769333</v>
      </c>
      <c r="AL22" s="5">
        <v>30786096</v>
      </c>
      <c r="AM22" s="5">
        <v>10679198</v>
      </c>
      <c r="AN22" s="5">
        <v>4304195</v>
      </c>
      <c r="AO22" s="5">
        <v>3924974</v>
      </c>
      <c r="AP22" s="5">
        <v>18908367</v>
      </c>
      <c r="AQ22" s="5">
        <v>6782303</v>
      </c>
      <c r="AR22" s="5">
        <v>93944</v>
      </c>
      <c r="AS22" s="5">
        <v>0</v>
      </c>
      <c r="AT22" s="5">
        <v>6876247</v>
      </c>
      <c r="AU22" s="5">
        <v>25784614</v>
      </c>
      <c r="AV22" s="5">
        <v>10679198</v>
      </c>
      <c r="AW22" s="5">
        <v>4425823</v>
      </c>
      <c r="AX22" s="5">
        <v>3924974</v>
      </c>
      <c r="AY22" s="5">
        <v>19029995</v>
      </c>
      <c r="AZ22" s="5">
        <v>6387336</v>
      </c>
      <c r="BA22" s="5">
        <v>56361</v>
      </c>
      <c r="BB22" s="5">
        <v>0</v>
      </c>
      <c r="BC22" s="5">
        <v>6443697</v>
      </c>
      <c r="BD22" s="5">
        <v>25473692</v>
      </c>
    </row>
    <row r="23" spans="1:56" ht="17" x14ac:dyDescent="0.2">
      <c r="A23" s="6" t="s">
        <v>40</v>
      </c>
      <c r="B23" s="10" t="s">
        <v>41</v>
      </c>
      <c r="C23" s="8">
        <f>739533+50000</f>
        <v>789533</v>
      </c>
      <c r="D23" s="8">
        <v>2406260</v>
      </c>
      <c r="E23" s="8">
        <v>1367977</v>
      </c>
      <c r="F23" s="8">
        <f>SUM(C23:E23)</f>
        <v>4563770</v>
      </c>
      <c r="G23" s="8">
        <v>581498</v>
      </c>
      <c r="H23" s="8">
        <v>0</v>
      </c>
      <c r="I23" s="8">
        <v>0</v>
      </c>
      <c r="J23" s="8">
        <f>SUM(G23:I23)</f>
        <v>581498</v>
      </c>
      <c r="K23" s="5">
        <f t="shared" si="0"/>
        <v>5145268</v>
      </c>
      <c r="L23" s="8">
        <v>2252681</v>
      </c>
      <c r="M23" s="8">
        <v>1995627</v>
      </c>
      <c r="N23" s="8">
        <v>3130892</v>
      </c>
      <c r="O23" s="8">
        <f>SUM(L23:N23)</f>
        <v>7379200</v>
      </c>
      <c r="P23" s="8">
        <v>280000</v>
      </c>
      <c r="Q23" s="8">
        <v>0</v>
      </c>
      <c r="R23" s="8">
        <v>0</v>
      </c>
      <c r="S23" s="8">
        <f>SUM(P23:R23)</f>
        <v>280000</v>
      </c>
      <c r="T23" s="5">
        <f t="shared" si="1"/>
        <v>7659200</v>
      </c>
      <c r="U23" s="65"/>
      <c r="V23" s="8"/>
      <c r="W23" s="65"/>
      <c r="X23" s="8"/>
      <c r="Y23" s="8"/>
      <c r="Z23" s="8"/>
      <c r="AA23" s="8"/>
      <c r="AB23" s="8"/>
      <c r="AC23" s="5"/>
      <c r="AD23" s="47">
        <v>728580</v>
      </c>
      <c r="AE23" s="47">
        <v>3323563</v>
      </c>
      <c r="AF23" s="47">
        <v>0</v>
      </c>
      <c r="AG23" s="55">
        <f>SUM(AD23:AF23)</f>
        <v>4052143</v>
      </c>
      <c r="AH23" s="47">
        <v>2600000</v>
      </c>
      <c r="AI23" s="47">
        <v>0</v>
      </c>
      <c r="AJ23" s="47">
        <v>0</v>
      </c>
      <c r="AK23" s="5">
        <f t="shared" ref="AK23:AK27" si="8">AH23+AI23+AJ23</f>
        <v>2600000</v>
      </c>
      <c r="AL23" s="5">
        <f t="shared" si="3"/>
        <v>6652143</v>
      </c>
      <c r="AM23" s="8">
        <v>728580</v>
      </c>
      <c r="AN23" s="8">
        <v>2442967</v>
      </c>
      <c r="AO23" s="8">
        <v>0</v>
      </c>
      <c r="AP23" s="8">
        <f>SUM(AM23:AO23)</f>
        <v>3171547</v>
      </c>
      <c r="AQ23" s="8">
        <v>2700000</v>
      </c>
      <c r="AR23" s="8"/>
      <c r="AS23" s="8"/>
      <c r="AT23" s="5">
        <f t="shared" ref="AT23:AT27" si="9">AQ23+AR23+AS23</f>
        <v>2700000</v>
      </c>
      <c r="AU23" s="5">
        <f t="shared" si="5"/>
        <v>5871547</v>
      </c>
      <c r="AV23" s="8">
        <v>728580</v>
      </c>
      <c r="AW23" s="8">
        <v>2564595</v>
      </c>
      <c r="AX23" s="8">
        <v>0</v>
      </c>
      <c r="AY23" s="8">
        <f>SUM(AV23:AX23)</f>
        <v>3293175</v>
      </c>
      <c r="AZ23" s="8">
        <v>2700000</v>
      </c>
      <c r="BA23" s="8"/>
      <c r="BB23" s="8"/>
      <c r="BC23" s="5">
        <f t="shared" si="6"/>
        <v>2700000</v>
      </c>
      <c r="BD23" s="5">
        <f t="shared" si="7"/>
        <v>5993175</v>
      </c>
    </row>
    <row r="24" spans="1:56" ht="17" x14ac:dyDescent="0.2">
      <c r="A24" s="6" t="s">
        <v>42</v>
      </c>
      <c r="B24" s="11" t="s">
        <v>43</v>
      </c>
      <c r="C24" s="8">
        <f>354911+50000</f>
        <v>404911</v>
      </c>
      <c r="D24" s="8">
        <v>70121</v>
      </c>
      <c r="E24" s="8">
        <v>1335000</v>
      </c>
      <c r="F24" s="8">
        <f>SUM(C24:E24)</f>
        <v>1810032</v>
      </c>
      <c r="G24" s="8">
        <v>88767</v>
      </c>
      <c r="H24" s="8">
        <v>0</v>
      </c>
      <c r="I24" s="8">
        <v>0</v>
      </c>
      <c r="J24" s="8">
        <f>SUM(G24:I24)</f>
        <v>88767</v>
      </c>
      <c r="K24" s="5">
        <f t="shared" si="0"/>
        <v>1898799</v>
      </c>
      <c r="L24" s="8">
        <v>398360</v>
      </c>
      <c r="M24" s="8">
        <v>70121</v>
      </c>
      <c r="N24" s="8">
        <v>1350000</v>
      </c>
      <c r="O24" s="8">
        <f>SUM(L24:N24)</f>
        <v>1818481</v>
      </c>
      <c r="P24" s="8">
        <v>70000</v>
      </c>
      <c r="Q24" s="8">
        <v>0</v>
      </c>
      <c r="R24" s="8">
        <v>0</v>
      </c>
      <c r="S24" s="8">
        <f>SUM(P24:R24)</f>
        <v>70000</v>
      </c>
      <c r="T24" s="5">
        <f t="shared" si="1"/>
        <v>1888481</v>
      </c>
      <c r="U24" s="8"/>
      <c r="V24" s="8"/>
      <c r="W24" s="8"/>
      <c r="X24" s="8"/>
      <c r="Y24" s="8"/>
      <c r="Z24" s="8"/>
      <c r="AA24" s="8"/>
      <c r="AB24" s="8"/>
      <c r="AC24" s="5"/>
      <c r="AD24" s="49">
        <v>516459</v>
      </c>
      <c r="AE24" s="49">
        <v>367571</v>
      </c>
      <c r="AF24" s="49">
        <v>2865000</v>
      </c>
      <c r="AG24" s="52">
        <f>SUM(AD24:AF24)</f>
        <v>3749030</v>
      </c>
      <c r="AH24" s="49">
        <v>250000</v>
      </c>
      <c r="AI24" s="49">
        <v>0</v>
      </c>
      <c r="AJ24" s="49">
        <v>0</v>
      </c>
      <c r="AK24" s="5">
        <f t="shared" si="8"/>
        <v>250000</v>
      </c>
      <c r="AL24" s="5">
        <f t="shared" si="3"/>
        <v>3999030</v>
      </c>
      <c r="AM24" s="8">
        <v>516459</v>
      </c>
      <c r="AN24" s="8">
        <v>324571</v>
      </c>
      <c r="AO24" s="8">
        <v>2865000</v>
      </c>
      <c r="AP24" s="8">
        <f>SUM(AM24:AO24)</f>
        <v>3706030</v>
      </c>
      <c r="AQ24" s="8">
        <v>250000</v>
      </c>
      <c r="AR24" s="8">
        <v>93944</v>
      </c>
      <c r="AS24" s="8"/>
      <c r="AT24" s="5">
        <f t="shared" si="9"/>
        <v>343944</v>
      </c>
      <c r="AU24" s="5">
        <f t="shared" si="5"/>
        <v>4049974</v>
      </c>
      <c r="AV24" s="8">
        <v>516459</v>
      </c>
      <c r="AW24" s="8">
        <v>324571</v>
      </c>
      <c r="AX24" s="8">
        <v>2865000</v>
      </c>
      <c r="AY24" s="8">
        <f>SUM(AV24:AX24)</f>
        <v>3706030</v>
      </c>
      <c r="AZ24" s="8">
        <v>250000</v>
      </c>
      <c r="BA24" s="24">
        <v>56361</v>
      </c>
      <c r="BB24" s="8"/>
      <c r="BC24" s="5">
        <f t="shared" si="6"/>
        <v>306361</v>
      </c>
      <c r="BD24" s="5">
        <f t="shared" si="7"/>
        <v>4012391</v>
      </c>
    </row>
    <row r="25" spans="1:56" ht="34" x14ac:dyDescent="0.2">
      <c r="A25" s="6" t="s">
        <v>44</v>
      </c>
      <c r="B25" s="11" t="s">
        <v>45</v>
      </c>
      <c r="C25" s="8">
        <v>4678108</v>
      </c>
      <c r="D25" s="8">
        <v>512671</v>
      </c>
      <c r="E25" s="8">
        <v>515000</v>
      </c>
      <c r="F25" s="8">
        <f>SUM(C25:E25)</f>
        <v>5705779</v>
      </c>
      <c r="G25" s="8">
        <v>150000</v>
      </c>
      <c r="H25" s="8">
        <v>0</v>
      </c>
      <c r="I25" s="8">
        <v>0</v>
      </c>
      <c r="J25" s="8">
        <f>SUM(G25:I25)</f>
        <v>150000</v>
      </c>
      <c r="K25" s="5">
        <f t="shared" si="0"/>
        <v>5855779</v>
      </c>
      <c r="L25" s="8">
        <v>6316485</v>
      </c>
      <c r="M25" s="8">
        <v>511691</v>
      </c>
      <c r="N25" s="8">
        <v>485000</v>
      </c>
      <c r="O25" s="8">
        <f>SUM(L25:N25)</f>
        <v>7313176</v>
      </c>
      <c r="P25" s="8">
        <v>150000</v>
      </c>
      <c r="Q25" s="8">
        <v>0</v>
      </c>
      <c r="R25" s="8">
        <v>0</v>
      </c>
      <c r="S25" s="8">
        <f>SUM(P25:R25)</f>
        <v>150000</v>
      </c>
      <c r="T25" s="5">
        <f t="shared" si="1"/>
        <v>7463176</v>
      </c>
      <c r="U25" s="8"/>
      <c r="V25" s="65"/>
      <c r="W25" s="8"/>
      <c r="X25" s="8"/>
      <c r="Y25" s="8"/>
      <c r="Z25" s="8"/>
      <c r="AA25" s="8"/>
      <c r="AB25" s="8"/>
      <c r="AC25" s="5"/>
      <c r="AD25" s="49">
        <v>7578614</v>
      </c>
      <c r="AE25" s="49">
        <v>1084698</v>
      </c>
      <c r="AF25" s="49">
        <v>4863293</v>
      </c>
      <c r="AG25" s="52">
        <f>SUM(AD25:AF25)</f>
        <v>13526605</v>
      </c>
      <c r="AH25" s="49">
        <v>100000</v>
      </c>
      <c r="AI25" s="49">
        <v>0</v>
      </c>
      <c r="AJ25" s="49">
        <v>0</v>
      </c>
      <c r="AK25" s="5">
        <f t="shared" si="8"/>
        <v>100000</v>
      </c>
      <c r="AL25" s="5">
        <f t="shared" si="3"/>
        <v>13626605</v>
      </c>
      <c r="AM25" s="8">
        <v>7578614</v>
      </c>
      <c r="AN25" s="8">
        <v>1024691</v>
      </c>
      <c r="AO25" s="8">
        <v>835000</v>
      </c>
      <c r="AP25" s="8">
        <f>SUM(AM25:AO25)</f>
        <v>9438305</v>
      </c>
      <c r="AQ25" s="8">
        <v>0</v>
      </c>
      <c r="AR25" s="8">
        <v>0</v>
      </c>
      <c r="AS25" s="8">
        <v>0</v>
      </c>
      <c r="AT25" s="5">
        <f t="shared" si="9"/>
        <v>0</v>
      </c>
      <c r="AU25" s="5">
        <f t="shared" si="5"/>
        <v>9438305</v>
      </c>
      <c r="AV25" s="8">
        <v>7578614</v>
      </c>
      <c r="AW25" s="8">
        <v>1024691</v>
      </c>
      <c r="AX25" s="8">
        <v>835000</v>
      </c>
      <c r="AY25" s="8">
        <f>SUM(AV25:AX25)</f>
        <v>9438305</v>
      </c>
      <c r="AZ25" s="8">
        <v>0</v>
      </c>
      <c r="BA25" s="8">
        <v>0</v>
      </c>
      <c r="BB25" s="8">
        <v>0</v>
      </c>
      <c r="BC25" s="5">
        <f t="shared" si="6"/>
        <v>0</v>
      </c>
      <c r="BD25" s="5">
        <f t="shared" si="7"/>
        <v>9438305</v>
      </c>
    </row>
    <row r="26" spans="1:56" ht="17" x14ac:dyDescent="0.2">
      <c r="A26" s="6" t="s">
        <v>46</v>
      </c>
      <c r="B26" s="11" t="s">
        <v>47</v>
      </c>
      <c r="C26" s="8">
        <v>1050021</v>
      </c>
      <c r="D26" s="8">
        <v>207017</v>
      </c>
      <c r="E26" s="8">
        <v>210750</v>
      </c>
      <c r="F26" s="8">
        <f>SUM(C26:E26)</f>
        <v>1467788</v>
      </c>
      <c r="G26" s="8">
        <v>0</v>
      </c>
      <c r="H26" s="8">
        <v>0</v>
      </c>
      <c r="I26" s="8">
        <v>0</v>
      </c>
      <c r="J26" s="8">
        <f>SUM(G26:I26)</f>
        <v>0</v>
      </c>
      <c r="K26" s="5">
        <f t="shared" si="0"/>
        <v>1467788</v>
      </c>
      <c r="L26" s="8">
        <v>1114059</v>
      </c>
      <c r="M26" s="8">
        <v>207017</v>
      </c>
      <c r="N26" s="8">
        <v>185750</v>
      </c>
      <c r="O26" s="8">
        <f>SUM(L26:N26)</f>
        <v>1506826</v>
      </c>
      <c r="P26" s="8">
        <v>0</v>
      </c>
      <c r="Q26" s="8">
        <v>0</v>
      </c>
      <c r="R26" s="8">
        <v>0</v>
      </c>
      <c r="S26" s="8">
        <f>SUM(P26:R26)</f>
        <v>0</v>
      </c>
      <c r="T26" s="5">
        <f t="shared" si="1"/>
        <v>1506826</v>
      </c>
      <c r="U26" s="8"/>
      <c r="V26" s="8"/>
      <c r="W26" s="65"/>
      <c r="X26" s="8"/>
      <c r="Y26" s="8"/>
      <c r="Z26" s="8"/>
      <c r="AA26" s="8"/>
      <c r="AB26" s="8"/>
      <c r="AC26" s="5"/>
      <c r="AD26" s="49">
        <v>1598641</v>
      </c>
      <c r="AE26" s="49">
        <v>573466</v>
      </c>
      <c r="AF26" s="49">
        <v>0</v>
      </c>
      <c r="AG26" s="52">
        <f>SUM(AD26:AF26)</f>
        <v>2172107</v>
      </c>
      <c r="AH26" s="49">
        <v>3819333</v>
      </c>
      <c r="AI26" s="49">
        <v>0</v>
      </c>
      <c r="AJ26" s="49">
        <v>0</v>
      </c>
      <c r="AK26" s="5">
        <f t="shared" si="8"/>
        <v>3819333</v>
      </c>
      <c r="AL26" s="5">
        <f t="shared" si="3"/>
        <v>5991440</v>
      </c>
      <c r="AM26" s="8">
        <v>1598641</v>
      </c>
      <c r="AN26" s="8">
        <v>476966</v>
      </c>
      <c r="AO26" s="8">
        <v>0</v>
      </c>
      <c r="AP26" s="8">
        <f>SUM(AM26:AO26)</f>
        <v>2075607</v>
      </c>
      <c r="AQ26" s="8">
        <v>3832303</v>
      </c>
      <c r="AR26" s="8">
        <v>0</v>
      </c>
      <c r="AS26" s="8">
        <v>0</v>
      </c>
      <c r="AT26" s="5">
        <f t="shared" si="9"/>
        <v>3832303</v>
      </c>
      <c r="AU26" s="5">
        <f t="shared" si="5"/>
        <v>5907910</v>
      </c>
      <c r="AV26" s="8">
        <v>1598641</v>
      </c>
      <c r="AW26" s="8">
        <v>476966</v>
      </c>
      <c r="AX26" s="8">
        <v>0</v>
      </c>
      <c r="AY26" s="8">
        <f>SUM(AV26:AX26)</f>
        <v>2075607</v>
      </c>
      <c r="AZ26" s="8">
        <v>3437336</v>
      </c>
      <c r="BA26" s="8">
        <v>0</v>
      </c>
      <c r="BB26" s="8">
        <v>0</v>
      </c>
      <c r="BC26" s="5">
        <f t="shared" si="6"/>
        <v>3437336</v>
      </c>
      <c r="BD26" s="5">
        <f t="shared" si="7"/>
        <v>5512943</v>
      </c>
    </row>
    <row r="27" spans="1:56" ht="17" x14ac:dyDescent="0.2">
      <c r="A27" s="9" t="s">
        <v>48</v>
      </c>
      <c r="B27" s="11" t="s">
        <v>49</v>
      </c>
      <c r="C27" s="8">
        <v>473048</v>
      </c>
      <c r="D27" s="8">
        <v>20000</v>
      </c>
      <c r="E27" s="8">
        <v>155974</v>
      </c>
      <c r="F27" s="8">
        <f>SUM(C27:E27)</f>
        <v>649022</v>
      </c>
      <c r="G27" s="8">
        <v>500000</v>
      </c>
      <c r="H27" s="8">
        <v>0</v>
      </c>
      <c r="I27" s="8">
        <v>0</v>
      </c>
      <c r="J27" s="8">
        <f>SUM(G27:I27)</f>
        <v>500000</v>
      </c>
      <c r="K27" s="5">
        <f t="shared" si="0"/>
        <v>1149022</v>
      </c>
      <c r="L27" s="8">
        <v>169115</v>
      </c>
      <c r="M27" s="8">
        <v>20000</v>
      </c>
      <c r="N27" s="8">
        <v>130974</v>
      </c>
      <c r="O27" s="8">
        <f>SUM(L27:N27)</f>
        <v>320089</v>
      </c>
      <c r="P27" s="8">
        <v>700000</v>
      </c>
      <c r="Q27" s="8">
        <v>0</v>
      </c>
      <c r="R27" s="8">
        <v>0</v>
      </c>
      <c r="S27" s="8">
        <f>SUM(P27:R27)</f>
        <v>700000</v>
      </c>
      <c r="T27" s="5">
        <f t="shared" si="1"/>
        <v>1020089</v>
      </c>
      <c r="U27" s="8"/>
      <c r="V27" s="8"/>
      <c r="W27" s="65"/>
      <c r="X27" s="8"/>
      <c r="Y27" s="8"/>
      <c r="Z27" s="8"/>
      <c r="AA27" s="8"/>
      <c r="AB27" s="8"/>
      <c r="AC27" s="5"/>
      <c r="AD27" s="57">
        <v>256904</v>
      </c>
      <c r="AE27" s="57">
        <v>35000</v>
      </c>
      <c r="AF27" s="57">
        <v>224974</v>
      </c>
      <c r="AG27" s="54">
        <f>SUM(AD27:AF27)</f>
        <v>516878</v>
      </c>
      <c r="AH27" s="57">
        <v>0</v>
      </c>
      <c r="AI27" s="57">
        <v>0</v>
      </c>
      <c r="AJ27" s="57">
        <v>0</v>
      </c>
      <c r="AK27" s="5">
        <f t="shared" si="8"/>
        <v>0</v>
      </c>
      <c r="AL27" s="5">
        <f t="shared" si="3"/>
        <v>516878</v>
      </c>
      <c r="AM27" s="8">
        <v>256904</v>
      </c>
      <c r="AN27" s="8">
        <v>35000</v>
      </c>
      <c r="AO27" s="8">
        <v>224974</v>
      </c>
      <c r="AP27" s="8">
        <f>SUM(AM27:AO27)</f>
        <v>516878</v>
      </c>
      <c r="AQ27" s="8">
        <v>0</v>
      </c>
      <c r="AR27" s="8">
        <v>0</v>
      </c>
      <c r="AS27" s="8">
        <v>0</v>
      </c>
      <c r="AT27" s="5">
        <f t="shared" si="9"/>
        <v>0</v>
      </c>
      <c r="AU27" s="5">
        <f t="shared" si="5"/>
        <v>516878</v>
      </c>
      <c r="AV27" s="8">
        <v>256904</v>
      </c>
      <c r="AW27" s="8">
        <v>35000</v>
      </c>
      <c r="AX27" s="8">
        <v>224974</v>
      </c>
      <c r="AY27" s="8">
        <f>SUM(AV27:AX27)</f>
        <v>516878</v>
      </c>
      <c r="AZ27" s="8">
        <v>0</v>
      </c>
      <c r="BA27" s="8">
        <v>0</v>
      </c>
      <c r="BB27" s="8">
        <v>0</v>
      </c>
      <c r="BC27" s="5">
        <f t="shared" si="6"/>
        <v>0</v>
      </c>
      <c r="BD27" s="5">
        <f t="shared" si="7"/>
        <v>516878</v>
      </c>
    </row>
    <row r="28" spans="1:56" ht="16" x14ac:dyDescent="0.2">
      <c r="A28" s="110" t="s">
        <v>50</v>
      </c>
      <c r="B28" s="111"/>
      <c r="C28" s="5">
        <v>29240673</v>
      </c>
      <c r="D28" s="5">
        <v>4530024</v>
      </c>
      <c r="E28" s="5">
        <v>2007581</v>
      </c>
      <c r="F28" s="5">
        <v>35778278</v>
      </c>
      <c r="G28" s="5">
        <v>3140071</v>
      </c>
      <c r="H28" s="5">
        <v>0</v>
      </c>
      <c r="I28" s="5">
        <v>0</v>
      </c>
      <c r="J28" s="5">
        <v>3140071</v>
      </c>
      <c r="K28" s="5">
        <v>38918349</v>
      </c>
      <c r="L28" s="5">
        <v>31109120</v>
      </c>
      <c r="M28" s="5">
        <v>4759490</v>
      </c>
      <c r="N28" s="5">
        <v>2258352</v>
      </c>
      <c r="O28" s="5">
        <v>38126962</v>
      </c>
      <c r="P28" s="5">
        <v>3850000</v>
      </c>
      <c r="Q28" s="5">
        <v>0</v>
      </c>
      <c r="R28" s="5">
        <v>0</v>
      </c>
      <c r="S28" s="5">
        <v>3850000</v>
      </c>
      <c r="T28" s="5">
        <v>41976962</v>
      </c>
      <c r="U28" s="5">
        <v>33313823</v>
      </c>
      <c r="V28" s="5">
        <v>8302983</v>
      </c>
      <c r="W28" s="5">
        <v>615000</v>
      </c>
      <c r="X28" s="5">
        <v>42231806</v>
      </c>
      <c r="Y28" s="5">
        <v>2995029</v>
      </c>
      <c r="Z28" s="5">
        <v>2935029</v>
      </c>
      <c r="AA28" s="5">
        <v>1016400</v>
      </c>
      <c r="AB28" s="5">
        <v>6946458</v>
      </c>
      <c r="AC28" s="5">
        <v>49178264</v>
      </c>
      <c r="AD28" s="5">
        <v>34710377.024000004</v>
      </c>
      <c r="AE28" s="5">
        <v>8198983</v>
      </c>
      <c r="AF28" s="5">
        <v>719000</v>
      </c>
      <c r="AG28" s="5">
        <v>43628360.024000004</v>
      </c>
      <c r="AH28" s="5">
        <v>14121254</v>
      </c>
      <c r="AI28" s="5">
        <v>1573437</v>
      </c>
      <c r="AJ28" s="5">
        <v>530714</v>
      </c>
      <c r="AK28" s="5">
        <v>16225405</v>
      </c>
      <c r="AL28" s="5">
        <v>59853765.024000004</v>
      </c>
      <c r="AM28" s="5">
        <v>34710378</v>
      </c>
      <c r="AN28" s="5">
        <v>6338168</v>
      </c>
      <c r="AO28" s="5">
        <v>560620</v>
      </c>
      <c r="AP28" s="5">
        <v>41609166</v>
      </c>
      <c r="AQ28" s="5">
        <v>13090955</v>
      </c>
      <c r="AR28" s="5">
        <v>0</v>
      </c>
      <c r="AS28" s="5">
        <v>2104152</v>
      </c>
      <c r="AT28" s="5">
        <v>15195107</v>
      </c>
      <c r="AU28" s="5">
        <v>56804273</v>
      </c>
      <c r="AV28" s="5">
        <v>34710378</v>
      </c>
      <c r="AW28" s="5">
        <v>7098614</v>
      </c>
      <c r="AX28" s="5">
        <v>556177</v>
      </c>
      <c r="AY28" s="5">
        <v>42365169</v>
      </c>
      <c r="AZ28" s="5">
        <v>12727317</v>
      </c>
      <c r="BA28" s="5">
        <v>0</v>
      </c>
      <c r="BB28" s="5">
        <v>2104152</v>
      </c>
      <c r="BC28" s="5">
        <v>14831469</v>
      </c>
      <c r="BD28" s="5">
        <v>57196638</v>
      </c>
    </row>
    <row r="29" spans="1:56" ht="17" x14ac:dyDescent="0.25">
      <c r="A29" s="6" t="s">
        <v>51</v>
      </c>
      <c r="B29" s="11" t="s">
        <v>52</v>
      </c>
      <c r="C29" s="8">
        <v>259599</v>
      </c>
      <c r="D29" s="8">
        <v>1234164</v>
      </c>
      <c r="E29" s="8">
        <v>412896</v>
      </c>
      <c r="F29" s="8">
        <f>SUM(C29:E29)</f>
        <v>1906659</v>
      </c>
      <c r="G29" s="8">
        <v>0</v>
      </c>
      <c r="H29" s="8">
        <v>0</v>
      </c>
      <c r="I29" s="8">
        <v>0</v>
      </c>
      <c r="J29" s="8">
        <f>SUM(G29:I29)</f>
        <v>0</v>
      </c>
      <c r="K29" s="5">
        <f>F29+G29</f>
        <v>1906659</v>
      </c>
      <c r="L29" s="8">
        <v>298084</v>
      </c>
      <c r="M29" s="8">
        <v>1161261</v>
      </c>
      <c r="N29" s="8">
        <v>403196</v>
      </c>
      <c r="O29" s="8">
        <f>SUM(L29:N29)</f>
        <v>1862541</v>
      </c>
      <c r="P29" s="8">
        <v>0</v>
      </c>
      <c r="Q29" s="8">
        <v>0</v>
      </c>
      <c r="R29" s="8">
        <v>0</v>
      </c>
      <c r="S29" s="8">
        <f>SUM(P29:R29)</f>
        <v>0</v>
      </c>
      <c r="T29" s="5">
        <f t="shared" si="1"/>
        <v>1862541</v>
      </c>
      <c r="U29" s="8"/>
      <c r="V29" s="8"/>
      <c r="W29" s="8"/>
      <c r="X29" s="8"/>
      <c r="Y29" s="8"/>
      <c r="Z29" s="8"/>
      <c r="AA29" s="8"/>
      <c r="AB29" s="8"/>
      <c r="AC29" s="5"/>
      <c r="AD29" s="47">
        <v>278183</v>
      </c>
      <c r="AE29" s="47">
        <v>2121644</v>
      </c>
      <c r="AF29" s="47">
        <v>0</v>
      </c>
      <c r="AG29" s="55">
        <f>SUM(AD29:AF29)</f>
        <v>2399827</v>
      </c>
      <c r="AH29" s="47">
        <v>1000000</v>
      </c>
      <c r="AI29" s="47">
        <v>0</v>
      </c>
      <c r="AJ29" s="47">
        <v>0</v>
      </c>
      <c r="AK29" s="8">
        <f>SUM(AH29:AJ29)</f>
        <v>1000000</v>
      </c>
      <c r="AL29" s="5">
        <f t="shared" si="3"/>
        <v>3399827</v>
      </c>
      <c r="AM29" s="26">
        <v>278183</v>
      </c>
      <c r="AN29" s="62">
        <v>1619579</v>
      </c>
      <c r="AO29" s="8">
        <v>0</v>
      </c>
      <c r="AP29" s="8">
        <f>SUM(AM29:AO29)</f>
        <v>1897762</v>
      </c>
      <c r="AQ29" s="8">
        <v>1068167</v>
      </c>
      <c r="AR29" s="8">
        <v>0</v>
      </c>
      <c r="AS29" s="8">
        <v>0</v>
      </c>
      <c r="AT29" s="8">
        <f>SUM(AQ29:AS29)</f>
        <v>1068167</v>
      </c>
      <c r="AU29" s="5">
        <f t="shared" si="5"/>
        <v>2965929</v>
      </c>
      <c r="AV29" s="62">
        <v>278183</v>
      </c>
      <c r="AW29" s="62">
        <v>1813894</v>
      </c>
      <c r="AX29" s="8">
        <v>0</v>
      </c>
      <c r="AY29" s="8">
        <f>SUM(AV29:AX29)</f>
        <v>2092077</v>
      </c>
      <c r="AZ29" s="8">
        <v>1042605</v>
      </c>
      <c r="BA29" s="8">
        <v>0</v>
      </c>
      <c r="BB29" s="8">
        <v>0</v>
      </c>
      <c r="BC29" s="8">
        <f>SUM(AZ29:BB29)</f>
        <v>1042605</v>
      </c>
      <c r="BD29" s="5">
        <f t="shared" si="7"/>
        <v>3134682</v>
      </c>
    </row>
    <row r="30" spans="1:56" ht="17" x14ac:dyDescent="0.25">
      <c r="A30" s="6" t="s">
        <v>53</v>
      </c>
      <c r="B30" s="11" t="s">
        <v>54</v>
      </c>
      <c r="C30" s="8">
        <v>26074320</v>
      </c>
      <c r="D30" s="8">
        <v>2920360</v>
      </c>
      <c r="E30" s="8">
        <f>1043685+25000</f>
        <v>1068685</v>
      </c>
      <c r="F30" s="8">
        <f>SUM(C30:E30)</f>
        <v>30063365</v>
      </c>
      <c r="G30" s="8">
        <v>2440071</v>
      </c>
      <c r="H30" s="8">
        <v>0</v>
      </c>
      <c r="I30" s="8">
        <v>0</v>
      </c>
      <c r="J30" s="8">
        <f>SUM(G30:I30)</f>
        <v>2440071</v>
      </c>
      <c r="K30" s="5">
        <f>F30+J30</f>
        <v>32503436</v>
      </c>
      <c r="L30" s="8">
        <v>27681626</v>
      </c>
      <c r="M30" s="8">
        <v>3277344</v>
      </c>
      <c r="N30" s="8">
        <v>1304156</v>
      </c>
      <c r="O30" s="8">
        <f>SUM(L30:N30)</f>
        <v>32263126</v>
      </c>
      <c r="P30" s="8">
        <v>818286</v>
      </c>
      <c r="Q30" s="8">
        <v>0</v>
      </c>
      <c r="R30" s="8">
        <v>0</v>
      </c>
      <c r="S30" s="8">
        <f>SUM(P30:R30)</f>
        <v>818286</v>
      </c>
      <c r="T30" s="5">
        <f t="shared" si="1"/>
        <v>33081412</v>
      </c>
      <c r="U30" s="8"/>
      <c r="V30" s="8"/>
      <c r="W30" s="8"/>
      <c r="X30" s="8"/>
      <c r="Y30" s="65"/>
      <c r="Z30" s="8"/>
      <c r="AA30" s="8"/>
      <c r="AB30" s="8"/>
      <c r="AC30" s="5"/>
      <c r="AD30" s="49">
        <v>31029446.024</v>
      </c>
      <c r="AE30" s="49">
        <v>5517454</v>
      </c>
      <c r="AF30" s="49">
        <v>459000</v>
      </c>
      <c r="AG30" s="52">
        <f>SUM(AD30:AF30)</f>
        <v>37005900.024000004</v>
      </c>
      <c r="AH30" s="49">
        <f>4250000+2250000</f>
        <v>6500000</v>
      </c>
      <c r="AI30" s="49">
        <v>0</v>
      </c>
      <c r="AJ30" s="49">
        <v>0</v>
      </c>
      <c r="AK30" s="8">
        <f>SUM(AH30:AJ30)</f>
        <v>6500000</v>
      </c>
      <c r="AL30" s="5">
        <f t="shared" si="3"/>
        <v>43505900.024000004</v>
      </c>
      <c r="AM30" s="26">
        <v>31029446</v>
      </c>
      <c r="AN30" s="26">
        <v>4291195</v>
      </c>
      <c r="AO30" s="8">
        <v>323610</v>
      </c>
      <c r="AP30" s="8">
        <f>SUM(AM30:AO30)</f>
        <v>35644251</v>
      </c>
      <c r="AQ30" s="8">
        <v>4806751</v>
      </c>
      <c r="AR30" s="8"/>
      <c r="AS30" s="8"/>
      <c r="AT30" s="8">
        <f>SUM(AQ30:AS30)</f>
        <v>4806751</v>
      </c>
      <c r="AU30" s="5">
        <f t="shared" si="5"/>
        <v>40451002</v>
      </c>
      <c r="AV30" s="8">
        <v>31029446</v>
      </c>
      <c r="AW30" s="8">
        <v>4806048</v>
      </c>
      <c r="AX30" s="8">
        <v>321045</v>
      </c>
      <c r="AY30" s="8">
        <f>SUM(AV30:AX30)</f>
        <v>36156539</v>
      </c>
      <c r="AZ30" s="8">
        <v>4691719</v>
      </c>
      <c r="BA30" s="8"/>
      <c r="BB30" s="8"/>
      <c r="BC30" s="8">
        <f>SUM(AZ30:BB30)</f>
        <v>4691719</v>
      </c>
      <c r="BD30" s="5">
        <f t="shared" si="7"/>
        <v>40848258</v>
      </c>
    </row>
    <row r="31" spans="1:56" ht="34" x14ac:dyDescent="0.2">
      <c r="A31" s="6" t="s">
        <v>55</v>
      </c>
      <c r="B31" s="11" t="s">
        <v>56</v>
      </c>
      <c r="C31" s="8">
        <v>2763170</v>
      </c>
      <c r="D31" s="8">
        <v>345000</v>
      </c>
      <c r="E31" s="8">
        <v>400000</v>
      </c>
      <c r="F31" s="8">
        <f>SUM(C31:E31)</f>
        <v>3508170</v>
      </c>
      <c r="G31" s="8">
        <v>0</v>
      </c>
      <c r="H31" s="8">
        <v>0</v>
      </c>
      <c r="I31" s="8">
        <v>0</v>
      </c>
      <c r="J31" s="8">
        <f>SUM(G31:I31)</f>
        <v>0</v>
      </c>
      <c r="K31" s="5">
        <f>F31+J31</f>
        <v>3508170</v>
      </c>
      <c r="L31" s="8">
        <v>3011892</v>
      </c>
      <c r="M31" s="8">
        <v>290385</v>
      </c>
      <c r="N31" s="8">
        <v>400000</v>
      </c>
      <c r="O31" s="8">
        <f>SUM(L31:N31)</f>
        <v>3702277</v>
      </c>
      <c r="P31" s="8">
        <v>500000</v>
      </c>
      <c r="Q31" s="8">
        <v>0</v>
      </c>
      <c r="R31" s="8">
        <v>0</v>
      </c>
      <c r="S31" s="8">
        <f>SUM(P31:R31)</f>
        <v>500000</v>
      </c>
      <c r="T31" s="5">
        <f t="shared" si="1"/>
        <v>4202277</v>
      </c>
      <c r="U31" s="8"/>
      <c r="V31" s="8"/>
      <c r="W31" s="8"/>
      <c r="X31" s="8"/>
      <c r="Y31" s="8"/>
      <c r="Z31" s="8"/>
      <c r="AA31" s="8"/>
      <c r="AB31" s="8"/>
      <c r="AC31" s="5"/>
      <c r="AD31" s="49">
        <v>3265935</v>
      </c>
      <c r="AE31" s="49">
        <v>430385</v>
      </c>
      <c r="AF31" s="49">
        <v>240000</v>
      </c>
      <c r="AG31" s="52">
        <f>SUM(AD31:AF31)</f>
        <v>3936320</v>
      </c>
      <c r="AH31" s="49">
        <v>1000000</v>
      </c>
      <c r="AI31" s="49">
        <v>0</v>
      </c>
      <c r="AJ31" s="49">
        <v>0</v>
      </c>
      <c r="AK31" s="8">
        <f>SUM(AH31:AJ31)</f>
        <v>1000000</v>
      </c>
      <c r="AL31" s="5">
        <f t="shared" si="3"/>
        <v>4936320</v>
      </c>
      <c r="AM31" s="8">
        <v>3265935</v>
      </c>
      <c r="AN31" s="8">
        <v>328539</v>
      </c>
      <c r="AO31" s="8">
        <v>218778</v>
      </c>
      <c r="AP31" s="8">
        <f>SUM(AM31:AO31)</f>
        <v>3813252</v>
      </c>
      <c r="AQ31" s="8">
        <v>1068167</v>
      </c>
      <c r="AR31" s="8"/>
      <c r="AS31" s="8"/>
      <c r="AT31" s="8">
        <f>SUM(AQ31:AS31)</f>
        <v>1068167</v>
      </c>
      <c r="AU31" s="5">
        <f t="shared" si="5"/>
        <v>4881419</v>
      </c>
      <c r="AV31" s="8">
        <v>3265935</v>
      </c>
      <c r="AW31" s="8">
        <v>367956</v>
      </c>
      <c r="AX31" s="8">
        <v>217045</v>
      </c>
      <c r="AY31" s="8">
        <f>SUM(AV31:AX31)</f>
        <v>3850936</v>
      </c>
      <c r="AZ31" s="8">
        <v>1042604</v>
      </c>
      <c r="BA31" s="8"/>
      <c r="BB31" s="8"/>
      <c r="BC31" s="8">
        <f>SUM(AZ31:BB31)</f>
        <v>1042604</v>
      </c>
      <c r="BD31" s="5">
        <f t="shared" si="7"/>
        <v>4893540</v>
      </c>
    </row>
    <row r="32" spans="1:56" ht="17" x14ac:dyDescent="0.2">
      <c r="A32" s="6" t="s">
        <v>57</v>
      </c>
      <c r="B32" s="11" t="s">
        <v>58</v>
      </c>
      <c r="C32" s="8">
        <v>42326</v>
      </c>
      <c r="D32" s="8">
        <v>0</v>
      </c>
      <c r="E32" s="8">
        <v>0</v>
      </c>
      <c r="F32" s="8">
        <f>SUM(C32:E32)</f>
        <v>42326</v>
      </c>
      <c r="G32" s="8">
        <v>700000</v>
      </c>
      <c r="H32" s="8">
        <v>0</v>
      </c>
      <c r="I32" s="8">
        <v>0</v>
      </c>
      <c r="J32" s="8">
        <f>SUM(G32:I32)</f>
        <v>700000</v>
      </c>
      <c r="K32" s="5">
        <f>F32+J32</f>
        <v>742326</v>
      </c>
      <c r="L32" s="8">
        <v>41160</v>
      </c>
      <c r="M32" s="8">
        <v>0</v>
      </c>
      <c r="N32" s="8">
        <v>25000</v>
      </c>
      <c r="O32" s="8">
        <f>SUM(L32:N32)</f>
        <v>66160</v>
      </c>
      <c r="P32" s="8">
        <v>887993</v>
      </c>
      <c r="Q32" s="8">
        <v>0</v>
      </c>
      <c r="R32" s="8">
        <v>0</v>
      </c>
      <c r="S32" s="8">
        <f>SUM(P32:R32)</f>
        <v>887993</v>
      </c>
      <c r="T32" s="5">
        <f t="shared" si="1"/>
        <v>954153</v>
      </c>
      <c r="U32" s="8"/>
      <c r="V32" s="8"/>
      <c r="W32" s="8"/>
      <c r="X32" s="8"/>
      <c r="Y32" s="65"/>
      <c r="Z32" s="8"/>
      <c r="AA32" s="8"/>
      <c r="AB32" s="8"/>
      <c r="AC32" s="5"/>
      <c r="AD32" s="57">
        <v>46258</v>
      </c>
      <c r="AE32" s="57">
        <v>0</v>
      </c>
      <c r="AF32" s="57">
        <v>20000</v>
      </c>
      <c r="AG32" s="54">
        <f>SUM(AD32:AF32)</f>
        <v>66258</v>
      </c>
      <c r="AH32" s="57">
        <v>1500000</v>
      </c>
      <c r="AI32" s="57">
        <v>0</v>
      </c>
      <c r="AJ32" s="57">
        <v>0</v>
      </c>
      <c r="AK32" s="8">
        <f>SUM(AH32:AJ32)</f>
        <v>1500000</v>
      </c>
      <c r="AL32" s="5">
        <f t="shared" si="3"/>
        <v>1566258</v>
      </c>
      <c r="AM32" s="8">
        <v>46258</v>
      </c>
      <c r="AN32" s="8">
        <v>0</v>
      </c>
      <c r="AO32" s="8">
        <v>18232</v>
      </c>
      <c r="AP32" s="8">
        <f>AM32+AN32+AO32</f>
        <v>64490</v>
      </c>
      <c r="AQ32" s="8">
        <v>1602250</v>
      </c>
      <c r="AR32" s="8"/>
      <c r="AS32" s="8"/>
      <c r="AT32" s="8">
        <f>SUM(AQ32:AS32)</f>
        <v>1602250</v>
      </c>
      <c r="AU32" s="5">
        <f t="shared" si="5"/>
        <v>1666740</v>
      </c>
      <c r="AV32" s="8">
        <v>46258</v>
      </c>
      <c r="AW32" s="8">
        <v>0</v>
      </c>
      <c r="AX32" s="8">
        <v>18087</v>
      </c>
      <c r="AY32" s="8">
        <f>AV32+AW32+AX32</f>
        <v>64345</v>
      </c>
      <c r="AZ32" s="8">
        <v>1563906</v>
      </c>
      <c r="BA32" s="8"/>
      <c r="BB32" s="8"/>
      <c r="BC32" s="8">
        <f>SUM(AZ32:BB32)</f>
        <v>1563906</v>
      </c>
      <c r="BD32" s="5">
        <f t="shared" si="7"/>
        <v>1628251</v>
      </c>
    </row>
    <row r="33" spans="1:56" ht="17" x14ac:dyDescent="0.2">
      <c r="A33" s="9" t="s">
        <v>59</v>
      </c>
      <c r="B33" s="11" t="s">
        <v>60</v>
      </c>
      <c r="C33" s="8">
        <f>86578+14680</f>
        <v>101258</v>
      </c>
      <c r="D33" s="8">
        <v>30500</v>
      </c>
      <c r="E33" s="8">
        <v>126000</v>
      </c>
      <c r="F33" s="8">
        <f>SUM(C33:E33)</f>
        <v>257758</v>
      </c>
      <c r="G33" s="8">
        <v>0</v>
      </c>
      <c r="H33" s="8">
        <v>0</v>
      </c>
      <c r="I33" s="8">
        <v>0</v>
      </c>
      <c r="J33" s="8">
        <f>SUM(G33:I33)</f>
        <v>0</v>
      </c>
      <c r="K33" s="5">
        <f>F33+J33</f>
        <v>257758</v>
      </c>
      <c r="L33" s="8">
        <v>76358</v>
      </c>
      <c r="M33" s="8">
        <v>30500</v>
      </c>
      <c r="N33" s="8">
        <v>126000</v>
      </c>
      <c r="O33" s="8">
        <f>SUM(L33:N33)</f>
        <v>232858</v>
      </c>
      <c r="P33" s="8">
        <v>1643721</v>
      </c>
      <c r="Q33" s="8">
        <v>0</v>
      </c>
      <c r="R33" s="8">
        <v>0</v>
      </c>
      <c r="S33" s="8">
        <f>SUM(P33:R33)</f>
        <v>1643721</v>
      </c>
      <c r="T33" s="5">
        <f t="shared" si="1"/>
        <v>1876579</v>
      </c>
      <c r="U33" s="8"/>
      <c r="V33" s="8"/>
      <c r="W33" s="8"/>
      <c r="X33" s="8"/>
      <c r="Y33" s="65"/>
      <c r="Z33" s="65"/>
      <c r="AA33" s="65"/>
      <c r="AB33" s="8"/>
      <c r="AC33" s="5"/>
      <c r="AD33" s="49">
        <v>90555</v>
      </c>
      <c r="AE33" s="49">
        <v>129500</v>
      </c>
      <c r="AF33" s="49">
        <v>0</v>
      </c>
      <c r="AG33" s="52">
        <f>SUM(AD33:AF33)</f>
        <v>220055</v>
      </c>
      <c r="AH33" s="49">
        <v>4121254</v>
      </c>
      <c r="AI33" s="49">
        <v>1573437</v>
      </c>
      <c r="AJ33" s="49">
        <v>530714</v>
      </c>
      <c r="AK33" s="8">
        <f>SUM(AH33:AJ33)</f>
        <v>6225405</v>
      </c>
      <c r="AL33" s="5">
        <f t="shared" si="3"/>
        <v>6445460</v>
      </c>
      <c r="AM33" s="8">
        <v>90556</v>
      </c>
      <c r="AN33" s="8">
        <v>98855</v>
      </c>
      <c r="AO33" s="8">
        <v>0</v>
      </c>
      <c r="AP33" s="8">
        <f>SUM(AM33:AO33)</f>
        <v>189411</v>
      </c>
      <c r="AQ33" s="8">
        <v>4545620</v>
      </c>
      <c r="AR33" s="8"/>
      <c r="AS33" s="8">
        <v>2104152</v>
      </c>
      <c r="AT33" s="8">
        <f>SUM(AQ33:AS33)</f>
        <v>6649772</v>
      </c>
      <c r="AU33" s="5">
        <f t="shared" si="5"/>
        <v>6839183</v>
      </c>
      <c r="AV33" s="8">
        <v>90556</v>
      </c>
      <c r="AW33" s="8">
        <v>110716</v>
      </c>
      <c r="AX33" s="8">
        <v>0</v>
      </c>
      <c r="AY33" s="8">
        <f>SUM(AV33:AX33)</f>
        <v>201272</v>
      </c>
      <c r="AZ33" s="8">
        <v>4386483</v>
      </c>
      <c r="BA33" s="8"/>
      <c r="BB33" s="8">
        <v>2104152</v>
      </c>
      <c r="BC33" s="8">
        <f>SUM(AZ33:BB33)</f>
        <v>6490635</v>
      </c>
      <c r="BD33" s="5">
        <f t="shared" si="7"/>
        <v>6691907</v>
      </c>
    </row>
    <row r="34" spans="1:56" ht="16" x14ac:dyDescent="0.2">
      <c r="A34" s="110" t="s">
        <v>61</v>
      </c>
      <c r="B34" s="111"/>
      <c r="C34" s="5">
        <v>6325441</v>
      </c>
      <c r="D34" s="5">
        <v>5155394</v>
      </c>
      <c r="E34" s="5">
        <v>22186680</v>
      </c>
      <c r="F34" s="5">
        <v>33667515</v>
      </c>
      <c r="G34" s="5">
        <v>10237809</v>
      </c>
      <c r="H34" s="5">
        <v>9767950</v>
      </c>
      <c r="I34" s="5">
        <v>6078553</v>
      </c>
      <c r="J34" s="5">
        <v>26084312</v>
      </c>
      <c r="K34" s="5">
        <v>59751827</v>
      </c>
      <c r="L34" s="5">
        <v>7980100</v>
      </c>
      <c r="M34" s="5">
        <v>4080974</v>
      </c>
      <c r="N34" s="5">
        <v>17865147</v>
      </c>
      <c r="O34" s="5">
        <v>29926221</v>
      </c>
      <c r="P34" s="5">
        <v>11256000</v>
      </c>
      <c r="Q34" s="5">
        <v>9500000</v>
      </c>
      <c r="R34" s="5">
        <v>12659149</v>
      </c>
      <c r="S34" s="5">
        <v>33415149</v>
      </c>
      <c r="T34" s="5">
        <v>63341370</v>
      </c>
      <c r="U34" s="5">
        <v>7346424</v>
      </c>
      <c r="V34" s="5">
        <v>10526466</v>
      </c>
      <c r="W34" s="5">
        <v>15019766</v>
      </c>
      <c r="X34" s="5">
        <v>32892656</v>
      </c>
      <c r="Y34" s="5">
        <v>15307828</v>
      </c>
      <c r="Z34" s="5">
        <v>4404097</v>
      </c>
      <c r="AA34" s="5">
        <v>20000000</v>
      </c>
      <c r="AB34" s="5">
        <v>39711925</v>
      </c>
      <c r="AC34" s="5">
        <v>72604581</v>
      </c>
      <c r="AD34" s="5">
        <v>7106569</v>
      </c>
      <c r="AE34" s="5">
        <v>10566046</v>
      </c>
      <c r="AF34" s="5">
        <v>14980186</v>
      </c>
      <c r="AG34" s="5">
        <v>32652801</v>
      </c>
      <c r="AH34" s="5">
        <v>32000000</v>
      </c>
      <c r="AI34" s="5">
        <v>8049358</v>
      </c>
      <c r="AJ34" s="5">
        <v>15193762</v>
      </c>
      <c r="AK34" s="5">
        <v>55243120</v>
      </c>
      <c r="AL34" s="5">
        <v>87895921</v>
      </c>
      <c r="AM34" s="5">
        <v>7106569</v>
      </c>
      <c r="AN34" s="5">
        <v>7483539</v>
      </c>
      <c r="AO34" s="5">
        <v>14634101</v>
      </c>
      <c r="AP34" s="5">
        <v>29224209</v>
      </c>
      <c r="AQ34" s="5">
        <v>39401357</v>
      </c>
      <c r="AR34" s="5">
        <v>16541762</v>
      </c>
      <c r="AS34" s="5">
        <v>500000</v>
      </c>
      <c r="AT34" s="5">
        <v>56443119</v>
      </c>
      <c r="AU34" s="5">
        <v>85667328</v>
      </c>
      <c r="AV34" s="8">
        <v>7106569</v>
      </c>
      <c r="AW34" s="8">
        <v>8839360</v>
      </c>
      <c r="AX34" s="8">
        <v>13873545</v>
      </c>
      <c r="AY34" s="8">
        <v>29819474</v>
      </c>
      <c r="AZ34" s="8">
        <v>39081357</v>
      </c>
      <c r="BA34" s="8">
        <v>16541762</v>
      </c>
      <c r="BB34" s="5">
        <v>500000</v>
      </c>
      <c r="BC34" s="5">
        <v>56123119</v>
      </c>
      <c r="BD34" s="5">
        <v>85942593</v>
      </c>
    </row>
    <row r="35" spans="1:56" ht="34" x14ac:dyDescent="0.2">
      <c r="A35" s="6" t="s">
        <v>62</v>
      </c>
      <c r="B35" s="11" t="s">
        <v>63</v>
      </c>
      <c r="C35" s="8">
        <v>3610000</v>
      </c>
      <c r="D35" s="8">
        <v>3950000</v>
      </c>
      <c r="E35" s="8">
        <f>21860000-953320</f>
        <v>20906680</v>
      </c>
      <c r="F35" s="8">
        <f>SUM(C35:E35)</f>
        <v>28466680</v>
      </c>
      <c r="G35" s="8">
        <f>3820000-12191</f>
        <v>3807809</v>
      </c>
      <c r="H35" s="8">
        <v>450000</v>
      </c>
      <c r="I35" s="8">
        <v>210000</v>
      </c>
      <c r="J35" s="8">
        <f>SUM(G35:I35)</f>
        <v>4467809</v>
      </c>
      <c r="K35" s="5">
        <f t="shared" ref="K35:K65" si="10">F35+J35</f>
        <v>32934489</v>
      </c>
      <c r="L35" s="8">
        <v>2107032</v>
      </c>
      <c r="M35" s="8">
        <v>2285339</v>
      </c>
      <c r="N35" s="8">
        <v>250000</v>
      </c>
      <c r="O35" s="8">
        <f>SUM(L35:N35)</f>
        <v>4642371</v>
      </c>
      <c r="P35" s="8">
        <v>6554325</v>
      </c>
      <c r="Q35" s="8">
        <v>0</v>
      </c>
      <c r="R35" s="8">
        <v>0</v>
      </c>
      <c r="S35" s="8">
        <f>SUM(P35:R35)</f>
        <v>6554325</v>
      </c>
      <c r="T35" s="5">
        <f t="shared" si="1"/>
        <v>11196696</v>
      </c>
      <c r="U35" s="8"/>
      <c r="V35" s="65"/>
      <c r="W35" s="65"/>
      <c r="X35" s="8"/>
      <c r="Y35" s="8"/>
      <c r="Z35" s="8"/>
      <c r="AA35" s="8"/>
      <c r="AB35" s="8"/>
      <c r="AC35" s="5"/>
      <c r="AD35" s="47">
        <v>737021</v>
      </c>
      <c r="AE35" s="47">
        <v>7838342</v>
      </c>
      <c r="AF35" s="47">
        <v>330000</v>
      </c>
      <c r="AG35" s="55">
        <f>SUM(AD35:AF35)</f>
        <v>8905363</v>
      </c>
      <c r="AH35" s="47">
        <f>1250000+50000</f>
        <v>1300000</v>
      </c>
      <c r="AI35" s="47">
        <v>0</v>
      </c>
      <c r="AJ35" s="47">
        <v>0</v>
      </c>
      <c r="AK35" s="8">
        <f>SUM(AH35:AJ35)</f>
        <v>1300000</v>
      </c>
      <c r="AL35" s="5">
        <f t="shared" si="3"/>
        <v>10205363</v>
      </c>
      <c r="AM35" s="8">
        <v>737021</v>
      </c>
      <c r="AN35" s="8">
        <v>5547125</v>
      </c>
      <c r="AO35" s="8">
        <v>301388</v>
      </c>
      <c r="AP35" s="8">
        <f>SUM(AM35:AO35)</f>
        <v>6585534</v>
      </c>
      <c r="AQ35" s="8">
        <f>1375000+55000</f>
        <v>1430000</v>
      </c>
      <c r="AR35" s="8">
        <v>0</v>
      </c>
      <c r="AS35" s="8">
        <v>0</v>
      </c>
      <c r="AT35" s="8">
        <f>SUM(AQ35:AS35)</f>
        <v>1430000</v>
      </c>
      <c r="AU35" s="5">
        <f t="shared" si="5"/>
        <v>8015534</v>
      </c>
      <c r="AV35" s="24">
        <v>737021</v>
      </c>
      <c r="AW35" s="8">
        <v>6555509</v>
      </c>
      <c r="AX35" s="8">
        <v>298626</v>
      </c>
      <c r="AY35" s="8">
        <f>SUM(AV35:AX35)</f>
        <v>7591156</v>
      </c>
      <c r="AZ35" s="8">
        <f>1362500+54500</f>
        <v>1417000</v>
      </c>
      <c r="BA35" s="24">
        <v>0</v>
      </c>
      <c r="BB35" s="8">
        <v>0</v>
      </c>
      <c r="BC35" s="8">
        <f>SUM(AZ35:BB35)</f>
        <v>1417000</v>
      </c>
      <c r="BD35" s="5">
        <f t="shared" si="7"/>
        <v>9008156</v>
      </c>
    </row>
    <row r="36" spans="1:56" ht="17" x14ac:dyDescent="0.25">
      <c r="A36" s="6" t="s">
        <v>64</v>
      </c>
      <c r="B36" s="11" t="s">
        <v>65</v>
      </c>
      <c r="C36" s="8">
        <f>2320000+5441</f>
        <v>2325441</v>
      </c>
      <c r="D36" s="8">
        <f>1300000-224606</f>
        <v>1075394</v>
      </c>
      <c r="E36" s="8">
        <v>300000</v>
      </c>
      <c r="F36" s="8">
        <f>SUM(C36:E36)</f>
        <v>3700835</v>
      </c>
      <c r="G36" s="8">
        <v>5210000</v>
      </c>
      <c r="H36" s="8">
        <f>9220000-2050</f>
        <v>9217950</v>
      </c>
      <c r="I36" s="8">
        <f>5870000-1447</f>
        <v>5868553</v>
      </c>
      <c r="J36" s="8">
        <f>SUM(G36:I36)</f>
        <v>20296503</v>
      </c>
      <c r="K36" s="5">
        <f t="shared" si="10"/>
        <v>23997338</v>
      </c>
      <c r="L36" s="8">
        <v>5455867</v>
      </c>
      <c r="M36" s="8">
        <v>1672559</v>
      </c>
      <c r="N36" s="8">
        <v>17615147</v>
      </c>
      <c r="O36" s="8">
        <f>SUM(L36:N36)</f>
        <v>24743573</v>
      </c>
      <c r="P36" s="8">
        <v>2560134</v>
      </c>
      <c r="Q36" s="8">
        <v>9200000</v>
      </c>
      <c r="R36" s="8">
        <v>12659149</v>
      </c>
      <c r="S36" s="8">
        <f>SUM(P36:R36)</f>
        <v>24419283</v>
      </c>
      <c r="T36" s="5">
        <f t="shared" si="1"/>
        <v>49162856</v>
      </c>
      <c r="U36" s="8"/>
      <c r="V36" s="8"/>
      <c r="W36" s="8"/>
      <c r="X36" s="8"/>
      <c r="Y36" s="65"/>
      <c r="Z36" s="66"/>
      <c r="AA36" s="39"/>
      <c r="AB36" s="8"/>
      <c r="AC36" s="5"/>
      <c r="AD36" s="49">
        <v>5843301</v>
      </c>
      <c r="AE36" s="49">
        <v>1803462</v>
      </c>
      <c r="AF36" s="49">
        <v>14650186</v>
      </c>
      <c r="AG36" s="52">
        <f>SUM(AD36:AF36)</f>
        <v>22296949</v>
      </c>
      <c r="AH36" s="49">
        <f>7634000+17140128</f>
        <v>24774128</v>
      </c>
      <c r="AI36" s="49">
        <f>4642000+2811358</f>
        <v>7453358</v>
      </c>
      <c r="AJ36" s="49">
        <f>12703762+1730000</f>
        <v>14433762</v>
      </c>
      <c r="AK36" s="8">
        <f>SUM(AH36:AJ36)</f>
        <v>46661248</v>
      </c>
      <c r="AL36" s="5">
        <f t="shared" si="3"/>
        <v>68958197</v>
      </c>
      <c r="AM36" s="8">
        <v>5843301</v>
      </c>
      <c r="AN36" s="8">
        <v>1295550</v>
      </c>
      <c r="AO36" s="8">
        <v>14332713</v>
      </c>
      <c r="AP36" s="8">
        <f>SUM(AM36:AO36)</f>
        <v>21471564</v>
      </c>
      <c r="AQ36" s="39">
        <v>31292898</v>
      </c>
      <c r="AR36" s="39">
        <v>15845762</v>
      </c>
      <c r="AS36" s="39">
        <v>0</v>
      </c>
      <c r="AT36" s="8">
        <f>SUM(AQ36:AS36)</f>
        <v>47138660</v>
      </c>
      <c r="AU36" s="5">
        <f t="shared" si="5"/>
        <v>68610224</v>
      </c>
      <c r="AV36" s="8">
        <v>5843301</v>
      </c>
      <c r="AW36" s="8">
        <v>1516483</v>
      </c>
      <c r="AX36" s="8">
        <v>13574919</v>
      </c>
      <c r="AY36" s="8">
        <f>SUM(AV36:AX36)</f>
        <v>20934703</v>
      </c>
      <c r="AZ36" s="8">
        <v>31045157</v>
      </c>
      <c r="BA36" s="8">
        <v>15845762</v>
      </c>
      <c r="BB36" s="24">
        <v>0</v>
      </c>
      <c r="BC36" s="8">
        <f>SUM(AZ36:BB36)</f>
        <v>46890919</v>
      </c>
      <c r="BD36" s="5">
        <f t="shared" si="7"/>
        <v>67825622</v>
      </c>
    </row>
    <row r="37" spans="1:56" ht="17" x14ac:dyDescent="0.2">
      <c r="A37" s="6" t="s">
        <v>66</v>
      </c>
      <c r="B37" s="11" t="s">
        <v>67</v>
      </c>
      <c r="C37" s="8">
        <v>250000</v>
      </c>
      <c r="D37" s="8">
        <v>60000</v>
      </c>
      <c r="E37" s="8">
        <v>540000</v>
      </c>
      <c r="F37" s="8">
        <f>SUM(C37:E37)</f>
        <v>850000</v>
      </c>
      <c r="G37" s="8">
        <v>1170000</v>
      </c>
      <c r="H37" s="8">
        <v>0</v>
      </c>
      <c r="I37" s="8">
        <v>0</v>
      </c>
      <c r="J37" s="8">
        <f>SUM(G37:I37)</f>
        <v>1170000</v>
      </c>
      <c r="K37" s="5">
        <f t="shared" si="10"/>
        <v>2020000</v>
      </c>
      <c r="L37" s="8">
        <v>281006</v>
      </c>
      <c r="M37" s="8">
        <v>56538</v>
      </c>
      <c r="N37" s="8">
        <v>0</v>
      </c>
      <c r="O37" s="8">
        <f>SUM(L37:N37)</f>
        <v>337544</v>
      </c>
      <c r="P37" s="8">
        <v>1291541</v>
      </c>
      <c r="Q37" s="8">
        <v>0</v>
      </c>
      <c r="R37" s="8">
        <v>0</v>
      </c>
      <c r="S37" s="8">
        <f>SUM(P37:R37)</f>
        <v>1291541</v>
      </c>
      <c r="T37" s="5">
        <f t="shared" si="1"/>
        <v>1629085</v>
      </c>
      <c r="U37" s="8"/>
      <c r="V37" s="8"/>
      <c r="W37" s="8"/>
      <c r="X37" s="8"/>
      <c r="Y37" s="8"/>
      <c r="AA37" s="39"/>
      <c r="AB37" s="8"/>
      <c r="AC37" s="5"/>
      <c r="AD37" s="49">
        <v>341817</v>
      </c>
      <c r="AE37" s="49">
        <v>426155</v>
      </c>
      <c r="AF37" s="49">
        <v>0</v>
      </c>
      <c r="AG37" s="52">
        <f>SUM(AD37:AF37)</f>
        <v>767972</v>
      </c>
      <c r="AH37" s="49">
        <f>2000000+1700000</f>
        <v>3700000</v>
      </c>
      <c r="AI37" s="49">
        <v>0</v>
      </c>
      <c r="AJ37" s="49">
        <f>500000+160000</f>
        <v>660000</v>
      </c>
      <c r="AK37" s="8">
        <f>SUM(AH37:AJ37)</f>
        <v>4360000</v>
      </c>
      <c r="AL37" s="5">
        <f t="shared" si="3"/>
        <v>5127972</v>
      </c>
      <c r="AM37" s="24">
        <v>341817</v>
      </c>
      <c r="AN37" s="8">
        <v>290545</v>
      </c>
      <c r="AO37" s="8">
        <v>0</v>
      </c>
      <c r="AP37" s="8">
        <f>SUM(AM37:AO37)</f>
        <v>632362</v>
      </c>
      <c r="AQ37" s="8">
        <v>4230000</v>
      </c>
      <c r="AS37" s="39">
        <v>500000</v>
      </c>
      <c r="AT37" s="8">
        <f>SUM(AQ37:AS37)</f>
        <v>4730000</v>
      </c>
      <c r="AU37" s="5">
        <f t="shared" si="5"/>
        <v>5362362</v>
      </c>
      <c r="AV37" s="24">
        <v>341817</v>
      </c>
      <c r="AW37" s="8">
        <v>351721</v>
      </c>
      <c r="AX37" s="8">
        <v>0</v>
      </c>
      <c r="AY37" s="8">
        <f>SUM(AV37:AX37)</f>
        <v>693538</v>
      </c>
      <c r="AZ37" s="8">
        <v>4193000</v>
      </c>
      <c r="BB37" s="39">
        <v>500000</v>
      </c>
      <c r="BC37" s="8">
        <f>SUM(AZ37:BB37)</f>
        <v>4693000</v>
      </c>
      <c r="BD37" s="5">
        <f t="shared" si="7"/>
        <v>5386538</v>
      </c>
    </row>
    <row r="38" spans="1:56" ht="17" x14ac:dyDescent="0.2">
      <c r="A38" s="9" t="s">
        <v>68</v>
      </c>
      <c r="B38" s="11" t="s">
        <v>69</v>
      </c>
      <c r="C38" s="8">
        <v>140000</v>
      </c>
      <c r="D38" s="8">
        <v>70000</v>
      </c>
      <c r="E38" s="8">
        <v>440000</v>
      </c>
      <c r="F38" s="8">
        <f>SUM(C38:E38)</f>
        <v>650000</v>
      </c>
      <c r="G38" s="8">
        <v>50000</v>
      </c>
      <c r="H38" s="8">
        <v>100000</v>
      </c>
      <c r="I38" s="8">
        <v>0</v>
      </c>
      <c r="J38" s="8">
        <f>SUM(G38:I38)</f>
        <v>150000</v>
      </c>
      <c r="K38" s="5">
        <f t="shared" si="10"/>
        <v>800000</v>
      </c>
      <c r="L38" s="8">
        <v>136195</v>
      </c>
      <c r="M38" s="8">
        <v>66538</v>
      </c>
      <c r="N38" s="8">
        <v>0</v>
      </c>
      <c r="O38" s="8">
        <f>SUM(L38:N38)</f>
        <v>202733</v>
      </c>
      <c r="P38" s="8">
        <v>850000</v>
      </c>
      <c r="Q38" s="8">
        <v>300000</v>
      </c>
      <c r="R38" s="8">
        <v>0</v>
      </c>
      <c r="S38" s="8">
        <f>SUM(P38:R38)</f>
        <v>1150000</v>
      </c>
      <c r="T38" s="5">
        <f t="shared" si="1"/>
        <v>1352733</v>
      </c>
      <c r="U38" s="8"/>
      <c r="V38" s="8"/>
      <c r="W38" s="8"/>
      <c r="X38" s="8"/>
      <c r="Y38" s="8"/>
      <c r="Z38" s="39"/>
      <c r="AA38" s="8"/>
      <c r="AB38" s="8"/>
      <c r="AC38" s="5"/>
      <c r="AD38" s="57">
        <v>184430</v>
      </c>
      <c r="AE38" s="57">
        <v>498087</v>
      </c>
      <c r="AF38" s="57">
        <v>0</v>
      </c>
      <c r="AG38" s="54">
        <f>SUM(AD38:AF38)</f>
        <v>682517</v>
      </c>
      <c r="AH38" s="57">
        <f>1200000+1025872</f>
        <v>2225872</v>
      </c>
      <c r="AI38" s="57">
        <v>596000</v>
      </c>
      <c r="AJ38" s="57">
        <v>100000</v>
      </c>
      <c r="AK38" s="8">
        <f>SUM(AH38:AJ38)</f>
        <v>2921872</v>
      </c>
      <c r="AL38" s="5">
        <f t="shared" si="3"/>
        <v>3604389</v>
      </c>
      <c r="AM38" s="24">
        <v>184430</v>
      </c>
      <c r="AN38" s="8">
        <v>350319</v>
      </c>
      <c r="AO38" s="8">
        <v>0</v>
      </c>
      <c r="AP38" s="8">
        <f>SUM(AM38:AO38)</f>
        <v>534749</v>
      </c>
      <c r="AQ38" s="8">
        <v>2448459</v>
      </c>
      <c r="AR38" s="39">
        <v>696000</v>
      </c>
      <c r="AS38" s="8">
        <v>0</v>
      </c>
      <c r="AT38" s="8">
        <f>SUM(AQ38:AS38)</f>
        <v>3144459</v>
      </c>
      <c r="AU38" s="5">
        <f t="shared" si="5"/>
        <v>3679208</v>
      </c>
      <c r="AV38" s="24">
        <v>184430</v>
      </c>
      <c r="AW38" s="8">
        <v>415647</v>
      </c>
      <c r="AX38" s="8">
        <v>0</v>
      </c>
      <c r="AY38" s="8">
        <f>SUM(AV38:AX38)</f>
        <v>600077</v>
      </c>
      <c r="AZ38" s="8">
        <v>2426200</v>
      </c>
      <c r="BA38" s="39">
        <v>696000</v>
      </c>
      <c r="BB38" s="8">
        <v>0</v>
      </c>
      <c r="BC38" s="8">
        <f>SUM(AZ38:BB38)</f>
        <v>3122200</v>
      </c>
      <c r="BD38" s="5">
        <f t="shared" si="7"/>
        <v>3722277</v>
      </c>
    </row>
    <row r="39" spans="1:56" ht="16" x14ac:dyDescent="0.2">
      <c r="A39" s="110" t="s">
        <v>70</v>
      </c>
      <c r="B39" s="111"/>
      <c r="C39" s="5">
        <v>1446715</v>
      </c>
      <c r="D39" s="5">
        <v>3275557</v>
      </c>
      <c r="E39" s="5">
        <v>4284943</v>
      </c>
      <c r="F39" s="5">
        <v>9007215</v>
      </c>
      <c r="G39" s="5">
        <v>13800000</v>
      </c>
      <c r="H39" s="5">
        <v>24433128</v>
      </c>
      <c r="I39" s="5">
        <v>0</v>
      </c>
      <c r="J39" s="5">
        <v>38233128</v>
      </c>
      <c r="K39" s="5">
        <v>47240343</v>
      </c>
      <c r="L39" s="5">
        <v>1970600</v>
      </c>
      <c r="M39" s="5">
        <v>3460065</v>
      </c>
      <c r="N39" s="5">
        <v>4252183</v>
      </c>
      <c r="O39" s="5">
        <v>9682848</v>
      </c>
      <c r="P39" s="5">
        <v>15300000</v>
      </c>
      <c r="Q39" s="5">
        <v>19405501</v>
      </c>
      <c r="R39" s="5">
        <v>0</v>
      </c>
      <c r="S39" s="5">
        <v>34705501</v>
      </c>
      <c r="T39" s="5">
        <v>44388349</v>
      </c>
      <c r="U39" s="5">
        <v>1786770</v>
      </c>
      <c r="V39" s="5">
        <v>3712239</v>
      </c>
      <c r="W39" s="5">
        <v>4810080</v>
      </c>
      <c r="X39" s="5">
        <v>10309089</v>
      </c>
      <c r="Y39" s="5">
        <v>16000000</v>
      </c>
      <c r="Z39" s="5">
        <v>15862546</v>
      </c>
      <c r="AA39" s="5">
        <v>0</v>
      </c>
      <c r="AB39" s="5">
        <v>31862546</v>
      </c>
      <c r="AC39" s="5">
        <v>42171635</v>
      </c>
      <c r="AD39" s="5">
        <v>1826052</v>
      </c>
      <c r="AE39" s="5">
        <v>3333066</v>
      </c>
      <c r="AF39" s="5">
        <v>8612046</v>
      </c>
      <c r="AG39" s="5">
        <v>13771164</v>
      </c>
      <c r="AH39" s="5">
        <v>21000000</v>
      </c>
      <c r="AI39" s="5">
        <v>8121631</v>
      </c>
      <c r="AJ39" s="5">
        <v>0</v>
      </c>
      <c r="AK39" s="5">
        <v>29121631</v>
      </c>
      <c r="AL39" s="5">
        <v>42892795</v>
      </c>
      <c r="AM39" s="5">
        <v>1826052</v>
      </c>
      <c r="AN39" s="5">
        <v>3230205</v>
      </c>
      <c r="AO39" s="5">
        <v>4399622</v>
      </c>
      <c r="AP39" s="5">
        <v>9455879</v>
      </c>
      <c r="AQ39" s="5">
        <v>32821631</v>
      </c>
      <c r="AR39" s="5">
        <v>0</v>
      </c>
      <c r="AS39" s="5">
        <v>0</v>
      </c>
      <c r="AT39" s="5">
        <v>32821631</v>
      </c>
      <c r="AU39" s="5">
        <v>42277510</v>
      </c>
      <c r="AV39" s="5">
        <v>1826053</v>
      </c>
      <c r="AW39" s="5">
        <v>3201264</v>
      </c>
      <c r="AX39" s="5">
        <v>4502778</v>
      </c>
      <c r="AY39" s="5">
        <v>9530095</v>
      </c>
      <c r="AZ39" s="5">
        <v>33771631</v>
      </c>
      <c r="BA39" s="5">
        <v>0</v>
      </c>
      <c r="BB39" s="5">
        <v>0</v>
      </c>
      <c r="BC39" s="5">
        <v>33771631</v>
      </c>
      <c r="BD39" s="5">
        <v>43301726</v>
      </c>
    </row>
    <row r="40" spans="1:56" ht="17" x14ac:dyDescent="0.2">
      <c r="A40" s="6" t="s">
        <v>71</v>
      </c>
      <c r="B40" s="10" t="s">
        <v>72</v>
      </c>
      <c r="C40" s="8">
        <f>367420-10000-15000</f>
        <v>342420</v>
      </c>
      <c r="D40" s="8">
        <f>1170358+766416-10234+20468</f>
        <v>1947008</v>
      </c>
      <c r="E40" s="8">
        <v>465230</v>
      </c>
      <c r="F40" s="8">
        <f>SUM(C40:E40)</f>
        <v>2754658</v>
      </c>
      <c r="G40" s="8">
        <v>150000</v>
      </c>
      <c r="H40" s="8">
        <v>0</v>
      </c>
      <c r="I40" s="8">
        <v>0</v>
      </c>
      <c r="J40" s="8">
        <f>SUM(G40:I40)</f>
        <v>150000</v>
      </c>
      <c r="K40" s="5">
        <f t="shared" si="10"/>
        <v>2904658</v>
      </c>
      <c r="L40" s="8">
        <v>587405</v>
      </c>
      <c r="M40" s="8">
        <v>1275569</v>
      </c>
      <c r="N40" s="8">
        <v>507087</v>
      </c>
      <c r="O40" s="8">
        <f>SUM(L40:N40)</f>
        <v>2370061</v>
      </c>
      <c r="P40" s="8">
        <v>303198</v>
      </c>
      <c r="Q40" s="8">
        <v>0</v>
      </c>
      <c r="R40" s="8">
        <v>0</v>
      </c>
      <c r="S40" s="8">
        <f>SUM(P40:R40)</f>
        <v>303198</v>
      </c>
      <c r="T40" s="5">
        <f t="shared" si="1"/>
        <v>2673259</v>
      </c>
      <c r="U40" s="8"/>
      <c r="V40" s="65"/>
      <c r="W40" s="65"/>
      <c r="X40" s="8"/>
      <c r="Y40" s="8"/>
      <c r="Z40" s="8"/>
      <c r="AA40" s="8"/>
      <c r="AB40" s="8"/>
      <c r="AC40" s="5"/>
      <c r="AD40" s="47">
        <v>492855</v>
      </c>
      <c r="AE40" s="47">
        <v>2296466</v>
      </c>
      <c r="AF40" s="47">
        <v>60000</v>
      </c>
      <c r="AG40" s="55">
        <f>SUM(AD40:AF40)</f>
        <v>2849321</v>
      </c>
      <c r="AH40" s="47">
        <v>808800</v>
      </c>
      <c r="AI40" s="47">
        <v>0</v>
      </c>
      <c r="AJ40" s="47">
        <v>0</v>
      </c>
      <c r="AK40" s="5">
        <f>AH40+AI40+AJ40</f>
        <v>808800</v>
      </c>
      <c r="AL40" s="5">
        <f t="shared" si="3"/>
        <v>3658121</v>
      </c>
      <c r="AM40" s="8">
        <v>492855</v>
      </c>
      <c r="AN40" s="8">
        <v>2272728</v>
      </c>
      <c r="AO40" s="8">
        <v>42817</v>
      </c>
      <c r="AP40" s="8">
        <f>SUM(AM40:AO40)</f>
        <v>2808400</v>
      </c>
      <c r="AQ40" s="8">
        <v>683034</v>
      </c>
      <c r="AR40" s="8">
        <v>0</v>
      </c>
      <c r="AS40" s="8">
        <v>0</v>
      </c>
      <c r="AT40" s="5">
        <f>AQ40+AR40+AS40</f>
        <v>683034</v>
      </c>
      <c r="AU40" s="5">
        <f t="shared" si="5"/>
        <v>3491434</v>
      </c>
      <c r="AV40" s="8">
        <v>492855</v>
      </c>
      <c r="AW40" s="8">
        <v>2101119</v>
      </c>
      <c r="AX40" s="8">
        <v>43821</v>
      </c>
      <c r="AY40" s="8">
        <f>SUM(AV40:AX40)</f>
        <v>2637795</v>
      </c>
      <c r="AZ40" s="8">
        <v>709305</v>
      </c>
      <c r="BA40" s="8">
        <v>0</v>
      </c>
      <c r="BB40" s="8">
        <v>0</v>
      </c>
      <c r="BC40" s="8">
        <f t="shared" si="6"/>
        <v>709305</v>
      </c>
      <c r="BD40" s="5">
        <f t="shared" si="7"/>
        <v>3347100</v>
      </c>
    </row>
    <row r="41" spans="1:56" ht="34" x14ac:dyDescent="0.2">
      <c r="A41" s="6" t="s">
        <v>73</v>
      </c>
      <c r="B41" s="10" t="s">
        <v>74</v>
      </c>
      <c r="C41" s="8">
        <f>506316-250000</f>
        <v>256316</v>
      </c>
      <c r="D41" s="8">
        <v>179094</v>
      </c>
      <c r="E41" s="8">
        <f>371000+22965</f>
        <v>393965</v>
      </c>
      <c r="F41" s="8">
        <f>SUM(C41:E41)</f>
        <v>829375</v>
      </c>
      <c r="G41" s="8">
        <v>1850000</v>
      </c>
      <c r="H41" s="8">
        <v>0</v>
      </c>
      <c r="I41" s="8">
        <v>0</v>
      </c>
      <c r="J41" s="8">
        <f>SUM(G41:I41)</f>
        <v>1850000</v>
      </c>
      <c r="K41" s="5">
        <f t="shared" si="10"/>
        <v>2679375</v>
      </c>
      <c r="L41" s="8">
        <v>204450</v>
      </c>
      <c r="M41" s="8">
        <v>454148</v>
      </c>
      <c r="N41" s="8">
        <v>3745096</v>
      </c>
      <c r="O41" s="8">
        <f>SUM(L41:N41)</f>
        <v>4403694</v>
      </c>
      <c r="P41" s="8">
        <v>14900000</v>
      </c>
      <c r="Q41" s="8">
        <v>19405501</v>
      </c>
      <c r="R41" s="8">
        <v>0</v>
      </c>
      <c r="S41" s="8">
        <f>SUM(P41:R41)</f>
        <v>34305501</v>
      </c>
      <c r="T41" s="5">
        <f t="shared" si="1"/>
        <v>38709195</v>
      </c>
      <c r="U41" s="8"/>
      <c r="V41" s="8"/>
      <c r="W41" s="8"/>
      <c r="X41" s="8"/>
      <c r="Y41" s="8"/>
      <c r="Z41" s="39"/>
      <c r="AA41" s="8"/>
      <c r="AB41" s="8"/>
      <c r="AC41" s="5"/>
      <c r="AD41" s="49">
        <v>152717</v>
      </c>
      <c r="AE41" s="49">
        <v>137734</v>
      </c>
      <c r="AF41" s="49">
        <v>7981303</v>
      </c>
      <c r="AG41" s="52">
        <f>SUM(AD41:AF41)</f>
        <v>8271754</v>
      </c>
      <c r="AH41" s="49">
        <f>141200+20050000</f>
        <v>20191200</v>
      </c>
      <c r="AI41" s="49">
        <v>8121631</v>
      </c>
      <c r="AJ41" s="49">
        <v>0</v>
      </c>
      <c r="AK41" s="5">
        <f>AH41+AI41+AJ41</f>
        <v>28312831</v>
      </c>
      <c r="AL41" s="5">
        <f t="shared" si="3"/>
        <v>36584585</v>
      </c>
      <c r="AM41" s="8">
        <v>152717</v>
      </c>
      <c r="AN41" s="8">
        <v>109200</v>
      </c>
      <c r="AO41" s="8">
        <v>4014544</v>
      </c>
      <c r="AP41" s="8">
        <f>SUM(AM41:AO41)</f>
        <v>4276461</v>
      </c>
      <c r="AQ41" s="8">
        <v>32138597</v>
      </c>
      <c r="AR41" s="39">
        <v>0</v>
      </c>
      <c r="AS41" s="8">
        <v>0</v>
      </c>
      <c r="AT41" s="5">
        <f>AQ41+AR41+AS41</f>
        <v>32138597</v>
      </c>
      <c r="AU41" s="5">
        <f t="shared" si="5"/>
        <v>36415058</v>
      </c>
      <c r="AV41" s="8">
        <v>152718</v>
      </c>
      <c r="AW41" s="8">
        <v>125471</v>
      </c>
      <c r="AX41" s="8">
        <v>4108669</v>
      </c>
      <c r="AY41" s="8">
        <f>SUM(AV41:AX41)</f>
        <v>4386858</v>
      </c>
      <c r="AZ41" s="8">
        <v>33062326</v>
      </c>
      <c r="BA41" s="8">
        <v>0</v>
      </c>
      <c r="BB41" s="8">
        <v>0</v>
      </c>
      <c r="BC41" s="5">
        <f t="shared" si="6"/>
        <v>33062326</v>
      </c>
      <c r="BD41" s="5">
        <f t="shared" si="7"/>
        <v>37449184</v>
      </c>
    </row>
    <row r="42" spans="1:56" ht="34" x14ac:dyDescent="0.2">
      <c r="A42" s="6" t="s">
        <v>75</v>
      </c>
      <c r="B42" s="10" t="s">
        <v>76</v>
      </c>
      <c r="C42" s="8">
        <f>1025265-250000-200000-40000-28000</f>
        <v>507265</v>
      </c>
      <c r="D42" s="8">
        <v>43684</v>
      </c>
      <c r="E42" s="8">
        <v>2865000</v>
      </c>
      <c r="F42" s="8">
        <f>SUM(C42:E42)</f>
        <v>3415949</v>
      </c>
      <c r="G42" s="8">
        <f>36183128-24433128</f>
        <v>11750000</v>
      </c>
      <c r="H42" s="8">
        <v>24433128</v>
      </c>
      <c r="I42" s="8">
        <v>0</v>
      </c>
      <c r="J42" s="8">
        <f>SUM(G42:I42)</f>
        <v>36183128</v>
      </c>
      <c r="K42" s="5">
        <f t="shared" si="10"/>
        <v>39599077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5">
        <f t="shared" si="1"/>
        <v>0</v>
      </c>
      <c r="U42" s="8"/>
      <c r="V42" s="8"/>
      <c r="W42" s="8"/>
      <c r="X42" s="8"/>
      <c r="Y42" s="8"/>
      <c r="Z42" s="8"/>
      <c r="AA42" s="8"/>
      <c r="AB42" s="8"/>
      <c r="AC42" s="5"/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5">
        <v>0</v>
      </c>
      <c r="AL42" s="5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5">
        <v>0</v>
      </c>
      <c r="AU42" s="5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5">
        <v>0</v>
      </c>
      <c r="BD42" s="5">
        <v>0</v>
      </c>
    </row>
    <row r="43" spans="1:56" ht="17" x14ac:dyDescent="0.2">
      <c r="A43" s="9" t="s">
        <v>77</v>
      </c>
      <c r="B43" s="10" t="s">
        <v>78</v>
      </c>
      <c r="C43" s="8">
        <f>1012633-506493-150000-15426</f>
        <v>340714</v>
      </c>
      <c r="D43" s="8">
        <v>1105771</v>
      </c>
      <c r="E43" s="8">
        <v>560748</v>
      </c>
      <c r="F43" s="8">
        <f>SUM(C43:E43)</f>
        <v>2007233</v>
      </c>
      <c r="G43" s="8">
        <v>50000</v>
      </c>
      <c r="H43" s="8">
        <v>0</v>
      </c>
      <c r="I43" s="8">
        <v>0</v>
      </c>
      <c r="J43" s="8">
        <f>SUM(G43:I43)</f>
        <v>50000</v>
      </c>
      <c r="K43" s="5">
        <f t="shared" si="10"/>
        <v>2057233</v>
      </c>
      <c r="L43" s="8">
        <v>1178745</v>
      </c>
      <c r="M43" s="8">
        <v>1730348</v>
      </c>
      <c r="N43" s="8">
        <v>0</v>
      </c>
      <c r="O43" s="8">
        <f>SUM(L43:N43)</f>
        <v>2909093</v>
      </c>
      <c r="P43" s="8">
        <v>96802</v>
      </c>
      <c r="Q43" s="8">
        <v>0</v>
      </c>
      <c r="R43" s="8">
        <v>0</v>
      </c>
      <c r="S43" s="8">
        <f>SUM(P43:R43)</f>
        <v>96802</v>
      </c>
      <c r="T43" s="5">
        <f t="shared" si="1"/>
        <v>3005895</v>
      </c>
      <c r="U43" s="8"/>
      <c r="V43" s="8"/>
      <c r="W43" s="8"/>
      <c r="X43" s="8"/>
      <c r="Y43" s="8"/>
      <c r="Z43" s="8"/>
      <c r="AA43" s="8"/>
      <c r="AB43" s="8"/>
      <c r="AC43" s="5"/>
      <c r="AD43" s="57">
        <v>1180480</v>
      </c>
      <c r="AE43" s="57">
        <v>898866</v>
      </c>
      <c r="AF43" s="57">
        <v>570743</v>
      </c>
      <c r="AG43" s="54">
        <f>AD43+AE43+AF43</f>
        <v>2650089</v>
      </c>
      <c r="AH43" s="57">
        <v>0</v>
      </c>
      <c r="AI43" s="57">
        <v>0</v>
      </c>
      <c r="AJ43" s="57">
        <v>0</v>
      </c>
      <c r="AK43" s="5">
        <f t="shared" ref="AK43:AK51" si="11">AH43+AI43+AJ43</f>
        <v>0</v>
      </c>
      <c r="AL43" s="5">
        <f t="shared" ref="AL43:AL65" si="12">AG43+AK43</f>
        <v>2650089</v>
      </c>
      <c r="AM43" s="8">
        <v>1180480</v>
      </c>
      <c r="AN43" s="8">
        <v>848277</v>
      </c>
      <c r="AO43" s="8">
        <v>342261</v>
      </c>
      <c r="AP43" s="8">
        <f>SUM(AM43:AO43)</f>
        <v>2371018</v>
      </c>
      <c r="AQ43" s="8">
        <v>0</v>
      </c>
      <c r="AR43" s="8"/>
      <c r="AS43" s="8"/>
      <c r="AT43" s="5">
        <f t="shared" ref="AT43:AT51" si="13">AQ43+AR43+AS43</f>
        <v>0</v>
      </c>
      <c r="AU43" s="5">
        <f t="shared" ref="AU43:AU65" si="14">AP43+AT43</f>
        <v>2371018</v>
      </c>
      <c r="AV43" s="8">
        <v>1180480</v>
      </c>
      <c r="AW43" s="8">
        <v>974674</v>
      </c>
      <c r="AX43" s="8">
        <v>350288</v>
      </c>
      <c r="AY43" s="8">
        <f>SUM(AV43:AX43)</f>
        <v>2505442</v>
      </c>
      <c r="AZ43" s="8">
        <v>0</v>
      </c>
      <c r="BA43" s="8"/>
      <c r="BB43" s="8"/>
      <c r="BC43" s="5">
        <f t="shared" si="6"/>
        <v>0</v>
      </c>
      <c r="BD43" s="5">
        <f t="shared" si="7"/>
        <v>2505442</v>
      </c>
    </row>
    <row r="44" spans="1:56" ht="16" x14ac:dyDescent="0.2">
      <c r="A44" s="110" t="s">
        <v>79</v>
      </c>
      <c r="B44" s="111"/>
      <c r="C44" s="5">
        <v>1734130</v>
      </c>
      <c r="D44" s="5">
        <v>1998314</v>
      </c>
      <c r="E44" s="5">
        <v>3186000</v>
      </c>
      <c r="F44" s="5">
        <v>6918444</v>
      </c>
      <c r="G44" s="5">
        <v>300000</v>
      </c>
      <c r="H44" s="5">
        <v>0</v>
      </c>
      <c r="I44" s="5">
        <v>0</v>
      </c>
      <c r="J44" s="5">
        <v>300000</v>
      </c>
      <c r="K44" s="5">
        <v>7218444</v>
      </c>
      <c r="L44" s="5">
        <v>2913800</v>
      </c>
      <c r="M44" s="5">
        <v>1787820</v>
      </c>
      <c r="N44" s="5">
        <v>2304270</v>
      </c>
      <c r="O44" s="5">
        <v>7005890</v>
      </c>
      <c r="P44" s="5">
        <v>450000</v>
      </c>
      <c r="Q44" s="5">
        <v>0</v>
      </c>
      <c r="R44" s="5">
        <v>0</v>
      </c>
      <c r="S44" s="5">
        <v>450000</v>
      </c>
      <c r="T44" s="5">
        <v>7455890</v>
      </c>
      <c r="U44" s="5">
        <v>1757705</v>
      </c>
      <c r="V44" s="5">
        <v>3652088</v>
      </c>
      <c r="W44" s="5">
        <v>803000</v>
      </c>
      <c r="X44" s="5">
        <v>6212793</v>
      </c>
      <c r="Y44" s="5">
        <v>400000</v>
      </c>
      <c r="Z44" s="5">
        <v>165000</v>
      </c>
      <c r="AA44" s="5">
        <v>0</v>
      </c>
      <c r="AB44" s="5">
        <v>565000</v>
      </c>
      <c r="AC44" s="5">
        <v>6777793</v>
      </c>
      <c r="AD44" s="5">
        <v>1818794</v>
      </c>
      <c r="AE44" s="5">
        <v>3904088</v>
      </c>
      <c r="AF44" s="5">
        <v>1001000</v>
      </c>
      <c r="AG44" s="5">
        <v>6723882</v>
      </c>
      <c r="AH44" s="5">
        <v>300000</v>
      </c>
      <c r="AI44" s="5">
        <v>165000</v>
      </c>
      <c r="AJ44" s="5">
        <v>0</v>
      </c>
      <c r="AK44" s="5">
        <v>465000</v>
      </c>
      <c r="AL44" s="5">
        <v>7188882</v>
      </c>
      <c r="AM44" s="5">
        <v>1818794</v>
      </c>
      <c r="AN44" s="5">
        <v>3154800</v>
      </c>
      <c r="AO44" s="5">
        <v>788640</v>
      </c>
      <c r="AP44" s="5">
        <v>5762234</v>
      </c>
      <c r="AQ44" s="5">
        <v>300000</v>
      </c>
      <c r="AR44" s="5">
        <v>165000</v>
      </c>
      <c r="AS44" s="5">
        <v>0</v>
      </c>
      <c r="AT44" s="5">
        <v>465000</v>
      </c>
      <c r="AU44" s="5">
        <v>6227234</v>
      </c>
      <c r="AV44" s="5">
        <v>1818794</v>
      </c>
      <c r="AW44" s="5">
        <v>3379323</v>
      </c>
      <c r="AX44" s="5">
        <v>846299</v>
      </c>
      <c r="AY44" s="5">
        <v>6044416</v>
      </c>
      <c r="AZ44" s="5">
        <v>200000</v>
      </c>
      <c r="BA44" s="5">
        <v>165000</v>
      </c>
      <c r="BB44" s="5">
        <v>0</v>
      </c>
      <c r="BC44" s="5">
        <v>365000</v>
      </c>
      <c r="BD44" s="5">
        <v>6409416</v>
      </c>
    </row>
    <row r="45" spans="1:56" ht="17" x14ac:dyDescent="0.25">
      <c r="A45" s="6" t="s">
        <v>80</v>
      </c>
      <c r="B45" s="10" t="s">
        <v>81</v>
      </c>
      <c r="C45" s="8">
        <v>863677</v>
      </c>
      <c r="D45" s="8">
        <f>2426905-788697</f>
        <v>1638208</v>
      </c>
      <c r="E45" s="8">
        <v>946000</v>
      </c>
      <c r="F45" s="8">
        <f>SUM(C45:E45)</f>
        <v>3447885</v>
      </c>
      <c r="G45" s="8">
        <f>637000-337000-26000</f>
        <v>274000</v>
      </c>
      <c r="H45" s="8"/>
      <c r="I45" s="8"/>
      <c r="J45" s="8">
        <f>SUM(G45:I45)</f>
        <v>274000</v>
      </c>
      <c r="K45" s="5">
        <f t="shared" si="10"/>
        <v>3721885</v>
      </c>
      <c r="L45" s="8">
        <v>2058687</v>
      </c>
      <c r="M45" s="8">
        <v>904677</v>
      </c>
      <c r="N45" s="8">
        <v>975413</v>
      </c>
      <c r="O45" s="8">
        <f>SUM(L45:N45)</f>
        <v>3938777</v>
      </c>
      <c r="P45" s="8">
        <v>423000</v>
      </c>
      <c r="Q45" s="8"/>
      <c r="R45" s="8"/>
      <c r="S45" s="8">
        <f>SUM(P45:R45)</f>
        <v>423000</v>
      </c>
      <c r="T45" s="5">
        <f t="shared" si="1"/>
        <v>4361777</v>
      </c>
      <c r="U45" s="8"/>
      <c r="V45" s="8"/>
      <c r="W45" s="65"/>
      <c r="X45" s="8"/>
      <c r="Y45" s="8"/>
      <c r="Z45" s="8"/>
      <c r="AA45" s="8"/>
      <c r="AB45" s="8"/>
      <c r="AC45" s="5"/>
      <c r="AD45" s="47">
        <v>1037723</v>
      </c>
      <c r="AE45" s="47">
        <v>2957058</v>
      </c>
      <c r="AF45" s="47">
        <v>46000</v>
      </c>
      <c r="AG45" s="55">
        <f>SUM(AD45:AF45)</f>
        <v>4040781</v>
      </c>
      <c r="AH45" s="47">
        <v>173000</v>
      </c>
      <c r="AI45" s="47">
        <v>0</v>
      </c>
      <c r="AJ45" s="47">
        <v>0</v>
      </c>
      <c r="AK45" s="5">
        <f t="shared" si="11"/>
        <v>173000</v>
      </c>
      <c r="AL45" s="5">
        <f t="shared" si="12"/>
        <v>4213781</v>
      </c>
      <c r="AM45" s="26">
        <v>1037724</v>
      </c>
      <c r="AN45" s="8">
        <v>2457058</v>
      </c>
      <c r="AO45" s="8">
        <v>46000</v>
      </c>
      <c r="AP45" s="8">
        <f>SUM(AM45:AO45)</f>
        <v>3540782</v>
      </c>
      <c r="AQ45" s="8">
        <v>173000</v>
      </c>
      <c r="AR45" s="8">
        <v>0</v>
      </c>
      <c r="AS45" s="8">
        <v>0</v>
      </c>
      <c r="AT45" s="5">
        <f t="shared" si="13"/>
        <v>173000</v>
      </c>
      <c r="AU45" s="5">
        <f t="shared" si="14"/>
        <v>3713782</v>
      </c>
      <c r="AV45" s="26">
        <v>1037724</v>
      </c>
      <c r="AW45" s="8">
        <v>2607058</v>
      </c>
      <c r="AX45" s="8">
        <v>46000</v>
      </c>
      <c r="AY45" s="8">
        <f>SUM(AV45:AX45)</f>
        <v>3690782</v>
      </c>
      <c r="AZ45" s="8">
        <v>173000</v>
      </c>
      <c r="BA45" s="8">
        <v>0</v>
      </c>
      <c r="BB45" s="8">
        <v>0</v>
      </c>
      <c r="BC45" s="5">
        <f t="shared" si="6"/>
        <v>173000</v>
      </c>
      <c r="BD45" s="5">
        <f t="shared" si="7"/>
        <v>3863782</v>
      </c>
    </row>
    <row r="46" spans="1:56" ht="17" x14ac:dyDescent="0.25">
      <c r="A46" s="6" t="s">
        <v>82</v>
      </c>
      <c r="B46" s="10" t="s">
        <v>83</v>
      </c>
      <c r="C46" s="24">
        <v>177138</v>
      </c>
      <c r="D46" s="8">
        <v>75000</v>
      </c>
      <c r="E46" s="8">
        <v>1248000</v>
      </c>
      <c r="F46" s="8">
        <f>SUM(C46:E46)</f>
        <v>1500138</v>
      </c>
      <c r="G46" s="8">
        <v>0</v>
      </c>
      <c r="H46" s="8"/>
      <c r="I46" s="8"/>
      <c r="J46" s="8">
        <f>SUM(G46:I46)</f>
        <v>0</v>
      </c>
      <c r="K46" s="5">
        <f t="shared" si="10"/>
        <v>1500138</v>
      </c>
      <c r="L46" s="26">
        <v>171934</v>
      </c>
      <c r="M46" s="8">
        <v>350000</v>
      </c>
      <c r="N46" s="8">
        <v>675000</v>
      </c>
      <c r="O46" s="8">
        <f>SUM(L46:N46)</f>
        <v>1196934</v>
      </c>
      <c r="P46" s="8">
        <v>0</v>
      </c>
      <c r="Q46" s="8"/>
      <c r="R46" s="8"/>
      <c r="S46" s="8">
        <f>SUM(P46:R46)</f>
        <v>0</v>
      </c>
      <c r="T46" s="5">
        <f t="shared" si="1"/>
        <v>1196934</v>
      </c>
      <c r="U46" s="26"/>
      <c r="V46" s="8"/>
      <c r="W46" s="8"/>
      <c r="X46" s="8"/>
      <c r="Y46" s="8"/>
      <c r="Z46" s="8"/>
      <c r="AA46" s="8"/>
      <c r="AB46" s="8"/>
      <c r="AC46" s="5"/>
      <c r="AD46" s="49">
        <v>137614</v>
      </c>
      <c r="AE46" s="49">
        <v>370000</v>
      </c>
      <c r="AF46" s="49">
        <v>530000</v>
      </c>
      <c r="AG46" s="52">
        <f>SUM(AD46:AF46)</f>
        <v>1037614</v>
      </c>
      <c r="AH46" s="49">
        <v>0</v>
      </c>
      <c r="AI46" s="49">
        <v>0</v>
      </c>
      <c r="AJ46" s="49">
        <v>0</v>
      </c>
      <c r="AK46" s="5">
        <f t="shared" si="11"/>
        <v>0</v>
      </c>
      <c r="AL46" s="5">
        <f t="shared" si="12"/>
        <v>1037614</v>
      </c>
      <c r="AM46" s="26">
        <v>137614</v>
      </c>
      <c r="AN46" s="26">
        <v>270000</v>
      </c>
      <c r="AO46" s="26">
        <v>423820</v>
      </c>
      <c r="AP46" s="8">
        <f>SUM(AM46:AO46)</f>
        <v>831434</v>
      </c>
      <c r="AQ46" s="8">
        <v>0</v>
      </c>
      <c r="AR46" s="8">
        <v>0</v>
      </c>
      <c r="AS46" s="8">
        <v>0</v>
      </c>
      <c r="AT46" s="5">
        <f t="shared" si="13"/>
        <v>0</v>
      </c>
      <c r="AU46" s="5">
        <f t="shared" si="14"/>
        <v>831434</v>
      </c>
      <c r="AV46" s="8">
        <v>137614</v>
      </c>
      <c r="AW46" s="8">
        <v>320000</v>
      </c>
      <c r="AX46" s="8">
        <v>452649</v>
      </c>
      <c r="AY46" s="8">
        <f>SUM(AV46:AX46)</f>
        <v>910263</v>
      </c>
      <c r="AZ46" s="8">
        <v>0</v>
      </c>
      <c r="BA46" s="8">
        <v>0</v>
      </c>
      <c r="BB46" s="8">
        <v>0</v>
      </c>
      <c r="BC46" s="5">
        <f t="shared" si="6"/>
        <v>0</v>
      </c>
      <c r="BD46" s="5">
        <f t="shared" si="7"/>
        <v>910263</v>
      </c>
    </row>
    <row r="47" spans="1:56" ht="34" x14ac:dyDescent="0.2">
      <c r="A47" s="9" t="s">
        <v>84</v>
      </c>
      <c r="B47" s="10" t="s">
        <v>85</v>
      </c>
      <c r="C47" s="8">
        <v>693315</v>
      </c>
      <c r="D47" s="8">
        <v>285106</v>
      </c>
      <c r="E47" s="8">
        <v>992000</v>
      </c>
      <c r="F47" s="8">
        <f>SUM(C47:E47)</f>
        <v>1970421</v>
      </c>
      <c r="G47" s="8">
        <v>26000</v>
      </c>
      <c r="H47" s="8"/>
      <c r="I47" s="8"/>
      <c r="J47" s="8">
        <f>SUM(G47:I47)</f>
        <v>26000</v>
      </c>
      <c r="K47" s="5">
        <f t="shared" si="10"/>
        <v>1996421</v>
      </c>
      <c r="L47" s="8">
        <v>683179</v>
      </c>
      <c r="M47" s="8">
        <v>533143</v>
      </c>
      <c r="N47" s="8">
        <v>653857</v>
      </c>
      <c r="O47" s="8">
        <f>SUM(L47:N47)</f>
        <v>1870179</v>
      </c>
      <c r="P47" s="8">
        <v>27000</v>
      </c>
      <c r="Q47" s="8"/>
      <c r="R47" s="8"/>
      <c r="S47" s="8">
        <f>SUM(P47:R47)</f>
        <v>27000</v>
      </c>
      <c r="T47" s="5">
        <f t="shared" si="1"/>
        <v>1897179</v>
      </c>
      <c r="U47" s="8"/>
      <c r="V47" s="8"/>
      <c r="W47" s="65"/>
      <c r="X47" s="8"/>
      <c r="Y47" s="8"/>
      <c r="Z47" s="39"/>
      <c r="AA47" s="8"/>
      <c r="AB47" s="8"/>
      <c r="AC47" s="5"/>
      <c r="AD47" s="57">
        <v>643457</v>
      </c>
      <c r="AE47" s="57">
        <v>577030</v>
      </c>
      <c r="AF47" s="57">
        <v>425000</v>
      </c>
      <c r="AG47" s="54">
        <f>SUM(AD47:AF47)</f>
        <v>1645487</v>
      </c>
      <c r="AH47" s="57">
        <v>127000</v>
      </c>
      <c r="AI47" s="57">
        <v>165000</v>
      </c>
      <c r="AJ47" s="57">
        <v>0</v>
      </c>
      <c r="AK47" s="5">
        <f t="shared" si="11"/>
        <v>292000</v>
      </c>
      <c r="AL47" s="5">
        <f t="shared" si="12"/>
        <v>1937487</v>
      </c>
      <c r="AM47" s="62">
        <v>643456</v>
      </c>
      <c r="AN47" s="62">
        <v>427742</v>
      </c>
      <c r="AO47" s="62">
        <v>318820</v>
      </c>
      <c r="AP47" s="62">
        <f>SUM(AM47:AO47)</f>
        <v>1390018</v>
      </c>
      <c r="AQ47" s="62">
        <v>127000</v>
      </c>
      <c r="AR47" s="39">
        <v>165000</v>
      </c>
      <c r="AS47" s="8">
        <v>0</v>
      </c>
      <c r="AT47" s="5">
        <f t="shared" si="13"/>
        <v>292000</v>
      </c>
      <c r="AU47" s="5">
        <f t="shared" si="14"/>
        <v>1682018</v>
      </c>
      <c r="AV47" s="62">
        <v>643456</v>
      </c>
      <c r="AW47" s="62">
        <v>452265</v>
      </c>
      <c r="AX47" s="62">
        <v>347650</v>
      </c>
      <c r="AY47" s="62">
        <f>SUM(AV47:AX47)</f>
        <v>1443371</v>
      </c>
      <c r="AZ47" s="8">
        <v>27000</v>
      </c>
      <c r="BA47" s="39">
        <v>165000</v>
      </c>
      <c r="BB47" s="8">
        <v>0</v>
      </c>
      <c r="BC47" s="5">
        <f t="shared" si="6"/>
        <v>192000</v>
      </c>
      <c r="BD47" s="5">
        <f t="shared" si="7"/>
        <v>1635371</v>
      </c>
    </row>
    <row r="48" spans="1:56" ht="16" x14ac:dyDescent="0.2">
      <c r="A48" s="110" t="s">
        <v>86</v>
      </c>
      <c r="B48" s="111"/>
      <c r="C48" s="5">
        <v>22277315</v>
      </c>
      <c r="D48" s="5">
        <v>8307611</v>
      </c>
      <c r="E48" s="5">
        <v>20184392</v>
      </c>
      <c r="F48" s="5">
        <v>50769318</v>
      </c>
      <c r="G48" s="5">
        <v>7637249</v>
      </c>
      <c r="H48" s="5">
        <v>4826084</v>
      </c>
      <c r="I48" s="5">
        <v>377153</v>
      </c>
      <c r="J48" s="5">
        <v>12840486</v>
      </c>
      <c r="K48" s="5">
        <v>63609804</v>
      </c>
      <c r="L48" s="5">
        <v>24095900</v>
      </c>
      <c r="M48" s="5">
        <v>7183388</v>
      </c>
      <c r="N48" s="5">
        <v>17391842</v>
      </c>
      <c r="O48" s="5">
        <v>48671130</v>
      </c>
      <c r="P48" s="5">
        <v>32600000</v>
      </c>
      <c r="Q48" s="5">
        <v>6000000</v>
      </c>
      <c r="R48" s="5">
        <v>22200690</v>
      </c>
      <c r="S48" s="5">
        <v>60800690</v>
      </c>
      <c r="T48" s="5">
        <v>109471820</v>
      </c>
      <c r="U48" s="5">
        <v>24267045</v>
      </c>
      <c r="V48" s="5">
        <v>10010175</v>
      </c>
      <c r="W48" s="5">
        <v>22686350</v>
      </c>
      <c r="X48" s="5">
        <v>56963570</v>
      </c>
      <c r="Y48" s="5">
        <v>13050000</v>
      </c>
      <c r="Z48" s="5">
        <v>13551209</v>
      </c>
      <c r="AA48" s="5">
        <v>21869528</v>
      </c>
      <c r="AB48" s="5">
        <v>48470737</v>
      </c>
      <c r="AC48" s="5">
        <v>105434307</v>
      </c>
      <c r="AD48" s="5">
        <v>30679655</v>
      </c>
      <c r="AE48" s="5">
        <v>11192020</v>
      </c>
      <c r="AF48" s="5">
        <v>17709277</v>
      </c>
      <c r="AG48" s="5">
        <v>59580952</v>
      </c>
      <c r="AH48" s="5">
        <v>15140000</v>
      </c>
      <c r="AI48" s="5">
        <v>3983302</v>
      </c>
      <c r="AJ48" s="5">
        <v>19395403</v>
      </c>
      <c r="AK48" s="5">
        <v>38518705</v>
      </c>
      <c r="AL48" s="5">
        <v>98099657</v>
      </c>
      <c r="AM48" s="5">
        <v>30679654</v>
      </c>
      <c r="AN48" s="5">
        <v>9109838</v>
      </c>
      <c r="AO48" s="5">
        <v>16422320</v>
      </c>
      <c r="AP48" s="5">
        <v>56211812</v>
      </c>
      <c r="AQ48" s="5">
        <v>12168000</v>
      </c>
      <c r="AR48" s="5">
        <v>2977500</v>
      </c>
      <c r="AS48" s="5">
        <v>15055405</v>
      </c>
      <c r="AT48" s="5">
        <v>30200905</v>
      </c>
      <c r="AU48" s="5">
        <v>86412717</v>
      </c>
      <c r="AV48" s="5">
        <v>30679654</v>
      </c>
      <c r="AW48" s="5">
        <v>9726320</v>
      </c>
      <c r="AX48" s="5">
        <v>16139453</v>
      </c>
      <c r="AY48" s="5">
        <v>56545427</v>
      </c>
      <c r="AZ48" s="5">
        <v>13182000</v>
      </c>
      <c r="BA48" s="5">
        <v>2977500</v>
      </c>
      <c r="BB48" s="5">
        <v>15055405</v>
      </c>
      <c r="BC48" s="5">
        <v>31214905</v>
      </c>
      <c r="BD48" s="5">
        <v>87760332</v>
      </c>
    </row>
    <row r="49" spans="1:56" ht="17" x14ac:dyDescent="0.2">
      <c r="A49" s="6" t="s">
        <v>87</v>
      </c>
      <c r="B49" s="10" t="s">
        <v>88</v>
      </c>
      <c r="C49" s="8">
        <f>2161400-85</f>
        <v>2161315</v>
      </c>
      <c r="D49" s="8">
        <v>1085400</v>
      </c>
      <c r="E49" s="8">
        <v>6272000</v>
      </c>
      <c r="F49" s="8">
        <f>SUM(C49:E49)</f>
        <v>9518715</v>
      </c>
      <c r="G49" s="8">
        <v>2327000</v>
      </c>
      <c r="H49" s="8">
        <v>3081000</v>
      </c>
      <c r="I49" s="8"/>
      <c r="J49" s="8">
        <f>SUM(G49:I49)</f>
        <v>5408000</v>
      </c>
      <c r="K49" s="5">
        <f t="shared" si="10"/>
        <v>14926715</v>
      </c>
      <c r="L49" s="8">
        <v>2602644</v>
      </c>
      <c r="M49" s="8">
        <v>550000</v>
      </c>
      <c r="N49" s="8">
        <f>7117172-186559</f>
        <v>6930613</v>
      </c>
      <c r="O49" s="8">
        <f>SUM(L49:N49)</f>
        <v>10083257</v>
      </c>
      <c r="P49" s="8">
        <v>13799223</v>
      </c>
      <c r="Q49" s="8">
        <f>1609000+1813220+445000+288000+200000+54000</f>
        <v>4409220</v>
      </c>
      <c r="R49" s="8">
        <v>12100690</v>
      </c>
      <c r="S49" s="8">
        <f>SUM(P49:R49)</f>
        <v>30309133</v>
      </c>
      <c r="T49" s="5">
        <f t="shared" si="1"/>
        <v>40392390</v>
      </c>
      <c r="U49" s="8"/>
      <c r="V49" s="8"/>
      <c r="W49" s="8"/>
      <c r="X49" s="8"/>
      <c r="Y49" s="8"/>
      <c r="Z49" s="65"/>
      <c r="AA49" s="65"/>
      <c r="AB49" s="8"/>
      <c r="AC49" s="5"/>
      <c r="AD49" s="49">
        <v>3388812</v>
      </c>
      <c r="AE49" s="49">
        <v>394400</v>
      </c>
      <c r="AF49" s="49">
        <v>6931014</v>
      </c>
      <c r="AG49" s="52">
        <f>SUM(AD49:AF49)</f>
        <v>10714226</v>
      </c>
      <c r="AH49" s="49">
        <f>5100000+550000</f>
        <v>5650000</v>
      </c>
      <c r="AI49" s="49">
        <v>2977500</v>
      </c>
      <c r="AJ49" s="49">
        <v>0</v>
      </c>
      <c r="AK49" s="5">
        <f t="shared" si="11"/>
        <v>8627500</v>
      </c>
      <c r="AL49" s="5">
        <f t="shared" si="12"/>
        <v>19341726</v>
      </c>
      <c r="AM49" s="8">
        <v>3388813</v>
      </c>
      <c r="AN49" s="8">
        <v>394401</v>
      </c>
      <c r="AO49" s="8">
        <v>6781014</v>
      </c>
      <c r="AP49" s="8">
        <f>SUM(AM49:AO49)</f>
        <v>10564228</v>
      </c>
      <c r="AQ49" s="8">
        <v>4366094</v>
      </c>
      <c r="AR49" s="8">
        <v>2977500</v>
      </c>
      <c r="AT49" s="5">
        <f>AQ49+AR49+AS50</f>
        <v>22398999</v>
      </c>
      <c r="AU49" s="5">
        <f t="shared" si="14"/>
        <v>32963227</v>
      </c>
      <c r="AV49" s="8">
        <v>3388813</v>
      </c>
      <c r="AW49" s="8">
        <v>394401</v>
      </c>
      <c r="AX49" s="8">
        <v>6572360</v>
      </c>
      <c r="AY49" s="8">
        <f>SUM(AV49:AX49)</f>
        <v>10355574</v>
      </c>
      <c r="AZ49" s="8">
        <v>4520912</v>
      </c>
      <c r="BA49" s="8">
        <v>2977500</v>
      </c>
      <c r="BB49" s="8">
        <v>0</v>
      </c>
      <c r="BC49" s="5">
        <f>AZ49+BA49+BB49</f>
        <v>7498412</v>
      </c>
      <c r="BD49" s="5">
        <f t="shared" si="7"/>
        <v>17853986</v>
      </c>
    </row>
    <row r="50" spans="1:56" ht="17" x14ac:dyDescent="0.2">
      <c r="A50" s="6" t="s">
        <v>89</v>
      </c>
      <c r="B50" s="10" t="s">
        <v>90</v>
      </c>
      <c r="C50" s="8">
        <v>679000</v>
      </c>
      <c r="D50" s="8">
        <v>1117211</v>
      </c>
      <c r="E50" s="8">
        <v>7568392</v>
      </c>
      <c r="F50" s="8">
        <f>SUM(C50:E50)</f>
        <v>9364603</v>
      </c>
      <c r="G50" s="8">
        <v>3830249</v>
      </c>
      <c r="H50" s="8">
        <v>1165084</v>
      </c>
      <c r="I50" s="8">
        <v>377153</v>
      </c>
      <c r="J50" s="8">
        <f>SUM(G50:I50)</f>
        <v>5372486</v>
      </c>
      <c r="K50" s="5">
        <f t="shared" si="10"/>
        <v>14737089</v>
      </c>
      <c r="L50" s="8">
        <v>1909086</v>
      </c>
      <c r="M50" s="8">
        <v>395000</v>
      </c>
      <c r="N50" s="8">
        <v>5354367</v>
      </c>
      <c r="O50" s="8">
        <f>SUM(L50:N50)</f>
        <v>7658453</v>
      </c>
      <c r="P50" s="8">
        <v>8516777</v>
      </c>
      <c r="Q50" s="8">
        <f>400000+1190780</f>
        <v>1590780</v>
      </c>
      <c r="R50" s="8">
        <v>10100000</v>
      </c>
      <c r="S50" s="8">
        <f>SUM(P50:R50)</f>
        <v>20207557</v>
      </c>
      <c r="T50" s="5">
        <f t="shared" si="1"/>
        <v>27866010</v>
      </c>
      <c r="U50" s="8"/>
      <c r="V50" s="8"/>
      <c r="W50" s="8"/>
      <c r="X50" s="8"/>
      <c r="Y50" s="65"/>
      <c r="Z50" s="67"/>
      <c r="AA50" s="65"/>
      <c r="AB50" s="8"/>
      <c r="AC50" s="5"/>
      <c r="AD50" s="57">
        <v>889960</v>
      </c>
      <c r="AE50" s="57">
        <v>105000</v>
      </c>
      <c r="AF50" s="57">
        <v>8481964</v>
      </c>
      <c r="AG50" s="54">
        <f>SUM(AD50:AF50)</f>
        <v>9476924</v>
      </c>
      <c r="AH50" s="57">
        <f>2780000+6110000</f>
        <v>8890000</v>
      </c>
      <c r="AI50" s="57">
        <v>1005802</v>
      </c>
      <c r="AJ50" s="57">
        <v>19395403</v>
      </c>
      <c r="AK50" s="5">
        <f t="shared" si="11"/>
        <v>29291205</v>
      </c>
      <c r="AL50" s="5">
        <f t="shared" si="12"/>
        <v>38768129</v>
      </c>
      <c r="AM50" s="8">
        <v>889957</v>
      </c>
      <c r="AN50" s="8">
        <v>105000</v>
      </c>
      <c r="AO50" s="8">
        <v>8481964</v>
      </c>
      <c r="AP50" s="8">
        <f>SUM(AM50:AO50)</f>
        <v>9476921</v>
      </c>
      <c r="AQ50" s="8">
        <v>7281906</v>
      </c>
      <c r="AR50" s="8">
        <v>0</v>
      </c>
      <c r="AS50" s="8">
        <v>15055405</v>
      </c>
      <c r="AT50" s="5">
        <f>AQ50+AR50+AS50</f>
        <v>22337311</v>
      </c>
      <c r="AU50" s="5">
        <f t="shared" si="14"/>
        <v>31814232</v>
      </c>
      <c r="AV50" s="8">
        <v>889957</v>
      </c>
      <c r="AW50" s="8">
        <v>105000</v>
      </c>
      <c r="AX50" s="8">
        <v>8481964</v>
      </c>
      <c r="AY50" s="8">
        <f>SUM(AV50:AX50)</f>
        <v>9476921</v>
      </c>
      <c r="AZ50" s="8">
        <v>8041088</v>
      </c>
      <c r="BA50" s="8">
        <v>0</v>
      </c>
      <c r="BB50" s="8">
        <v>15055405</v>
      </c>
      <c r="BC50" s="5">
        <f t="shared" si="6"/>
        <v>23096493</v>
      </c>
      <c r="BD50" s="5">
        <f t="shared" si="7"/>
        <v>32573414</v>
      </c>
    </row>
    <row r="51" spans="1:56" ht="17" x14ac:dyDescent="0.2">
      <c r="A51" s="6" t="s">
        <v>91</v>
      </c>
      <c r="B51" s="10" t="s">
        <v>92</v>
      </c>
      <c r="C51" s="8">
        <v>19437000</v>
      </c>
      <c r="D51" s="8">
        <v>6105000</v>
      </c>
      <c r="E51" s="8">
        <v>6344000</v>
      </c>
      <c r="F51" s="8">
        <f>SUM(C51:E51)</f>
        <v>31886000</v>
      </c>
      <c r="G51" s="8">
        <v>1480000</v>
      </c>
      <c r="H51" s="8">
        <v>580000</v>
      </c>
      <c r="I51" s="8"/>
      <c r="J51" s="8">
        <f>SUM(G51:I51)</f>
        <v>2060000</v>
      </c>
      <c r="K51" s="5">
        <f t="shared" si="10"/>
        <v>33946000</v>
      </c>
      <c r="L51" s="8">
        <v>19584170</v>
      </c>
      <c r="M51" s="8">
        <v>6238388</v>
      </c>
      <c r="N51" s="8">
        <v>5106862</v>
      </c>
      <c r="O51" s="8">
        <f>SUM(L51:N51)</f>
        <v>30929420</v>
      </c>
      <c r="P51" s="8">
        <v>10284000</v>
      </c>
      <c r="Q51" s="8">
        <v>0</v>
      </c>
      <c r="R51" s="8"/>
      <c r="S51" s="8">
        <f>SUM(P51:R51)</f>
        <v>10284000</v>
      </c>
      <c r="T51" s="5">
        <f t="shared" si="1"/>
        <v>41213420</v>
      </c>
      <c r="U51" s="8"/>
      <c r="V51" s="65"/>
      <c r="W51" s="8"/>
      <c r="X51" s="8"/>
      <c r="Y51" s="8"/>
      <c r="Z51" s="8"/>
      <c r="AA51" s="8"/>
      <c r="AB51" s="8"/>
      <c r="AC51" s="5"/>
      <c r="AD51" s="47">
        <v>26400883</v>
      </c>
      <c r="AE51" s="47">
        <v>10692620</v>
      </c>
      <c r="AF51" s="47">
        <v>2296299</v>
      </c>
      <c r="AG51" s="55">
        <f>SUM(AD51:AF51)</f>
        <v>39389802</v>
      </c>
      <c r="AH51" s="47">
        <v>600000</v>
      </c>
      <c r="AI51" s="47">
        <v>0</v>
      </c>
      <c r="AJ51" s="47">
        <v>0</v>
      </c>
      <c r="AK51" s="5">
        <f t="shared" si="11"/>
        <v>600000</v>
      </c>
      <c r="AL51" s="5">
        <f t="shared" si="12"/>
        <v>39989802</v>
      </c>
      <c r="AM51" s="8">
        <v>26400884</v>
      </c>
      <c r="AN51" s="8">
        <v>8610437</v>
      </c>
      <c r="AO51" s="8">
        <v>1159342</v>
      </c>
      <c r="AP51" s="8">
        <f>SUM(AM51:AO51)</f>
        <v>36170663</v>
      </c>
      <c r="AQ51" s="8">
        <v>520000</v>
      </c>
      <c r="AR51" s="8">
        <v>0</v>
      </c>
      <c r="AS51" s="8"/>
      <c r="AT51" s="5">
        <f t="shared" si="13"/>
        <v>520000</v>
      </c>
      <c r="AU51" s="5">
        <f t="shared" si="14"/>
        <v>36690663</v>
      </c>
      <c r="AV51" s="8">
        <v>26400884</v>
      </c>
      <c r="AW51" s="8">
        <v>9226919</v>
      </c>
      <c r="AX51" s="8">
        <v>1085129</v>
      </c>
      <c r="AY51" s="8">
        <f>SUM(AV51:AX51)</f>
        <v>36712932</v>
      </c>
      <c r="AZ51" s="8">
        <v>620000</v>
      </c>
      <c r="BA51" s="8"/>
      <c r="BB51" s="8"/>
      <c r="BC51" s="5">
        <f t="shared" si="6"/>
        <v>620000</v>
      </c>
      <c r="BD51" s="5">
        <f t="shared" si="7"/>
        <v>37332932</v>
      </c>
    </row>
    <row r="52" spans="1:56" ht="16" x14ac:dyDescent="0.2">
      <c r="A52" s="110" t="s">
        <v>93</v>
      </c>
      <c r="B52" s="111"/>
      <c r="C52" s="5">
        <v>26527011</v>
      </c>
      <c r="D52" s="5">
        <v>1567708</v>
      </c>
      <c r="E52" s="5">
        <v>24630292</v>
      </c>
      <c r="F52" s="5">
        <v>52725011</v>
      </c>
      <c r="G52" s="5">
        <v>4000000</v>
      </c>
      <c r="H52" s="5">
        <v>0</v>
      </c>
      <c r="I52" s="5">
        <v>4249744</v>
      </c>
      <c r="J52" s="5">
        <v>8249744</v>
      </c>
      <c r="K52" s="5">
        <v>60974755</v>
      </c>
      <c r="L52" s="5">
        <v>28031000</v>
      </c>
      <c r="M52" s="5">
        <v>890425</v>
      </c>
      <c r="N52" s="5">
        <v>14764642</v>
      </c>
      <c r="O52" s="5">
        <v>43686067</v>
      </c>
      <c r="P52" s="5">
        <v>11500000</v>
      </c>
      <c r="Q52" s="5">
        <v>0</v>
      </c>
      <c r="R52" s="5">
        <v>2500000</v>
      </c>
      <c r="S52" s="5">
        <v>14000000</v>
      </c>
      <c r="T52" s="5">
        <v>57686067</v>
      </c>
      <c r="U52" s="5">
        <v>27765295</v>
      </c>
      <c r="V52" s="5">
        <v>3585168</v>
      </c>
      <c r="W52" s="5">
        <v>21164000</v>
      </c>
      <c r="X52" s="5">
        <v>52514463</v>
      </c>
      <c r="Y52" s="5">
        <v>13000000</v>
      </c>
      <c r="Z52" s="5">
        <v>0</v>
      </c>
      <c r="AA52" s="5">
        <v>4876878</v>
      </c>
      <c r="AB52" s="5">
        <v>17876878</v>
      </c>
      <c r="AC52" s="5">
        <v>70391341</v>
      </c>
      <c r="AD52" s="5">
        <v>27269884</v>
      </c>
      <c r="AE52" s="5">
        <v>4392169</v>
      </c>
      <c r="AF52" s="5">
        <v>20357000</v>
      </c>
      <c r="AG52" s="5">
        <v>52019053</v>
      </c>
      <c r="AH52" s="5">
        <v>12280722</v>
      </c>
      <c r="AI52" s="5">
        <v>1000000</v>
      </c>
      <c r="AJ52" s="5">
        <v>6222435</v>
      </c>
      <c r="AK52" s="5">
        <v>19503157</v>
      </c>
      <c r="AL52" s="5">
        <v>71522210</v>
      </c>
      <c r="AM52" s="5">
        <v>27269883</v>
      </c>
      <c r="AN52" s="5">
        <v>3386285</v>
      </c>
      <c r="AO52" s="5">
        <v>16570233</v>
      </c>
      <c r="AP52" s="5">
        <v>47226401</v>
      </c>
      <c r="AQ52" s="5">
        <v>13508794</v>
      </c>
      <c r="AR52" s="5">
        <v>1000000</v>
      </c>
      <c r="AS52" s="5">
        <v>6222435</v>
      </c>
      <c r="AT52" s="5">
        <v>20731229</v>
      </c>
      <c r="AU52" s="5">
        <v>67957630</v>
      </c>
      <c r="AV52" s="5">
        <v>27269883</v>
      </c>
      <c r="AW52" s="5">
        <v>2895678</v>
      </c>
      <c r="AX52" s="5">
        <v>18578220</v>
      </c>
      <c r="AY52" s="5">
        <v>48743781</v>
      </c>
      <c r="AZ52" s="5">
        <v>14859673</v>
      </c>
      <c r="BA52" s="5">
        <v>1000000</v>
      </c>
      <c r="BB52" s="5">
        <v>6222435</v>
      </c>
      <c r="BC52" s="5">
        <v>22082108</v>
      </c>
      <c r="BD52" s="5">
        <v>70825889</v>
      </c>
    </row>
    <row r="53" spans="1:56" ht="34" x14ac:dyDescent="0.2">
      <c r="A53" s="6" t="s">
        <v>94</v>
      </c>
      <c r="B53" s="11" t="s">
        <v>95</v>
      </c>
      <c r="C53" s="8">
        <v>2893445</v>
      </c>
      <c r="D53" s="8">
        <v>1192417</v>
      </c>
      <c r="E53" s="8">
        <v>2311642</v>
      </c>
      <c r="F53" s="8">
        <f>C53+D53+E53</f>
        <v>6397504</v>
      </c>
      <c r="G53" s="8">
        <f>465000</f>
        <v>465000</v>
      </c>
      <c r="H53" s="8">
        <v>0</v>
      </c>
      <c r="I53" s="8">
        <v>0</v>
      </c>
      <c r="J53" s="8">
        <f>SUM(G53:I53)</f>
        <v>465000</v>
      </c>
      <c r="K53" s="5">
        <f t="shared" si="10"/>
        <v>6862504</v>
      </c>
      <c r="L53" s="8">
        <v>611412</v>
      </c>
      <c r="M53" s="8">
        <v>505950</v>
      </c>
      <c r="N53" s="8">
        <v>1863777</v>
      </c>
      <c r="O53" s="8">
        <f>L53+M53+N53</f>
        <v>2981139</v>
      </c>
      <c r="P53" s="8">
        <v>0</v>
      </c>
      <c r="Q53" s="8">
        <v>0</v>
      </c>
      <c r="R53" s="8">
        <v>0</v>
      </c>
      <c r="S53" s="8">
        <f>SUM(P53:R53)</f>
        <v>0</v>
      </c>
      <c r="T53" s="5">
        <f t="shared" si="1"/>
        <v>2981139</v>
      </c>
      <c r="U53" s="8"/>
      <c r="V53" s="8"/>
      <c r="W53" s="8"/>
      <c r="X53" s="8"/>
      <c r="Y53" s="8"/>
      <c r="Z53" s="8"/>
      <c r="AA53" s="8"/>
      <c r="AB53" s="8"/>
      <c r="AC53" s="5"/>
      <c r="AD53" s="47">
        <v>568799</v>
      </c>
      <c r="AE53" s="47">
        <v>2571669</v>
      </c>
      <c r="AF53" s="47">
        <v>430000</v>
      </c>
      <c r="AG53" s="55">
        <f>SUM(AD53:AF53)</f>
        <v>3570468</v>
      </c>
      <c r="AH53" s="47">
        <v>0</v>
      </c>
      <c r="AI53" s="47">
        <v>0</v>
      </c>
      <c r="AJ53" s="47">
        <v>0</v>
      </c>
      <c r="AK53" s="8">
        <f>SUM(AH53:AJ53)</f>
        <v>0</v>
      </c>
      <c r="AL53" s="5">
        <f t="shared" si="12"/>
        <v>3570468</v>
      </c>
      <c r="AM53" s="8">
        <v>628312</v>
      </c>
      <c r="AN53" s="8">
        <v>1865785</v>
      </c>
      <c r="AO53" s="8">
        <v>230000</v>
      </c>
      <c r="AP53" s="8">
        <f>AM53+AN53+AO53</f>
        <v>2724097</v>
      </c>
      <c r="AQ53" s="47">
        <v>0</v>
      </c>
      <c r="AR53" s="47">
        <v>0</v>
      </c>
      <c r="AS53" s="47">
        <v>0</v>
      </c>
      <c r="AT53" s="8">
        <f>SUM(AQ53:AS53)</f>
        <v>0</v>
      </c>
      <c r="AU53" s="5">
        <f t="shared" si="14"/>
        <v>2724097</v>
      </c>
      <c r="AV53" s="8">
        <v>628312</v>
      </c>
      <c r="AW53" s="8">
        <v>1375178</v>
      </c>
      <c r="AX53" s="8">
        <v>230000</v>
      </c>
      <c r="AY53" s="8">
        <f>AV53+AW53+AX53</f>
        <v>2233490</v>
      </c>
      <c r="AZ53" s="47">
        <v>0</v>
      </c>
      <c r="BA53" s="47">
        <v>0</v>
      </c>
      <c r="BB53" s="47">
        <v>0</v>
      </c>
      <c r="BC53" s="8">
        <f>SUM(AZ53:BB53)</f>
        <v>0</v>
      </c>
      <c r="BD53" s="5">
        <f t="shared" si="7"/>
        <v>2233490</v>
      </c>
    </row>
    <row r="54" spans="1:56" ht="17" x14ac:dyDescent="0.2">
      <c r="A54" s="6" t="s">
        <v>96</v>
      </c>
      <c r="B54" s="11" t="s">
        <v>97</v>
      </c>
      <c r="C54" s="8">
        <v>23129066</v>
      </c>
      <c r="D54" s="8">
        <v>316083</v>
      </c>
      <c r="E54" s="8">
        <v>8817650</v>
      </c>
      <c r="F54" s="8">
        <f>SUM(C54:E54)</f>
        <v>32262799</v>
      </c>
      <c r="G54" s="8">
        <v>0</v>
      </c>
      <c r="H54" s="8">
        <v>0</v>
      </c>
      <c r="I54" s="8">
        <v>0</v>
      </c>
      <c r="J54" s="8">
        <f>SUM(G54:I54)</f>
        <v>0</v>
      </c>
      <c r="K54" s="5">
        <f t="shared" si="10"/>
        <v>32262799</v>
      </c>
      <c r="L54" s="8">
        <v>23810845</v>
      </c>
      <c r="M54" s="8">
        <v>321050</v>
      </c>
      <c r="N54" s="8">
        <v>6758000</v>
      </c>
      <c r="O54" s="8">
        <f>SUM(L54:N54)</f>
        <v>30889895</v>
      </c>
      <c r="P54" s="8">
        <v>11180000</v>
      </c>
      <c r="Q54" s="8">
        <v>0</v>
      </c>
      <c r="R54" s="8">
        <v>1500000</v>
      </c>
      <c r="S54" s="8">
        <f>SUM(P54:R54)</f>
        <v>12680000</v>
      </c>
      <c r="T54" s="5">
        <f t="shared" si="1"/>
        <v>43569895</v>
      </c>
      <c r="U54" s="8"/>
      <c r="V54" s="8"/>
      <c r="W54" s="8"/>
      <c r="X54" s="8"/>
      <c r="Y54" s="65"/>
      <c r="AA54" s="67"/>
      <c r="AB54" s="8"/>
      <c r="AC54" s="5"/>
      <c r="AD54" s="49">
        <v>26379855</v>
      </c>
      <c r="AE54" s="49">
        <v>1685100</v>
      </c>
      <c r="AF54" s="49">
        <v>5252000</v>
      </c>
      <c r="AG54" s="52">
        <f>SUM(AD54:AF54)</f>
        <v>33316955</v>
      </c>
      <c r="AH54" s="49">
        <f>443922+11622793</f>
        <v>12066715</v>
      </c>
      <c r="AI54" s="49">
        <v>1000000</v>
      </c>
      <c r="AJ54" s="49">
        <f>500000+4299703</f>
        <v>4799703</v>
      </c>
      <c r="AK54" s="8">
        <f>SUM(AH54:AJ54)</f>
        <v>17866418</v>
      </c>
      <c r="AL54" s="5">
        <f t="shared" si="12"/>
        <v>51183373</v>
      </c>
      <c r="AM54" s="8">
        <v>26207989</v>
      </c>
      <c r="AN54" s="8">
        <v>1385100</v>
      </c>
      <c r="AO54" s="8">
        <v>3852000</v>
      </c>
      <c r="AP54" s="8">
        <f>SUM(AM54:AO54)</f>
        <v>31445089</v>
      </c>
      <c r="AQ54" s="57">
        <v>12545313</v>
      </c>
      <c r="AR54" s="49">
        <v>1000000</v>
      </c>
      <c r="AS54" s="49">
        <f>500000+4299703</f>
        <v>4799703</v>
      </c>
      <c r="AT54" s="8">
        <f>SUM(AQ54:AS54)</f>
        <v>18345016</v>
      </c>
      <c r="AU54" s="5">
        <f t="shared" si="14"/>
        <v>49790105</v>
      </c>
      <c r="AV54" s="8">
        <v>26207989</v>
      </c>
      <c r="AW54" s="8">
        <v>1385100</v>
      </c>
      <c r="AX54" s="8">
        <v>3258220</v>
      </c>
      <c r="AY54" s="8">
        <f>SUM(AV54:AX54)</f>
        <v>30851309</v>
      </c>
      <c r="AZ54" s="57">
        <v>14057713</v>
      </c>
      <c r="BA54" s="49">
        <v>1000000</v>
      </c>
      <c r="BB54" s="49">
        <f>500000+4299703</f>
        <v>4799703</v>
      </c>
      <c r="BC54" s="8">
        <f>SUM(AZ54:BB54)</f>
        <v>19857416</v>
      </c>
      <c r="BD54" s="5">
        <f t="shared" si="7"/>
        <v>50708725</v>
      </c>
    </row>
    <row r="55" spans="1:56" ht="34" x14ac:dyDescent="0.2">
      <c r="A55" s="6" t="s">
        <v>98</v>
      </c>
      <c r="B55" s="11" t="s">
        <v>99</v>
      </c>
      <c r="C55" s="8">
        <v>412357</v>
      </c>
      <c r="D55" s="8">
        <v>32708</v>
      </c>
      <c r="E55" s="8">
        <v>818000</v>
      </c>
      <c r="F55" s="8">
        <f>SUM(C55:E55)</f>
        <v>1263065</v>
      </c>
      <c r="G55" s="8">
        <v>0</v>
      </c>
      <c r="H55" s="8">
        <v>0</v>
      </c>
      <c r="I55" s="8">
        <v>0</v>
      </c>
      <c r="J55" s="8">
        <f>SUM(G55:I55)</f>
        <v>0</v>
      </c>
      <c r="K55" s="5">
        <f t="shared" si="10"/>
        <v>1263065</v>
      </c>
      <c r="L55" s="8">
        <v>3446554</v>
      </c>
      <c r="M55" s="8">
        <v>30425</v>
      </c>
      <c r="N55" s="8">
        <v>749000</v>
      </c>
      <c r="O55" s="8">
        <f>SUM(L55:N55)</f>
        <v>4225979</v>
      </c>
      <c r="P55" s="8"/>
      <c r="Q55" s="8">
        <v>0</v>
      </c>
      <c r="R55" s="8">
        <v>0</v>
      </c>
      <c r="S55" s="8">
        <f>SUM(P55:R55)</f>
        <v>0</v>
      </c>
      <c r="T55" s="5">
        <f t="shared" si="1"/>
        <v>4225979</v>
      </c>
      <c r="U55" s="8"/>
      <c r="V55" s="8"/>
      <c r="W55" s="8"/>
      <c r="X55" s="8"/>
      <c r="Y55" s="8"/>
      <c r="Z55" s="8"/>
      <c r="AA55" s="8"/>
      <c r="AB55" s="8"/>
      <c r="AC55" s="5"/>
      <c r="AD55" s="49">
        <v>225091</v>
      </c>
      <c r="AE55" s="49">
        <v>56900</v>
      </c>
      <c r="AF55" s="49">
        <v>675000</v>
      </c>
      <c r="AG55" s="52">
        <f>SUM(AD55:AF55)</f>
        <v>956991</v>
      </c>
      <c r="AH55" s="49">
        <v>0</v>
      </c>
      <c r="AI55" s="49">
        <v>0</v>
      </c>
      <c r="AJ55" s="49">
        <v>0</v>
      </c>
      <c r="AK55" s="8">
        <f>SUM(AH55:AJ55)</f>
        <v>0</v>
      </c>
      <c r="AL55" s="5">
        <f t="shared" si="12"/>
        <v>956991</v>
      </c>
      <c r="AM55" s="8">
        <v>312409</v>
      </c>
      <c r="AN55" s="8">
        <v>56900</v>
      </c>
      <c r="AO55" s="8">
        <v>355000</v>
      </c>
      <c r="AP55" s="8">
        <f>SUM(AM55:AO55)</f>
        <v>724309</v>
      </c>
      <c r="AQ55" s="49">
        <v>0</v>
      </c>
      <c r="AR55" s="49">
        <v>0</v>
      </c>
      <c r="AS55" s="49">
        <v>0</v>
      </c>
      <c r="AT55" s="8">
        <f>SUM(AQ55:AS55)</f>
        <v>0</v>
      </c>
      <c r="AU55" s="5">
        <f t="shared" si="14"/>
        <v>724309</v>
      </c>
      <c r="AV55" s="8">
        <v>312409</v>
      </c>
      <c r="AW55" s="8">
        <v>56900</v>
      </c>
      <c r="AX55" s="8">
        <v>355000</v>
      </c>
      <c r="AY55" s="8">
        <f>SUM(AV55:AX55)</f>
        <v>724309</v>
      </c>
      <c r="AZ55" s="49">
        <v>0</v>
      </c>
      <c r="BA55" s="49">
        <v>0</v>
      </c>
      <c r="BB55" s="49">
        <v>0</v>
      </c>
      <c r="BC55" s="8">
        <f>SUM(AZ55:BB55)</f>
        <v>0</v>
      </c>
      <c r="BD55" s="5">
        <f t="shared" si="7"/>
        <v>724309</v>
      </c>
    </row>
    <row r="56" spans="1:56" ht="17" x14ac:dyDescent="0.2">
      <c r="A56" s="9" t="s">
        <v>100</v>
      </c>
      <c r="B56" s="11" t="s">
        <v>101</v>
      </c>
      <c r="C56" s="8">
        <v>92143</v>
      </c>
      <c r="D56" s="8">
        <v>26500</v>
      </c>
      <c r="E56" s="8">
        <v>12683000</v>
      </c>
      <c r="F56" s="8">
        <f>SUM(C56:E56)</f>
        <v>12801643</v>
      </c>
      <c r="G56" s="8">
        <f>180000+30000+1000000+2000000+325000</f>
        <v>3535000</v>
      </c>
      <c r="H56" s="8">
        <v>0</v>
      </c>
      <c r="I56" s="8">
        <f>1500000+700000+2049744</f>
        <v>4249744</v>
      </c>
      <c r="J56" s="8">
        <f>SUM(G56:I56)</f>
        <v>7784744</v>
      </c>
      <c r="K56" s="5">
        <f t="shared" si="10"/>
        <v>20586387</v>
      </c>
      <c r="L56" s="8">
        <v>162189</v>
      </c>
      <c r="M56" s="8">
        <v>33000</v>
      </c>
      <c r="N56" s="8">
        <v>5393865</v>
      </c>
      <c r="O56" s="8">
        <f>SUM(L56:N56)</f>
        <v>5589054</v>
      </c>
      <c r="P56" s="8">
        <v>320000</v>
      </c>
      <c r="Q56" s="8">
        <v>0</v>
      </c>
      <c r="R56" s="8">
        <v>1000000</v>
      </c>
      <c r="S56" s="8">
        <f>SUM(P56:R56)</f>
        <v>1320000</v>
      </c>
      <c r="T56" s="5">
        <f t="shared" si="1"/>
        <v>6909054</v>
      </c>
      <c r="U56" s="8"/>
      <c r="V56" s="8"/>
      <c r="W56" s="8"/>
      <c r="X56" s="8"/>
      <c r="Y56" s="8"/>
      <c r="Z56" s="8"/>
      <c r="AA56" s="8"/>
      <c r="AB56" s="8"/>
      <c r="AC56" s="5"/>
      <c r="AD56" s="57">
        <v>96139</v>
      </c>
      <c r="AE56" s="57">
        <v>78500</v>
      </c>
      <c r="AF56" s="57">
        <v>14000000</v>
      </c>
      <c r="AG56" s="54">
        <f>SUM(AD56:AF56)</f>
        <v>14174639</v>
      </c>
      <c r="AH56" s="57">
        <f>1600+212407</f>
        <v>214007</v>
      </c>
      <c r="AI56" s="57">
        <v>0</v>
      </c>
      <c r="AJ56" s="57">
        <v>1422732</v>
      </c>
      <c r="AK56" s="8">
        <f>SUM(AH56:AJ56)</f>
        <v>1636739</v>
      </c>
      <c r="AL56" s="5">
        <f t="shared" si="12"/>
        <v>15811378</v>
      </c>
      <c r="AM56" s="8">
        <v>121173</v>
      </c>
      <c r="AN56" s="8">
        <v>78500</v>
      </c>
      <c r="AO56" s="8">
        <v>12133233</v>
      </c>
      <c r="AP56" s="8">
        <f>SUM(AM56:AO56)</f>
        <v>12332906</v>
      </c>
      <c r="AQ56" s="57">
        <v>963481</v>
      </c>
      <c r="AR56" s="57">
        <v>0</v>
      </c>
      <c r="AS56" s="57">
        <v>1422732</v>
      </c>
      <c r="AT56" s="8">
        <f>SUM(AQ56:AS56)</f>
        <v>2386213</v>
      </c>
      <c r="AU56" s="5">
        <f t="shared" si="14"/>
        <v>14719119</v>
      </c>
      <c r="AV56" s="8">
        <v>121173</v>
      </c>
      <c r="AW56" s="8">
        <v>78500</v>
      </c>
      <c r="AX56" s="8">
        <v>14735000</v>
      </c>
      <c r="AY56" s="8">
        <f>SUM(AV56:AX56)</f>
        <v>14934673</v>
      </c>
      <c r="AZ56" s="57">
        <v>801960</v>
      </c>
      <c r="BA56" s="57">
        <v>0</v>
      </c>
      <c r="BB56" s="57">
        <v>1422732</v>
      </c>
      <c r="BC56" s="8">
        <f>SUM(AZ56:BB56)</f>
        <v>2224692</v>
      </c>
      <c r="BD56" s="5">
        <f t="shared" si="7"/>
        <v>17159365</v>
      </c>
    </row>
    <row r="57" spans="1:56" ht="16.5" customHeight="1" x14ac:dyDescent="0.2">
      <c r="A57" s="118" t="s">
        <v>102</v>
      </c>
      <c r="B57" s="119"/>
      <c r="C57" s="5">
        <v>59090732</v>
      </c>
      <c r="D57" s="5">
        <v>3487192</v>
      </c>
      <c r="E57" s="5">
        <v>6599072</v>
      </c>
      <c r="F57" s="5">
        <v>69176996</v>
      </c>
      <c r="G57" s="5">
        <v>1854736</v>
      </c>
      <c r="H57" s="5">
        <v>2310000</v>
      </c>
      <c r="I57" s="5">
        <v>1665000</v>
      </c>
      <c r="J57" s="5">
        <v>5829736</v>
      </c>
      <c r="K57" s="5">
        <v>75006732</v>
      </c>
      <c r="L57" s="5">
        <v>64033100</v>
      </c>
      <c r="M57" s="5">
        <v>17740684</v>
      </c>
      <c r="N57" s="5">
        <v>8650027</v>
      </c>
      <c r="O57" s="5">
        <v>90423811</v>
      </c>
      <c r="P57" s="5">
        <v>3745000</v>
      </c>
      <c r="Q57" s="5">
        <v>1386000</v>
      </c>
      <c r="R57" s="5">
        <v>3729357</v>
      </c>
      <c r="S57" s="5">
        <v>8860357</v>
      </c>
      <c r="T57" s="5">
        <v>99284168</v>
      </c>
      <c r="U57" s="5">
        <v>64722502</v>
      </c>
      <c r="V57" s="5">
        <v>26442118</v>
      </c>
      <c r="W57" s="5">
        <v>4787357</v>
      </c>
      <c r="X57" s="8">
        <v>95951977</v>
      </c>
      <c r="Y57" s="5">
        <v>3761426</v>
      </c>
      <c r="Z57" s="5">
        <v>1745549</v>
      </c>
      <c r="AA57" s="5">
        <v>1963990</v>
      </c>
      <c r="AB57" s="5">
        <v>7470965</v>
      </c>
      <c r="AC57" s="5">
        <v>103422942</v>
      </c>
      <c r="AD57" s="5">
        <v>70856857</v>
      </c>
      <c r="AE57" s="5">
        <v>26186988</v>
      </c>
      <c r="AF57" s="5">
        <v>5042486</v>
      </c>
      <c r="AG57" s="5">
        <v>102086331</v>
      </c>
      <c r="AH57" s="5">
        <v>15822839</v>
      </c>
      <c r="AI57" s="5">
        <v>262000</v>
      </c>
      <c r="AJ57" s="5">
        <v>25450000</v>
      </c>
      <c r="AK57" s="5">
        <v>41534839</v>
      </c>
      <c r="AL57" s="5">
        <v>143621170</v>
      </c>
      <c r="AM57" s="5">
        <v>70856857</v>
      </c>
      <c r="AN57" s="5">
        <v>21453323</v>
      </c>
      <c r="AO57" s="5">
        <v>4272144</v>
      </c>
      <c r="AP57" s="5">
        <v>96582324</v>
      </c>
      <c r="AQ57" s="5">
        <v>0</v>
      </c>
      <c r="AR57" s="5">
        <v>0</v>
      </c>
      <c r="AS57" s="5">
        <v>0</v>
      </c>
      <c r="AT57" s="5">
        <v>0</v>
      </c>
      <c r="AU57" s="5">
        <v>96582324</v>
      </c>
      <c r="AV57" s="5">
        <v>70856857</v>
      </c>
      <c r="AW57" s="5">
        <v>22864226</v>
      </c>
      <c r="AX57" s="5">
        <v>4184041</v>
      </c>
      <c r="AY57" s="5">
        <v>97905124</v>
      </c>
      <c r="AZ57" s="5">
        <v>0</v>
      </c>
      <c r="BA57" s="5">
        <v>0</v>
      </c>
      <c r="BB57" s="5">
        <v>0</v>
      </c>
      <c r="BC57" s="5">
        <v>0</v>
      </c>
      <c r="BD57" s="5">
        <v>97905124</v>
      </c>
    </row>
    <row r="58" spans="1:56" ht="34" x14ac:dyDescent="0.2">
      <c r="A58" s="6" t="s">
        <v>103</v>
      </c>
      <c r="B58" s="10" t="s">
        <v>104</v>
      </c>
      <c r="C58" s="8">
        <v>53892362</v>
      </c>
      <c r="D58" s="8">
        <v>1774911</v>
      </c>
      <c r="E58" s="8">
        <v>1798259</v>
      </c>
      <c r="F58" s="8">
        <f>SUM(C58:E58)</f>
        <v>57465532</v>
      </c>
      <c r="G58" s="8">
        <v>439736</v>
      </c>
      <c r="H58" s="8"/>
      <c r="I58" s="8"/>
      <c r="J58" s="8">
        <f>SUM(G58:I58)</f>
        <v>439736</v>
      </c>
      <c r="K58" s="5">
        <f t="shared" si="10"/>
        <v>57905268</v>
      </c>
      <c r="L58" s="8">
        <v>58627777</v>
      </c>
      <c r="M58" s="8">
        <f>2287551+2095851+10-2095861</f>
        <v>2287551</v>
      </c>
      <c r="N58" s="8">
        <v>1665198</v>
      </c>
      <c r="O58" s="8">
        <f>SUM(L58:N58)</f>
        <v>62580526</v>
      </c>
      <c r="P58" s="8">
        <v>0</v>
      </c>
      <c r="Q58" s="8"/>
      <c r="R58" s="8"/>
      <c r="S58" s="8">
        <f>SUM(P58:R58)</f>
        <v>0</v>
      </c>
      <c r="T58" s="5">
        <f t="shared" si="1"/>
        <v>62580526</v>
      </c>
      <c r="U58" s="8"/>
      <c r="V58" s="8"/>
      <c r="W58" s="8"/>
      <c r="X58" s="8"/>
      <c r="Y58" s="8"/>
      <c r="Z58" s="8"/>
      <c r="AA58" s="8"/>
      <c r="AB58" s="8"/>
      <c r="AC58" s="5"/>
      <c r="AD58" s="47">
        <v>65351952</v>
      </c>
      <c r="AE58" s="47">
        <v>4536666</v>
      </c>
      <c r="AF58" s="47">
        <v>310000</v>
      </c>
      <c r="AG58" s="55">
        <f>SUM(AD58:AF58)</f>
        <v>70198618</v>
      </c>
      <c r="AH58" s="47">
        <v>0</v>
      </c>
      <c r="AI58" s="47">
        <v>0</v>
      </c>
      <c r="AJ58" s="47">
        <v>0</v>
      </c>
      <c r="AK58" s="5">
        <f t="shared" ref="AK58:AK61" si="15">AH58+AI58+AJ58</f>
        <v>0</v>
      </c>
      <c r="AL58" s="5">
        <f t="shared" si="12"/>
        <v>70198618</v>
      </c>
      <c r="AM58" s="8">
        <v>65351952</v>
      </c>
      <c r="AN58" s="8">
        <v>4052351</v>
      </c>
      <c r="AO58" s="8">
        <v>269044</v>
      </c>
      <c r="AP58" s="8">
        <f>SUM(AM58:AO58)</f>
        <v>69673347</v>
      </c>
      <c r="AQ58" s="8">
        <v>0</v>
      </c>
      <c r="AR58" s="8">
        <v>0</v>
      </c>
      <c r="AS58" s="8">
        <v>0</v>
      </c>
      <c r="AT58" s="8">
        <f t="shared" ref="AT58:AT61" si="16">AQ58+AR58+AS58</f>
        <v>0</v>
      </c>
      <c r="AU58" s="5">
        <f t="shared" si="14"/>
        <v>69673347</v>
      </c>
      <c r="AV58" s="8">
        <v>65351952</v>
      </c>
      <c r="AW58" s="8">
        <v>4318858</v>
      </c>
      <c r="AX58" s="8">
        <v>263495</v>
      </c>
      <c r="AY58" s="8">
        <f>SUM(AV58:AX58)</f>
        <v>69934305</v>
      </c>
      <c r="AZ58" s="8">
        <v>0</v>
      </c>
      <c r="BA58" s="8">
        <v>0</v>
      </c>
      <c r="BB58" s="8">
        <v>0</v>
      </c>
      <c r="BC58" s="5">
        <f t="shared" si="6"/>
        <v>0</v>
      </c>
      <c r="BD58" s="5">
        <f t="shared" si="7"/>
        <v>69934305</v>
      </c>
    </row>
    <row r="59" spans="1:56" ht="17" x14ac:dyDescent="0.2">
      <c r="A59" s="6" t="s">
        <v>105</v>
      </c>
      <c r="B59" s="10" t="s">
        <v>106</v>
      </c>
      <c r="C59" s="8">
        <v>3128040</v>
      </c>
      <c r="D59" s="8">
        <v>1186281</v>
      </c>
      <c r="E59" s="8">
        <f>2928600+209700</f>
        <v>3138300</v>
      </c>
      <c r="F59" s="8">
        <f>SUM(C59:E59)</f>
        <v>7452621</v>
      </c>
      <c r="G59" s="8">
        <v>622670</v>
      </c>
      <c r="H59" s="8">
        <f>1751882+305997</f>
        <v>2057879</v>
      </c>
      <c r="I59" s="8">
        <v>1004445</v>
      </c>
      <c r="J59" s="8">
        <f>SUM(G59:I59)</f>
        <v>3684994</v>
      </c>
      <c r="K59" s="5">
        <f t="shared" si="10"/>
        <v>11137615</v>
      </c>
      <c r="L59" s="8">
        <v>3182354</v>
      </c>
      <c r="M59" s="8">
        <v>10922281</v>
      </c>
      <c r="N59" s="8">
        <v>5104807</v>
      </c>
      <c r="O59" s="8">
        <f>SUM(L59:N59)</f>
        <v>19209442</v>
      </c>
      <c r="P59" s="8">
        <v>1832106</v>
      </c>
      <c r="Q59" s="8">
        <v>1336000</v>
      </c>
      <c r="R59" s="8">
        <v>1465847</v>
      </c>
      <c r="S59" s="8">
        <f>SUM(P59:R59)</f>
        <v>4633953</v>
      </c>
      <c r="T59" s="5">
        <f t="shared" si="1"/>
        <v>23843395</v>
      </c>
      <c r="U59" s="8"/>
      <c r="V59" s="65"/>
      <c r="W59" s="65"/>
      <c r="X59" s="8"/>
      <c r="Y59" s="8"/>
      <c r="Z59" s="8"/>
      <c r="AA59" s="65"/>
      <c r="AB59" s="8"/>
      <c r="AC59" s="5"/>
      <c r="AD59" s="49">
        <v>3234324</v>
      </c>
      <c r="AE59" s="49">
        <v>20374579</v>
      </c>
      <c r="AF59" s="49">
        <v>3076173</v>
      </c>
      <c r="AG59" s="52">
        <f>SUM(AD59:AF59)</f>
        <v>26685076</v>
      </c>
      <c r="AH59" s="49">
        <f>1915000+85000</f>
        <v>2000000</v>
      </c>
      <c r="AI59" s="49">
        <v>80000</v>
      </c>
      <c r="AJ59" s="49">
        <v>4000000</v>
      </c>
      <c r="AK59" s="5">
        <f t="shared" si="15"/>
        <v>6080000</v>
      </c>
      <c r="AL59" s="5">
        <f t="shared" si="12"/>
        <v>32765076</v>
      </c>
      <c r="AM59" s="8">
        <v>3234324</v>
      </c>
      <c r="AN59" s="8">
        <v>16360605</v>
      </c>
      <c r="AO59" s="8">
        <v>2705760</v>
      </c>
      <c r="AP59" s="8">
        <f>SUM(AM59:AO59)</f>
        <v>22300689</v>
      </c>
      <c r="AQ59" s="8">
        <v>0</v>
      </c>
      <c r="AR59" s="8">
        <v>0</v>
      </c>
      <c r="AS59" s="8">
        <v>0</v>
      </c>
      <c r="AT59" s="5">
        <f t="shared" si="16"/>
        <v>0</v>
      </c>
      <c r="AU59" s="5">
        <f t="shared" si="14"/>
        <v>22300689</v>
      </c>
      <c r="AV59" s="8">
        <v>3234324</v>
      </c>
      <c r="AW59" s="8">
        <v>17436580</v>
      </c>
      <c r="AX59" s="8">
        <v>2649960</v>
      </c>
      <c r="AY59" s="8">
        <f>SUM(AV59:AX59)</f>
        <v>23320864</v>
      </c>
      <c r="AZ59" s="8">
        <v>0</v>
      </c>
      <c r="BA59" s="8">
        <v>0</v>
      </c>
      <c r="BB59" s="8">
        <v>0</v>
      </c>
      <c r="BC59" s="5">
        <f t="shared" si="6"/>
        <v>0</v>
      </c>
      <c r="BD59" s="5">
        <f t="shared" si="7"/>
        <v>23320864</v>
      </c>
    </row>
    <row r="60" spans="1:56" ht="34" x14ac:dyDescent="0.2">
      <c r="A60" s="6" t="s">
        <v>107</v>
      </c>
      <c r="B60" s="12" t="s">
        <v>108</v>
      </c>
      <c r="C60" s="8">
        <v>2016853</v>
      </c>
      <c r="D60" s="8">
        <v>504000</v>
      </c>
      <c r="E60" s="8">
        <v>1447522</v>
      </c>
      <c r="F60" s="8">
        <f>SUM(C60:E60)</f>
        <v>3968375</v>
      </c>
      <c r="G60" s="8">
        <v>663330</v>
      </c>
      <c r="H60" s="8">
        <f>72121+180000</f>
        <v>252121</v>
      </c>
      <c r="I60" s="8">
        <v>660555</v>
      </c>
      <c r="J60" s="8">
        <f>SUM(G60:I60)</f>
        <v>1576006</v>
      </c>
      <c r="K60" s="5">
        <f t="shared" si="10"/>
        <v>5544381</v>
      </c>
      <c r="L60" s="8">
        <v>2110565</v>
      </c>
      <c r="M60" s="8">
        <v>4508852</v>
      </c>
      <c r="N60" s="8">
        <f>2285031-1000000</f>
        <v>1285031</v>
      </c>
      <c r="O60" s="8">
        <f>SUM(L60:N60)</f>
        <v>7904448</v>
      </c>
      <c r="P60" s="8">
        <v>1912894</v>
      </c>
      <c r="Q60" s="8">
        <v>50000</v>
      </c>
      <c r="R60" s="8">
        <v>2263510</v>
      </c>
      <c r="S60" s="8">
        <f>SUM(P60:R60)</f>
        <v>4226404</v>
      </c>
      <c r="T60" s="5">
        <f t="shared" si="1"/>
        <v>12130852</v>
      </c>
      <c r="U60" s="8"/>
      <c r="V60" s="8"/>
      <c r="W60" s="8"/>
      <c r="X60" s="8"/>
      <c r="Y60" s="8"/>
      <c r="Z60" s="8"/>
      <c r="AA60" s="65"/>
      <c r="AB60" s="8"/>
      <c r="AC60" s="5"/>
      <c r="AD60" s="49">
        <v>2133279</v>
      </c>
      <c r="AE60" s="49">
        <v>1113669</v>
      </c>
      <c r="AF60" s="49">
        <v>1535173</v>
      </c>
      <c r="AG60" s="52">
        <f>SUM(AD60:AF60)</f>
        <v>4782121</v>
      </c>
      <c r="AH60" s="49">
        <v>13822839</v>
      </c>
      <c r="AI60" s="49">
        <v>182000</v>
      </c>
      <c r="AJ60" s="49">
        <v>21450000</v>
      </c>
      <c r="AK60" s="5">
        <f t="shared" si="15"/>
        <v>35454839</v>
      </c>
      <c r="AL60" s="5">
        <f t="shared" si="12"/>
        <v>40236960</v>
      </c>
      <c r="AM60" s="8">
        <v>2133279</v>
      </c>
      <c r="AN60" s="8">
        <v>908196</v>
      </c>
      <c r="AO60" s="8">
        <v>1192205</v>
      </c>
      <c r="AP60" s="8">
        <f>SUM(AM60:AO60)</f>
        <v>4233680</v>
      </c>
      <c r="AQ60" s="8">
        <v>0</v>
      </c>
      <c r="AR60" s="8">
        <v>0</v>
      </c>
      <c r="AS60" s="8">
        <v>0</v>
      </c>
      <c r="AT60" s="5">
        <f t="shared" si="16"/>
        <v>0</v>
      </c>
      <c r="AU60" s="5">
        <f t="shared" si="14"/>
        <v>4233680</v>
      </c>
      <c r="AV60" s="8">
        <v>2133279</v>
      </c>
      <c r="AW60" s="8">
        <v>967924</v>
      </c>
      <c r="AX60" s="8">
        <v>1167619</v>
      </c>
      <c r="AY60" s="8">
        <f>SUM(AV60:AX60)</f>
        <v>4268822</v>
      </c>
      <c r="AZ60" s="8">
        <v>0</v>
      </c>
      <c r="BA60" s="8">
        <v>0</v>
      </c>
      <c r="BB60" s="8">
        <v>0</v>
      </c>
      <c r="BC60" s="5">
        <f t="shared" si="6"/>
        <v>0</v>
      </c>
      <c r="BD60" s="5">
        <f t="shared" si="7"/>
        <v>4268822</v>
      </c>
    </row>
    <row r="61" spans="1:56" ht="17" x14ac:dyDescent="0.2">
      <c r="A61" s="9" t="s">
        <v>109</v>
      </c>
      <c r="B61" s="12" t="s">
        <v>110</v>
      </c>
      <c r="C61" s="8">
        <v>53477</v>
      </c>
      <c r="D61" s="8">
        <v>22000</v>
      </c>
      <c r="E61" s="8">
        <v>214991</v>
      </c>
      <c r="F61" s="8">
        <f>C61+D61+E61</f>
        <v>290468</v>
      </c>
      <c r="G61" s="8">
        <v>129000</v>
      </c>
      <c r="H61" s="8"/>
      <c r="I61" s="8"/>
      <c r="J61" s="8">
        <f>SUM(G61:I61)</f>
        <v>129000</v>
      </c>
      <c r="K61" s="5">
        <f t="shared" si="10"/>
        <v>419468</v>
      </c>
      <c r="L61" s="8">
        <v>112404</v>
      </c>
      <c r="M61" s="8">
        <v>22000</v>
      </c>
      <c r="N61" s="8">
        <v>594991</v>
      </c>
      <c r="O61" s="8">
        <f>L61+M61+N61</f>
        <v>729395</v>
      </c>
      <c r="P61" s="8">
        <v>0</v>
      </c>
      <c r="Q61" s="8"/>
      <c r="R61" s="8"/>
      <c r="S61" s="8">
        <f>SUM(P61:R61)</f>
        <v>0</v>
      </c>
      <c r="T61" s="5">
        <f t="shared" si="1"/>
        <v>729395</v>
      </c>
      <c r="U61" s="8"/>
      <c r="V61" s="8"/>
      <c r="W61" s="8"/>
      <c r="X61" s="8"/>
      <c r="Y61" s="8"/>
      <c r="Z61" s="8"/>
      <c r="AA61" s="8"/>
      <c r="AB61" s="8"/>
      <c r="AC61" s="5"/>
      <c r="AD61" s="57">
        <v>137302</v>
      </c>
      <c r="AE61" s="57">
        <v>162074</v>
      </c>
      <c r="AF61" s="57">
        <v>121140</v>
      </c>
      <c r="AG61" s="54">
        <f>SUM(AD61:AF61)</f>
        <v>420516</v>
      </c>
      <c r="AH61" s="57">
        <v>0</v>
      </c>
      <c r="AI61" s="57">
        <v>0</v>
      </c>
      <c r="AJ61" s="57">
        <v>0</v>
      </c>
      <c r="AK61" s="5">
        <f t="shared" si="15"/>
        <v>0</v>
      </c>
      <c r="AL61" s="5">
        <f t="shared" si="12"/>
        <v>420516</v>
      </c>
      <c r="AM61" s="8">
        <v>137302</v>
      </c>
      <c r="AN61" s="8">
        <v>132171</v>
      </c>
      <c r="AO61" s="8">
        <v>105135</v>
      </c>
      <c r="AP61" s="8">
        <f>SUM(AM61:AO61)</f>
        <v>374608</v>
      </c>
      <c r="AQ61" s="8">
        <v>0</v>
      </c>
      <c r="AR61" s="8">
        <v>0</v>
      </c>
      <c r="AS61" s="8"/>
      <c r="AT61" s="5">
        <f t="shared" si="16"/>
        <v>0</v>
      </c>
      <c r="AU61" s="5">
        <f t="shared" si="14"/>
        <v>374608</v>
      </c>
      <c r="AV61" s="8">
        <v>137302</v>
      </c>
      <c r="AW61" s="8">
        <v>140864</v>
      </c>
      <c r="AX61" s="8">
        <v>102967</v>
      </c>
      <c r="AY61" s="8">
        <f>SUM(AV61:AX61)</f>
        <v>381133</v>
      </c>
      <c r="AZ61" s="8">
        <v>0</v>
      </c>
      <c r="BA61" s="8">
        <v>0</v>
      </c>
      <c r="BB61" s="8"/>
      <c r="BC61" s="5">
        <f t="shared" si="6"/>
        <v>0</v>
      </c>
      <c r="BD61" s="5">
        <f t="shared" si="7"/>
        <v>381133</v>
      </c>
    </row>
    <row r="62" spans="1:56" ht="16" x14ac:dyDescent="0.2">
      <c r="A62" s="110" t="s">
        <v>111</v>
      </c>
      <c r="B62" s="111"/>
      <c r="C62" s="5">
        <v>82540994</v>
      </c>
      <c r="D62" s="5">
        <v>3822621</v>
      </c>
      <c r="E62" s="5">
        <v>17255466</v>
      </c>
      <c r="F62" s="5">
        <v>103619081</v>
      </c>
      <c r="G62" s="5">
        <v>7000000</v>
      </c>
      <c r="H62" s="5">
        <v>0</v>
      </c>
      <c r="I62" s="5">
        <v>3432567</v>
      </c>
      <c r="J62" s="5">
        <v>10432567</v>
      </c>
      <c r="K62" s="5">
        <v>114051648</v>
      </c>
      <c r="L62" s="5">
        <v>86448800</v>
      </c>
      <c r="M62" s="5">
        <v>10989602</v>
      </c>
      <c r="N62" s="5">
        <v>16122086</v>
      </c>
      <c r="O62" s="5">
        <v>113560488</v>
      </c>
      <c r="P62" s="5">
        <v>3490000</v>
      </c>
      <c r="Q62" s="5">
        <v>1750000</v>
      </c>
      <c r="R62" s="5">
        <v>0</v>
      </c>
      <c r="S62" s="5">
        <v>5240000</v>
      </c>
      <c r="T62" s="5">
        <v>118800488</v>
      </c>
      <c r="U62" s="5">
        <v>88409494</v>
      </c>
      <c r="V62" s="5">
        <v>12728669</v>
      </c>
      <c r="W62" s="5">
        <v>13368034</v>
      </c>
      <c r="X62" s="5">
        <v>114506197</v>
      </c>
      <c r="Y62" s="5">
        <v>8820000</v>
      </c>
      <c r="Z62" s="5">
        <v>2500000</v>
      </c>
      <c r="AA62" s="5">
        <v>340440</v>
      </c>
      <c r="AB62" s="5">
        <v>11660440</v>
      </c>
      <c r="AC62" s="5">
        <v>126166637</v>
      </c>
      <c r="AD62" s="5">
        <v>91069062</v>
      </c>
      <c r="AE62" s="5">
        <v>12019069</v>
      </c>
      <c r="AF62" s="5">
        <v>22900844</v>
      </c>
      <c r="AG62" s="5">
        <v>125988975</v>
      </c>
      <c r="AH62" s="5">
        <v>8184000</v>
      </c>
      <c r="AI62" s="5">
        <v>233615</v>
      </c>
      <c r="AJ62" s="5">
        <v>4953552</v>
      </c>
      <c r="AK62" s="5">
        <v>13371167</v>
      </c>
      <c r="AL62" s="5">
        <v>139360142</v>
      </c>
      <c r="AM62" s="5">
        <v>91069062</v>
      </c>
      <c r="AN62" s="5">
        <v>10659866</v>
      </c>
      <c r="AO62" s="5">
        <v>13752556</v>
      </c>
      <c r="AP62" s="5">
        <v>115481484</v>
      </c>
      <c r="AQ62" s="5">
        <v>13632907</v>
      </c>
      <c r="AR62" s="5">
        <v>256976</v>
      </c>
      <c r="AS62" s="5">
        <v>0</v>
      </c>
      <c r="AT62" s="5">
        <v>13889883</v>
      </c>
      <c r="AU62" s="5">
        <v>129371367</v>
      </c>
      <c r="AV62" s="5">
        <v>91069062</v>
      </c>
      <c r="AW62" s="5">
        <v>10862362</v>
      </c>
      <c r="AX62" s="5">
        <v>12946023</v>
      </c>
      <c r="AY62" s="5">
        <v>114877447</v>
      </c>
      <c r="AZ62" s="5">
        <v>13385230</v>
      </c>
      <c r="BA62" s="5">
        <v>245296</v>
      </c>
      <c r="BB62" s="5">
        <v>0</v>
      </c>
      <c r="BC62" s="5">
        <v>13630526</v>
      </c>
      <c r="BD62" s="5">
        <v>128507973</v>
      </c>
    </row>
    <row r="63" spans="1:56" ht="34" x14ac:dyDescent="0.2">
      <c r="A63" s="6" t="s">
        <v>112</v>
      </c>
      <c r="B63" s="11" t="s">
        <v>113</v>
      </c>
      <c r="C63" s="8">
        <v>15926161</v>
      </c>
      <c r="D63" s="8">
        <v>1998121</v>
      </c>
      <c r="E63" s="8">
        <v>8018820</v>
      </c>
      <c r="F63" s="8">
        <f>SUM(C63:E63)</f>
        <v>25943102</v>
      </c>
      <c r="G63" s="8">
        <f>1000000+3000000</f>
        <v>4000000</v>
      </c>
      <c r="H63" s="8"/>
      <c r="I63" s="8"/>
      <c r="J63" s="8">
        <f>SUM(G63:I63)</f>
        <v>4000000</v>
      </c>
      <c r="K63" s="5">
        <f t="shared" si="10"/>
        <v>29943102</v>
      </c>
      <c r="L63" s="8">
        <v>82446659</v>
      </c>
      <c r="M63" s="8">
        <v>9049926</v>
      </c>
      <c r="N63" s="8">
        <v>1852763</v>
      </c>
      <c r="O63" s="8">
        <f>SUM(L63:N63)</f>
        <v>93349348</v>
      </c>
      <c r="P63" s="8">
        <v>0</v>
      </c>
      <c r="Q63" s="8">
        <v>0</v>
      </c>
      <c r="R63" s="8"/>
      <c r="S63" s="8">
        <f>SUM(P63:R63)</f>
        <v>0</v>
      </c>
      <c r="T63" s="5">
        <f t="shared" si="1"/>
        <v>93349348</v>
      </c>
      <c r="U63" s="8"/>
      <c r="V63" s="8"/>
      <c r="W63" s="8"/>
      <c r="X63" s="8"/>
      <c r="Y63" s="8"/>
      <c r="Z63" s="8"/>
      <c r="AA63" s="8"/>
      <c r="AB63" s="8"/>
      <c r="AC63" s="5"/>
      <c r="AD63" s="47">
        <v>87695736</v>
      </c>
      <c r="AE63" s="47">
        <v>9679943</v>
      </c>
      <c r="AF63" s="47">
        <v>805334</v>
      </c>
      <c r="AG63" s="55">
        <f>SUM(AD63:AF63)</f>
        <v>98181013</v>
      </c>
      <c r="AH63" s="47">
        <v>0</v>
      </c>
      <c r="AI63" s="47">
        <v>0</v>
      </c>
      <c r="AJ63" s="47">
        <v>0</v>
      </c>
      <c r="AK63" s="8">
        <f>SUM(AH63:AJ63)</f>
        <v>0</v>
      </c>
      <c r="AL63" s="5">
        <f t="shared" si="12"/>
        <v>98181013</v>
      </c>
      <c r="AM63" s="8">
        <v>87066921</v>
      </c>
      <c r="AN63" s="8">
        <v>9234716</v>
      </c>
      <c r="AO63" s="8">
        <v>214348</v>
      </c>
      <c r="AP63" s="8">
        <f>SUM(AM63:AO63)</f>
        <v>96515985</v>
      </c>
      <c r="AQ63" s="8">
        <v>0</v>
      </c>
      <c r="AR63" s="8"/>
      <c r="AS63" s="8"/>
      <c r="AT63" s="8">
        <f>SUM(AQ63:AS63)</f>
        <v>0</v>
      </c>
      <c r="AU63" s="5">
        <f t="shared" si="14"/>
        <v>96515985</v>
      </c>
      <c r="AV63" s="8">
        <v>87066921</v>
      </c>
      <c r="AW63" s="8">
        <v>9411575</v>
      </c>
      <c r="AX63" s="8">
        <v>200756</v>
      </c>
      <c r="AY63" s="8">
        <f>SUM(AV63:AX63)</f>
        <v>96679252</v>
      </c>
      <c r="AZ63" s="8">
        <v>0</v>
      </c>
      <c r="BA63" s="8"/>
      <c r="BB63" s="8"/>
      <c r="BC63" s="8">
        <f>SUM(AZ63:BB63)</f>
        <v>0</v>
      </c>
      <c r="BD63" s="5">
        <f t="shared" si="7"/>
        <v>96679252</v>
      </c>
    </row>
    <row r="64" spans="1:56" ht="17" x14ac:dyDescent="0.2">
      <c r="A64" s="6" t="s">
        <v>114</v>
      </c>
      <c r="B64" s="11" t="s">
        <v>115</v>
      </c>
      <c r="C64" s="8">
        <v>14089387</v>
      </c>
      <c r="D64" s="8">
        <v>541634</v>
      </c>
      <c r="E64" s="8">
        <v>6977047</v>
      </c>
      <c r="F64" s="8">
        <f>SUM(C64:E64)</f>
        <v>21608068</v>
      </c>
      <c r="G64" s="8">
        <v>1900000</v>
      </c>
      <c r="H64" s="8"/>
      <c r="I64" s="8"/>
      <c r="J64" s="8">
        <f>SUM(G64:I64)</f>
        <v>1900000</v>
      </c>
      <c r="K64" s="5">
        <f t="shared" si="10"/>
        <v>23508068</v>
      </c>
      <c r="L64" s="8">
        <v>484345</v>
      </c>
      <c r="M64" s="8">
        <v>251478</v>
      </c>
      <c r="N64" s="8">
        <v>12367752</v>
      </c>
      <c r="O64" s="8">
        <f>SUM(L64:N64)</f>
        <v>13103575</v>
      </c>
      <c r="P64" s="8">
        <v>3490000</v>
      </c>
      <c r="Q64" s="8">
        <v>1750000</v>
      </c>
      <c r="R64" s="8"/>
      <c r="S64" s="8">
        <f>SUM(P64:R64)</f>
        <v>5240000</v>
      </c>
      <c r="T64" s="5">
        <f t="shared" si="1"/>
        <v>18343575</v>
      </c>
      <c r="U64" s="8"/>
      <c r="V64" s="65"/>
      <c r="W64" s="65"/>
      <c r="X64" s="8"/>
      <c r="Y64" s="8"/>
      <c r="Z64" s="8"/>
      <c r="AA64" s="65"/>
      <c r="AB64" s="8"/>
      <c r="AC64" s="5"/>
      <c r="AD64" s="49">
        <v>237991</v>
      </c>
      <c r="AE64" s="49">
        <v>235389</v>
      </c>
      <c r="AF64" s="49">
        <v>21845510</v>
      </c>
      <c r="AG64" s="52">
        <f>SUM(AD64:AF64)</f>
        <v>22318890</v>
      </c>
      <c r="AH64" s="49">
        <f>2557199+5626801</f>
        <v>8184000</v>
      </c>
      <c r="AI64" s="49">
        <v>233615</v>
      </c>
      <c r="AJ64" s="49">
        <v>4953552</v>
      </c>
      <c r="AK64" s="8">
        <f>SUM(AH64:AJ64)</f>
        <v>13371167</v>
      </c>
      <c r="AL64" s="5">
        <f t="shared" si="12"/>
        <v>35690057</v>
      </c>
      <c r="AM64" s="8">
        <v>484346</v>
      </c>
      <c r="AN64" s="8">
        <v>193297</v>
      </c>
      <c r="AO64" s="8">
        <v>12736087</v>
      </c>
      <c r="AP64" s="8">
        <f>SUM(AM64:AO64)</f>
        <v>13413730</v>
      </c>
      <c r="AQ64" s="8">
        <v>13632907</v>
      </c>
      <c r="AR64" s="8">
        <v>256976</v>
      </c>
      <c r="AS64" s="8">
        <v>0</v>
      </c>
      <c r="AT64" s="8">
        <f>SUM(AQ64:AS64)</f>
        <v>13889883</v>
      </c>
      <c r="AU64" s="5">
        <f t="shared" si="14"/>
        <v>27303613</v>
      </c>
      <c r="AV64" s="8">
        <v>484346</v>
      </c>
      <c r="AW64" s="8">
        <v>196776</v>
      </c>
      <c r="AX64" s="8">
        <v>11993355</v>
      </c>
      <c r="AY64" s="8">
        <f>SUM(AV64:AX64)</f>
        <v>12674477</v>
      </c>
      <c r="AZ64" s="8">
        <v>13385230</v>
      </c>
      <c r="BA64" s="8">
        <v>245296</v>
      </c>
      <c r="BB64" s="8">
        <v>0</v>
      </c>
      <c r="BC64" s="8">
        <f>SUM(AZ64:BB64)</f>
        <v>13630526</v>
      </c>
      <c r="BD64" s="5">
        <f t="shared" si="7"/>
        <v>26305003</v>
      </c>
    </row>
    <row r="65" spans="1:58" ht="17" x14ac:dyDescent="0.2">
      <c r="A65" s="9" t="s">
        <v>116</v>
      </c>
      <c r="B65" s="11" t="s">
        <v>117</v>
      </c>
      <c r="C65" s="8">
        <v>52525446</v>
      </c>
      <c r="D65" s="8">
        <v>1282866</v>
      </c>
      <c r="E65" s="8">
        <v>2259599</v>
      </c>
      <c r="F65" s="8">
        <f>SUM(C65:E65)</f>
        <v>56067911</v>
      </c>
      <c r="G65" s="8">
        <v>1100000</v>
      </c>
      <c r="H65" s="8"/>
      <c r="I65" s="8">
        <v>3432567</v>
      </c>
      <c r="J65" s="8">
        <f>SUM(G65:I65)</f>
        <v>4532567</v>
      </c>
      <c r="K65" s="5">
        <f t="shared" si="10"/>
        <v>60600478</v>
      </c>
      <c r="L65" s="8">
        <v>3517796</v>
      </c>
      <c r="M65" s="8">
        <v>1688198</v>
      </c>
      <c r="N65" s="8">
        <v>1901571</v>
      </c>
      <c r="O65" s="8">
        <f>SUM(L65:N65)</f>
        <v>7107565</v>
      </c>
      <c r="P65" s="8">
        <v>0</v>
      </c>
      <c r="Q65" s="8"/>
      <c r="R65" s="8">
        <v>0</v>
      </c>
      <c r="S65" s="8">
        <f>SUM(P65:R65)</f>
        <v>0</v>
      </c>
      <c r="T65" s="5">
        <f t="shared" si="1"/>
        <v>7107565</v>
      </c>
      <c r="U65" s="8"/>
      <c r="V65" s="8"/>
      <c r="W65" s="8"/>
      <c r="X65" s="8"/>
      <c r="Y65" s="8"/>
      <c r="Z65" s="8"/>
      <c r="AA65" s="8"/>
      <c r="AB65" s="8"/>
      <c r="AC65" s="5"/>
      <c r="AD65" s="57">
        <v>3135335</v>
      </c>
      <c r="AE65" s="57">
        <v>2103737</v>
      </c>
      <c r="AF65" s="57">
        <v>250000</v>
      </c>
      <c r="AG65" s="54">
        <f>SUM(AD65:AF65)</f>
        <v>5489072</v>
      </c>
      <c r="AH65" s="57">
        <v>0</v>
      </c>
      <c r="AI65" s="57">
        <v>0</v>
      </c>
      <c r="AJ65" s="57">
        <v>0</v>
      </c>
      <c r="AK65" s="8">
        <f>SUM(AH65:AJ65)</f>
        <v>0</v>
      </c>
      <c r="AL65" s="5">
        <f t="shared" si="12"/>
        <v>5489072</v>
      </c>
      <c r="AM65" s="8">
        <v>3517795</v>
      </c>
      <c r="AN65" s="8">
        <v>1231853</v>
      </c>
      <c r="AO65" s="8">
        <v>802121</v>
      </c>
      <c r="AP65" s="8">
        <f>SUM(AM65:AO65)</f>
        <v>5551769</v>
      </c>
      <c r="AQ65" s="8">
        <v>0</v>
      </c>
      <c r="AR65" s="8">
        <v>0</v>
      </c>
      <c r="AS65" s="8">
        <v>0</v>
      </c>
      <c r="AT65" s="8">
        <f>SUM(AQ65:AS65)</f>
        <v>0</v>
      </c>
      <c r="AU65" s="5">
        <f t="shared" si="14"/>
        <v>5551769</v>
      </c>
      <c r="AV65" s="8">
        <v>3517795</v>
      </c>
      <c r="AW65" s="8">
        <v>1254011</v>
      </c>
      <c r="AX65" s="8">
        <v>751912</v>
      </c>
      <c r="AY65" s="8">
        <f>SUM(AV65:AX65)</f>
        <v>5523718</v>
      </c>
      <c r="AZ65" s="8">
        <v>0</v>
      </c>
      <c r="BA65" s="8">
        <v>0</v>
      </c>
      <c r="BB65" s="8">
        <v>0</v>
      </c>
      <c r="BC65" s="8">
        <f>SUM(AZ65:BB65)</f>
        <v>0</v>
      </c>
      <c r="BD65" s="5">
        <f t="shared" si="7"/>
        <v>5523718</v>
      </c>
    </row>
    <row r="66" spans="1:58" ht="16" x14ac:dyDescent="0.2">
      <c r="A66" s="110" t="s">
        <v>231</v>
      </c>
      <c r="B66" s="111"/>
      <c r="C66" s="5">
        <v>670359</v>
      </c>
      <c r="D66" s="5">
        <v>764248</v>
      </c>
      <c r="E66" s="5">
        <v>3750455</v>
      </c>
      <c r="F66" s="5">
        <v>5185062</v>
      </c>
      <c r="G66" s="5">
        <v>8474243</v>
      </c>
      <c r="H66" s="5">
        <v>0</v>
      </c>
      <c r="I66" s="5">
        <v>12083500</v>
      </c>
      <c r="J66" s="5">
        <v>20557743</v>
      </c>
      <c r="K66" s="5">
        <v>25742805</v>
      </c>
      <c r="L66" s="5">
        <v>11400</v>
      </c>
      <c r="M66" s="5">
        <v>688494</v>
      </c>
      <c r="N66" s="5">
        <v>694592</v>
      </c>
      <c r="O66" s="5">
        <v>1394486</v>
      </c>
      <c r="P66" s="5">
        <v>3740000</v>
      </c>
      <c r="Q66" s="5">
        <v>0</v>
      </c>
      <c r="R66" s="5">
        <v>8000000</v>
      </c>
      <c r="S66" s="5">
        <v>11740000</v>
      </c>
      <c r="T66" s="5">
        <v>13134486</v>
      </c>
      <c r="U66" s="5">
        <v>515179</v>
      </c>
      <c r="V66" s="5">
        <v>2038464</v>
      </c>
      <c r="W66" s="5">
        <v>2467737</v>
      </c>
      <c r="X66" s="5">
        <v>5021380</v>
      </c>
      <c r="Y66" s="5">
        <v>5000000</v>
      </c>
      <c r="Z66" s="5">
        <v>2708076</v>
      </c>
      <c r="AA66" s="5">
        <v>0</v>
      </c>
      <c r="AB66" s="5">
        <v>7708076</v>
      </c>
      <c r="AC66" s="5">
        <v>12729456</v>
      </c>
      <c r="AD66" s="5">
        <v>1110180</v>
      </c>
      <c r="AE66" s="5">
        <v>1622624</v>
      </c>
      <c r="AF66" s="5">
        <v>5435693</v>
      </c>
      <c r="AG66" s="5">
        <v>8168497</v>
      </c>
      <c r="AH66" s="5">
        <v>5500000</v>
      </c>
      <c r="AI66" s="5">
        <v>4458060</v>
      </c>
      <c r="AJ66" s="5">
        <v>6125977</v>
      </c>
      <c r="AK66" s="5">
        <v>16084037</v>
      </c>
      <c r="AL66" s="5">
        <v>24252534</v>
      </c>
      <c r="AM66" s="5">
        <v>1110180</v>
      </c>
      <c r="AN66" s="5">
        <v>986451</v>
      </c>
      <c r="AO66" s="5">
        <v>5426621</v>
      </c>
      <c r="AP66" s="5">
        <v>7523252</v>
      </c>
      <c r="AQ66" s="5">
        <v>4815000</v>
      </c>
      <c r="AR66" s="5">
        <v>5192114</v>
      </c>
      <c r="AS66" s="5">
        <v>6125977</v>
      </c>
      <c r="AT66" s="5">
        <v>16133091</v>
      </c>
      <c r="AU66" s="5">
        <v>23656343</v>
      </c>
      <c r="AV66" s="5">
        <v>1110180</v>
      </c>
      <c r="AW66" s="5">
        <v>1091851</v>
      </c>
      <c r="AX66" s="5">
        <v>5570994</v>
      </c>
      <c r="AY66" s="5">
        <v>7773025</v>
      </c>
      <c r="AZ66" s="5">
        <v>4860000</v>
      </c>
      <c r="BA66" s="5">
        <v>5192114</v>
      </c>
      <c r="BB66" s="5">
        <v>6125977</v>
      </c>
      <c r="BC66" s="5">
        <v>16178091</v>
      </c>
      <c r="BD66" s="5">
        <v>23951116</v>
      </c>
    </row>
    <row r="67" spans="1:58" ht="17" x14ac:dyDescent="0.2">
      <c r="A67" s="6" t="s">
        <v>118</v>
      </c>
      <c r="B67" s="11" t="s">
        <v>237</v>
      </c>
      <c r="C67" s="8">
        <v>405359</v>
      </c>
      <c r="D67" s="8">
        <v>696248</v>
      </c>
      <c r="E67" s="8">
        <v>772455</v>
      </c>
      <c r="F67" s="8">
        <f>C67+D67+E67</f>
        <v>1874062</v>
      </c>
      <c r="G67" s="8">
        <f>600000+4674243+700000+1500000</f>
        <v>7474243</v>
      </c>
      <c r="H67" s="8">
        <v>0</v>
      </c>
      <c r="I67" s="8">
        <v>0</v>
      </c>
      <c r="J67" s="5">
        <f>I67+G67</f>
        <v>7474243</v>
      </c>
      <c r="K67" s="5">
        <f>F67+J67</f>
        <v>9348305</v>
      </c>
      <c r="L67" s="8">
        <v>11400</v>
      </c>
      <c r="M67" s="8">
        <v>688494</v>
      </c>
      <c r="N67" s="8">
        <v>0</v>
      </c>
      <c r="O67" s="8">
        <f>L67+M67+N67</f>
        <v>699894</v>
      </c>
      <c r="P67" s="8">
        <v>0</v>
      </c>
      <c r="Q67" s="8">
        <v>0</v>
      </c>
      <c r="R67" s="8">
        <v>0</v>
      </c>
      <c r="S67" s="5">
        <f>R67+P67</f>
        <v>0</v>
      </c>
      <c r="T67" s="5">
        <f t="shared" si="1"/>
        <v>699894</v>
      </c>
      <c r="U67" s="65"/>
      <c r="V67" s="65"/>
      <c r="W67" s="65"/>
      <c r="X67" s="8"/>
      <c r="Y67" s="8"/>
      <c r="Z67" s="8"/>
      <c r="AA67" s="8"/>
      <c r="AB67" s="5"/>
      <c r="AC67" s="5"/>
      <c r="AD67" s="47">
        <v>918670</v>
      </c>
      <c r="AE67" s="47">
        <f>1282455+22230</f>
        <v>1304685</v>
      </c>
      <c r="AF67" s="47">
        <v>0</v>
      </c>
      <c r="AG67" s="55">
        <f>SUM(AD67:AF67)</f>
        <v>2223355</v>
      </c>
      <c r="AH67" s="47">
        <v>0</v>
      </c>
      <c r="AI67" s="47">
        <v>0</v>
      </c>
      <c r="AJ67" s="47">
        <v>0</v>
      </c>
      <c r="AK67" s="5">
        <f>AJ67+AH67</f>
        <v>0</v>
      </c>
      <c r="AL67" s="5">
        <f t="shared" ref="AL67:AL71" si="17">AG67+AK67</f>
        <v>2223355</v>
      </c>
      <c r="AM67" s="8">
        <v>918670</v>
      </c>
      <c r="AN67" s="8">
        <v>929451</v>
      </c>
      <c r="AO67" s="8">
        <v>0</v>
      </c>
      <c r="AP67" s="8">
        <f t="shared" ref="AP67:AP71" si="18">AM67+AN67+AO67</f>
        <v>1848121</v>
      </c>
      <c r="AQ67" s="8">
        <v>0</v>
      </c>
      <c r="AR67" s="8">
        <v>0</v>
      </c>
      <c r="AS67" s="8">
        <v>0</v>
      </c>
      <c r="AT67" s="5">
        <f>AS67+AQ67</f>
        <v>0</v>
      </c>
      <c r="AU67" s="5">
        <f t="shared" ref="AU67:AU71" si="19">AP67+AT67</f>
        <v>1848121</v>
      </c>
      <c r="AV67" s="8">
        <v>918670</v>
      </c>
      <c r="AW67" s="8">
        <v>1054851</v>
      </c>
      <c r="AX67" s="8">
        <v>0</v>
      </c>
      <c r="AY67" s="8">
        <f>AV67+AW67+AX67</f>
        <v>1973521</v>
      </c>
      <c r="AZ67" s="8">
        <v>0</v>
      </c>
      <c r="BA67" s="8">
        <v>0</v>
      </c>
      <c r="BB67" s="8">
        <v>0</v>
      </c>
      <c r="BC67" s="5">
        <f t="shared" ref="BC67:BC71" si="20">AZ67+BA67+BB67</f>
        <v>0</v>
      </c>
      <c r="BD67" s="5">
        <f t="shared" si="7"/>
        <v>1973521</v>
      </c>
    </row>
    <row r="68" spans="1:58" ht="17" x14ac:dyDescent="0.2">
      <c r="A68" s="6" t="s">
        <v>119</v>
      </c>
      <c r="B68" s="11" t="s">
        <v>244</v>
      </c>
      <c r="C68" s="8">
        <v>145000</v>
      </c>
      <c r="D68" s="8">
        <v>18000</v>
      </c>
      <c r="E68" s="8">
        <v>2935000</v>
      </c>
      <c r="F68" s="8">
        <f>C68+D68+E68</f>
        <v>3098000</v>
      </c>
      <c r="G68" s="8"/>
      <c r="H68" s="8"/>
      <c r="I68" s="8">
        <v>12083500</v>
      </c>
      <c r="J68" s="5">
        <f>I68+G68</f>
        <v>12083500</v>
      </c>
      <c r="K68" s="5">
        <f>F68+J68</f>
        <v>15181500</v>
      </c>
      <c r="L68" s="8">
        <v>0</v>
      </c>
      <c r="M68" s="8">
        <v>0</v>
      </c>
      <c r="N68" s="8">
        <v>694592</v>
      </c>
      <c r="O68" s="8">
        <f>L68+M68+N68</f>
        <v>694592</v>
      </c>
      <c r="P68" s="8">
        <v>3740000</v>
      </c>
      <c r="Q68" s="8"/>
      <c r="R68" s="8">
        <v>8000000</v>
      </c>
      <c r="S68" s="5">
        <f>R68+P68</f>
        <v>11740000</v>
      </c>
      <c r="T68" s="5">
        <f t="shared" si="1"/>
        <v>12434592</v>
      </c>
      <c r="U68" s="8"/>
      <c r="V68" s="8"/>
      <c r="W68" s="8"/>
      <c r="X68" s="8"/>
      <c r="Y68" s="8"/>
      <c r="Z68" s="8"/>
      <c r="AA68" s="8"/>
      <c r="AB68" s="5"/>
      <c r="AC68" s="5"/>
      <c r="AD68" s="49">
        <v>0</v>
      </c>
      <c r="AE68" s="49">
        <v>0</v>
      </c>
      <c r="AF68" s="49">
        <v>0</v>
      </c>
      <c r="AG68" s="52">
        <f>SUM(AD68:AF68)</f>
        <v>0</v>
      </c>
      <c r="AH68" s="49">
        <v>659000</v>
      </c>
      <c r="AI68" s="49">
        <v>0</v>
      </c>
      <c r="AJ68" s="49">
        <v>0</v>
      </c>
      <c r="AK68" s="5">
        <f>AJ68+AH68</f>
        <v>659000</v>
      </c>
      <c r="AL68" s="5">
        <f t="shared" si="17"/>
        <v>659000</v>
      </c>
      <c r="AM68" s="8">
        <v>0</v>
      </c>
      <c r="AN68" s="8">
        <v>0</v>
      </c>
      <c r="AO68" s="8">
        <v>0</v>
      </c>
      <c r="AP68" s="8">
        <f t="shared" si="18"/>
        <v>0</v>
      </c>
      <c r="AQ68" s="8">
        <v>1000000</v>
      </c>
      <c r="AR68" s="49">
        <v>0</v>
      </c>
      <c r="AS68" s="49">
        <v>0</v>
      </c>
      <c r="AT68" s="5">
        <f>AS68+AQ68</f>
        <v>1000000</v>
      </c>
      <c r="AU68" s="5">
        <f t="shared" si="19"/>
        <v>1000000</v>
      </c>
      <c r="AV68" s="8">
        <v>0</v>
      </c>
      <c r="AW68" s="8">
        <v>0</v>
      </c>
      <c r="AX68" s="8">
        <v>0</v>
      </c>
      <c r="AY68" s="8">
        <f>AV68+AW68+AX68</f>
        <v>0</v>
      </c>
      <c r="AZ68" s="8">
        <v>1000000</v>
      </c>
      <c r="BA68" s="49">
        <v>0</v>
      </c>
      <c r="BB68" s="49">
        <v>0</v>
      </c>
      <c r="BC68" s="5">
        <f t="shared" si="20"/>
        <v>1000000</v>
      </c>
      <c r="BD68" s="5">
        <f t="shared" si="7"/>
        <v>1000000</v>
      </c>
    </row>
    <row r="69" spans="1:58" ht="34" x14ac:dyDescent="0.2">
      <c r="A69" s="35"/>
      <c r="B69" s="21" t="s">
        <v>245</v>
      </c>
      <c r="C69" s="36">
        <v>0</v>
      </c>
      <c r="D69" s="37"/>
      <c r="E69" s="36"/>
      <c r="F69" s="37"/>
      <c r="G69" s="36"/>
      <c r="H69" s="37"/>
      <c r="I69" s="36"/>
      <c r="J69" s="38"/>
      <c r="K69" s="38"/>
      <c r="L69" s="37"/>
      <c r="M69" s="37"/>
      <c r="N69" s="37"/>
      <c r="O69" s="37"/>
      <c r="P69" s="37"/>
      <c r="Q69" s="37"/>
      <c r="R69" s="37"/>
      <c r="S69" s="38"/>
      <c r="T69" s="5">
        <f t="shared" si="1"/>
        <v>0</v>
      </c>
      <c r="U69" s="37"/>
      <c r="V69" s="37"/>
      <c r="W69" s="68"/>
      <c r="X69" s="8"/>
      <c r="Y69" s="37"/>
      <c r="Z69" s="37"/>
      <c r="AA69" s="37"/>
      <c r="AB69" s="5"/>
      <c r="AC69" s="5"/>
      <c r="AD69" s="49">
        <v>22832</v>
      </c>
      <c r="AE69" s="49">
        <v>32000</v>
      </c>
      <c r="AF69" s="49">
        <v>0</v>
      </c>
      <c r="AG69" s="52">
        <f>SUM(AD69:AF69)</f>
        <v>54832</v>
      </c>
      <c r="AH69" s="49">
        <v>2426000</v>
      </c>
      <c r="AI69" s="49">
        <v>4458060</v>
      </c>
      <c r="AJ69" s="49">
        <v>0</v>
      </c>
      <c r="AK69" s="5">
        <f>AH69+AI69+AJ69</f>
        <v>6884060</v>
      </c>
      <c r="AL69" s="5">
        <f t="shared" si="17"/>
        <v>6938892</v>
      </c>
      <c r="AM69" s="8">
        <v>22832</v>
      </c>
      <c r="AN69" s="8">
        <v>22000</v>
      </c>
      <c r="AO69" s="8">
        <v>0</v>
      </c>
      <c r="AP69" s="8">
        <f t="shared" si="18"/>
        <v>44832</v>
      </c>
      <c r="AQ69" s="49">
        <v>1915000</v>
      </c>
      <c r="AR69" s="49">
        <v>5192114</v>
      </c>
      <c r="AS69" s="49">
        <v>0</v>
      </c>
      <c r="AT69" s="5">
        <f>AS69+AQ69</f>
        <v>1915000</v>
      </c>
      <c r="AU69" s="5">
        <f t="shared" si="19"/>
        <v>1959832</v>
      </c>
      <c r="AV69" s="8">
        <v>22832</v>
      </c>
      <c r="AW69" s="8">
        <v>22000</v>
      </c>
      <c r="AX69" s="8">
        <v>0</v>
      </c>
      <c r="AY69" s="8">
        <f>AV69+AW69+AX69</f>
        <v>44832</v>
      </c>
      <c r="AZ69" s="49">
        <v>1960000</v>
      </c>
      <c r="BA69" s="49">
        <v>5192114</v>
      </c>
      <c r="BB69" s="49">
        <v>0</v>
      </c>
      <c r="BC69" s="5">
        <f t="shared" si="20"/>
        <v>7152114</v>
      </c>
      <c r="BD69" s="5">
        <f t="shared" si="7"/>
        <v>7196946</v>
      </c>
    </row>
    <row r="70" spans="1:58" ht="17" x14ac:dyDescent="0.2">
      <c r="A70" s="35"/>
      <c r="B70" s="21" t="s">
        <v>249</v>
      </c>
      <c r="C70" s="36">
        <v>0</v>
      </c>
      <c r="D70" s="37"/>
      <c r="E70" s="36"/>
      <c r="F70" s="37"/>
      <c r="G70" s="36"/>
      <c r="H70" s="37"/>
      <c r="I70" s="36"/>
      <c r="J70" s="38"/>
      <c r="K70" s="38"/>
      <c r="L70" s="37"/>
      <c r="M70" s="37"/>
      <c r="N70" s="37"/>
      <c r="O70" s="37"/>
      <c r="P70" s="37"/>
      <c r="Q70" s="37"/>
      <c r="R70" s="37"/>
      <c r="S70" s="38"/>
      <c r="T70" s="5"/>
      <c r="U70" s="37"/>
      <c r="V70" s="37"/>
      <c r="W70" s="37"/>
      <c r="X70" s="8"/>
      <c r="Y70" s="37"/>
      <c r="Z70" s="42"/>
      <c r="AA70" s="37"/>
      <c r="AB70" s="5"/>
      <c r="AC70" s="5"/>
      <c r="AD70" s="57">
        <v>103821</v>
      </c>
      <c r="AE70" s="57">
        <v>265939</v>
      </c>
      <c r="AF70" s="57">
        <v>4365693</v>
      </c>
      <c r="AG70" s="54">
        <f>SUM(AD70:AF70)</f>
        <v>4735453</v>
      </c>
      <c r="AH70" s="57">
        <v>1787000</v>
      </c>
      <c r="AI70" s="57">
        <v>0</v>
      </c>
      <c r="AJ70" s="57">
        <v>3000000</v>
      </c>
      <c r="AK70" s="5">
        <f>AJ70+AH70</f>
        <v>4787000</v>
      </c>
      <c r="AL70" s="5">
        <f t="shared" si="17"/>
        <v>9522453</v>
      </c>
      <c r="AM70" s="8">
        <v>103821</v>
      </c>
      <c r="AN70" s="8">
        <v>15000</v>
      </c>
      <c r="AO70" s="8">
        <v>4616632</v>
      </c>
      <c r="AP70" s="8"/>
      <c r="AQ70" s="8">
        <v>1300000</v>
      </c>
      <c r="AR70" s="57">
        <v>0</v>
      </c>
      <c r="AS70" s="57">
        <v>3000000</v>
      </c>
      <c r="AT70" s="5">
        <f>AS70+AQ70</f>
        <v>4300000</v>
      </c>
      <c r="AU70" s="5">
        <f t="shared" si="19"/>
        <v>4300000</v>
      </c>
      <c r="AV70" s="8">
        <v>103821</v>
      </c>
      <c r="AW70" s="8">
        <v>15000</v>
      </c>
      <c r="AX70" s="8">
        <v>4616632</v>
      </c>
      <c r="AY70" s="8"/>
      <c r="AZ70" s="8">
        <v>1300000</v>
      </c>
      <c r="BA70" s="57">
        <v>0</v>
      </c>
      <c r="BB70" s="57">
        <v>3000000</v>
      </c>
      <c r="BC70" s="5">
        <f t="shared" si="20"/>
        <v>4300000</v>
      </c>
      <c r="BD70" s="38"/>
    </row>
    <row r="71" spans="1:58" ht="17" x14ac:dyDescent="0.2">
      <c r="A71" s="35"/>
      <c r="B71" s="21" t="s">
        <v>246</v>
      </c>
      <c r="C71" s="36">
        <v>0</v>
      </c>
      <c r="D71" s="37"/>
      <c r="E71" s="36"/>
      <c r="F71" s="37"/>
      <c r="G71" s="36"/>
      <c r="H71" s="37"/>
      <c r="I71" s="36"/>
      <c r="J71" s="38"/>
      <c r="K71" s="38"/>
      <c r="L71" s="37"/>
      <c r="M71" s="37"/>
      <c r="N71" s="37"/>
      <c r="O71" s="37"/>
      <c r="P71" s="37"/>
      <c r="Q71" s="37"/>
      <c r="R71" s="37"/>
      <c r="S71" s="38"/>
      <c r="T71" s="5">
        <f t="shared" si="1"/>
        <v>0</v>
      </c>
      <c r="U71" s="37"/>
      <c r="V71" s="37"/>
      <c r="W71" s="37"/>
      <c r="X71" s="8"/>
      <c r="Y71" s="37"/>
      <c r="Z71" s="69"/>
      <c r="AA71" s="37"/>
      <c r="AB71" s="5"/>
      <c r="AC71" s="5"/>
      <c r="AD71" s="49">
        <v>64857</v>
      </c>
      <c r="AE71" s="49">
        <v>20000</v>
      </c>
      <c r="AF71" s="49">
        <v>1070000</v>
      </c>
      <c r="AG71" s="52">
        <f>SUM(AD71:AF71)</f>
        <v>1154857</v>
      </c>
      <c r="AH71" s="49">
        <v>628000</v>
      </c>
      <c r="AI71" s="49">
        <v>0</v>
      </c>
      <c r="AJ71" s="49">
        <v>3125977</v>
      </c>
      <c r="AK71" s="38">
        <f>AH71+AI71+AJ71</f>
        <v>3753977</v>
      </c>
      <c r="AL71" s="5">
        <f t="shared" si="17"/>
        <v>4908834</v>
      </c>
      <c r="AM71" s="8">
        <v>64857</v>
      </c>
      <c r="AN71" s="8">
        <v>20000</v>
      </c>
      <c r="AO71" s="8">
        <v>809989</v>
      </c>
      <c r="AP71" s="8">
        <f t="shared" si="18"/>
        <v>894846</v>
      </c>
      <c r="AQ71" s="8">
        <v>600000</v>
      </c>
      <c r="AR71" s="49">
        <v>0</v>
      </c>
      <c r="AS71" s="49">
        <v>3125977</v>
      </c>
      <c r="AT71" s="38">
        <f>AQ71+AR71+AS71</f>
        <v>3725977</v>
      </c>
      <c r="AU71" s="38">
        <f t="shared" si="19"/>
        <v>4620823</v>
      </c>
      <c r="AV71" s="8">
        <v>64857</v>
      </c>
      <c r="AW71" s="37">
        <v>0</v>
      </c>
      <c r="AX71" s="8">
        <v>954362</v>
      </c>
      <c r="AY71" s="8">
        <f>AV71+AW71+AX71</f>
        <v>1019219</v>
      </c>
      <c r="AZ71" s="8">
        <v>600000</v>
      </c>
      <c r="BA71" s="49">
        <v>0</v>
      </c>
      <c r="BB71" s="49">
        <v>3125977</v>
      </c>
      <c r="BC71" s="5">
        <f t="shared" si="20"/>
        <v>3725977</v>
      </c>
      <c r="BD71" s="38">
        <f>AY71+BC71</f>
        <v>4745196</v>
      </c>
    </row>
    <row r="72" spans="1:58" ht="16" x14ac:dyDescent="0.2">
      <c r="A72" s="110" t="s">
        <v>236</v>
      </c>
      <c r="B72" s="111"/>
      <c r="C72" s="44">
        <v>0</v>
      </c>
      <c r="D72" s="45"/>
      <c r="E72" s="44"/>
      <c r="F72" s="45"/>
      <c r="G72" s="44"/>
      <c r="H72" s="45"/>
      <c r="I72" s="44"/>
      <c r="J72" s="45"/>
      <c r="K72" s="45"/>
      <c r="L72" s="29">
        <v>887700</v>
      </c>
      <c r="M72" s="29">
        <v>509580</v>
      </c>
      <c r="N72" s="29">
        <v>3849895</v>
      </c>
      <c r="O72" s="29">
        <v>5247175</v>
      </c>
      <c r="P72" s="29">
        <v>0</v>
      </c>
      <c r="Q72" s="29">
        <v>0</v>
      </c>
      <c r="R72" s="29">
        <v>0</v>
      </c>
      <c r="S72" s="29">
        <v>0</v>
      </c>
      <c r="T72" s="5">
        <v>5247175</v>
      </c>
      <c r="U72" s="29">
        <v>892293</v>
      </c>
      <c r="V72" s="29">
        <v>287359</v>
      </c>
      <c r="W72" s="29">
        <v>1701713</v>
      </c>
      <c r="X72" s="29">
        <v>2881365</v>
      </c>
      <c r="Y72" s="29">
        <v>88968</v>
      </c>
      <c r="Z72" s="29">
        <v>0</v>
      </c>
      <c r="AA72" s="29">
        <v>0</v>
      </c>
      <c r="AB72" s="29">
        <v>88968</v>
      </c>
      <c r="AC72" s="5">
        <v>2970333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29">
        <v>0</v>
      </c>
      <c r="AV72" s="29">
        <v>0</v>
      </c>
      <c r="AW72" s="29">
        <v>0</v>
      </c>
      <c r="AX72" s="29">
        <v>0</v>
      </c>
      <c r="AY72" s="29">
        <v>0</v>
      </c>
      <c r="AZ72" s="29">
        <v>0</v>
      </c>
      <c r="BA72" s="29">
        <v>0</v>
      </c>
      <c r="BB72" s="29">
        <v>0</v>
      </c>
      <c r="BC72" s="29">
        <v>0</v>
      </c>
      <c r="BD72" s="29">
        <v>0</v>
      </c>
    </row>
    <row r="73" spans="1:58" ht="17" x14ac:dyDescent="0.2">
      <c r="A73" s="28" t="s">
        <v>118</v>
      </c>
      <c r="B73" s="11" t="s">
        <v>238</v>
      </c>
      <c r="C73" s="8">
        <v>0</v>
      </c>
      <c r="D73" s="8"/>
      <c r="E73" s="8"/>
      <c r="F73" s="8"/>
      <c r="G73" s="8"/>
      <c r="H73" s="8"/>
      <c r="I73" s="8"/>
      <c r="J73" s="5"/>
      <c r="K73" s="5"/>
      <c r="L73" s="8">
        <v>751212</v>
      </c>
      <c r="M73" s="8">
        <v>278412</v>
      </c>
      <c r="N73" s="8">
        <v>283404</v>
      </c>
      <c r="O73" s="29">
        <f>L73+M73+N73</f>
        <v>1313028</v>
      </c>
      <c r="P73" s="8"/>
      <c r="Q73" s="8"/>
      <c r="R73" s="8"/>
      <c r="S73" s="29">
        <f>P73+Q73+R73</f>
        <v>0</v>
      </c>
      <c r="T73" s="5">
        <f t="shared" si="1"/>
        <v>1313028</v>
      </c>
      <c r="U73" s="65"/>
      <c r="V73" s="65"/>
      <c r="W73" s="65"/>
      <c r="X73" s="29"/>
      <c r="Y73" s="8"/>
      <c r="Z73" s="8"/>
      <c r="AA73" s="8"/>
      <c r="AB73" s="29"/>
      <c r="AC73" s="5"/>
      <c r="AD73" s="8">
        <v>0</v>
      </c>
      <c r="AE73" s="8">
        <v>0</v>
      </c>
      <c r="AF73" s="8">
        <v>0</v>
      </c>
      <c r="AG73" s="29">
        <v>0</v>
      </c>
      <c r="AH73" s="8">
        <v>0</v>
      </c>
      <c r="AI73" s="8">
        <v>0</v>
      </c>
      <c r="AJ73" s="8">
        <v>0</v>
      </c>
      <c r="AK73" s="5">
        <v>0</v>
      </c>
      <c r="AL73" s="29">
        <v>0</v>
      </c>
      <c r="AM73" s="8">
        <v>0</v>
      </c>
      <c r="AN73" s="8">
        <v>0</v>
      </c>
      <c r="AO73" s="8">
        <v>0</v>
      </c>
      <c r="AP73" s="29">
        <v>0</v>
      </c>
      <c r="AQ73" s="8">
        <v>0</v>
      </c>
      <c r="AR73" s="8">
        <v>0</v>
      </c>
      <c r="AS73" s="8">
        <v>0</v>
      </c>
      <c r="AT73" s="5">
        <v>0</v>
      </c>
      <c r="AU73" s="29">
        <v>0</v>
      </c>
      <c r="AV73" s="8">
        <v>0</v>
      </c>
      <c r="AW73" s="8">
        <v>0</v>
      </c>
      <c r="AX73" s="8">
        <v>0</v>
      </c>
      <c r="AY73" s="29">
        <v>0</v>
      </c>
      <c r="AZ73" s="8">
        <v>0</v>
      </c>
      <c r="BA73" s="8"/>
      <c r="BB73" s="8">
        <v>0</v>
      </c>
      <c r="BC73" s="5"/>
      <c r="BD73" s="29">
        <f>AY73+BC73</f>
        <v>0</v>
      </c>
    </row>
    <row r="74" spans="1:58" ht="17" x14ac:dyDescent="0.2">
      <c r="A74" s="9" t="s">
        <v>120</v>
      </c>
      <c r="B74" s="11" t="s">
        <v>239</v>
      </c>
      <c r="C74" s="8">
        <v>120000</v>
      </c>
      <c r="D74" s="8">
        <v>50000</v>
      </c>
      <c r="E74" s="8">
        <v>43000</v>
      </c>
      <c r="F74" s="8">
        <f>C74+D74+E74</f>
        <v>213000</v>
      </c>
      <c r="G74" s="8">
        <f>1000000</f>
        <v>1000000</v>
      </c>
      <c r="H74" s="8"/>
      <c r="I74" s="8"/>
      <c r="J74" s="5">
        <f>I74+G74</f>
        <v>1000000</v>
      </c>
      <c r="K74" s="5">
        <f t="shared" ref="K74:K118" si="21">F74+J74</f>
        <v>1213000</v>
      </c>
      <c r="L74" s="8">
        <f>16021+35035+22158+63274</f>
        <v>136488</v>
      </c>
      <c r="M74" s="8">
        <v>231168</v>
      </c>
      <c r="N74" s="8">
        <v>3566491</v>
      </c>
      <c r="O74" s="29">
        <f>L74+M74+N74</f>
        <v>3934147</v>
      </c>
      <c r="P74" s="8">
        <v>0</v>
      </c>
      <c r="Q74" s="8"/>
      <c r="R74" s="8"/>
      <c r="S74" s="29">
        <f>P74+Q74+R74</f>
        <v>0</v>
      </c>
      <c r="T74" s="5">
        <f t="shared" si="1"/>
        <v>3934147</v>
      </c>
      <c r="U74" s="8"/>
      <c r="V74" s="65"/>
      <c r="W74" s="65"/>
      <c r="X74" s="29"/>
      <c r="Y74" s="65"/>
      <c r="Z74" s="8"/>
      <c r="AA74" s="8"/>
      <c r="AB74" s="29"/>
      <c r="AC74" s="5"/>
      <c r="AD74" s="8">
        <v>0</v>
      </c>
      <c r="AE74" s="8">
        <v>0</v>
      </c>
      <c r="AF74" s="8">
        <v>0</v>
      </c>
      <c r="AG74" s="29">
        <v>0</v>
      </c>
      <c r="AH74" s="8">
        <v>0</v>
      </c>
      <c r="AI74" s="8"/>
      <c r="AJ74" s="8"/>
      <c r="AK74" s="5">
        <v>0</v>
      </c>
      <c r="AL74" s="29">
        <v>0</v>
      </c>
      <c r="AM74" s="8">
        <v>0</v>
      </c>
      <c r="AN74" s="8">
        <v>0</v>
      </c>
      <c r="AO74" s="8">
        <v>0</v>
      </c>
      <c r="AP74" s="29">
        <v>0</v>
      </c>
      <c r="AQ74" s="8">
        <v>0</v>
      </c>
      <c r="AR74" s="8"/>
      <c r="AS74" s="8"/>
      <c r="AT74" s="5">
        <v>0</v>
      </c>
      <c r="AU74" s="29">
        <v>0</v>
      </c>
      <c r="AV74" s="8">
        <v>0</v>
      </c>
      <c r="AW74" s="8">
        <v>0</v>
      </c>
      <c r="AX74" s="8">
        <v>0</v>
      </c>
      <c r="AY74" s="29">
        <v>0</v>
      </c>
      <c r="AZ74" s="8">
        <v>0</v>
      </c>
      <c r="BA74" s="8">
        <v>0</v>
      </c>
      <c r="BB74" s="8">
        <v>0</v>
      </c>
      <c r="BC74" s="5">
        <v>0</v>
      </c>
      <c r="BD74" s="29">
        <v>0</v>
      </c>
    </row>
    <row r="75" spans="1:58" ht="16" x14ac:dyDescent="0.2">
      <c r="A75" s="110" t="s">
        <v>121</v>
      </c>
      <c r="B75" s="111"/>
      <c r="C75" s="5">
        <v>897924</v>
      </c>
      <c r="D75" s="5">
        <v>1010740</v>
      </c>
      <c r="E75" s="5">
        <v>1623220</v>
      </c>
      <c r="F75" s="5">
        <v>3531884</v>
      </c>
      <c r="G75" s="5">
        <v>31562336</v>
      </c>
      <c r="H75" s="5">
        <v>1100000</v>
      </c>
      <c r="I75" s="5">
        <v>27037273</v>
      </c>
      <c r="J75" s="5">
        <v>59699609</v>
      </c>
      <c r="K75" s="5">
        <v>63231493</v>
      </c>
      <c r="L75" s="5">
        <v>1064900</v>
      </c>
      <c r="M75" s="5">
        <v>1438918</v>
      </c>
      <c r="N75" s="5">
        <v>1589225</v>
      </c>
      <c r="O75" s="5">
        <v>4093043</v>
      </c>
      <c r="P75" s="5">
        <v>73335000</v>
      </c>
      <c r="Q75" s="5">
        <v>0</v>
      </c>
      <c r="R75" s="5">
        <v>26100000</v>
      </c>
      <c r="S75" s="5">
        <v>99435000</v>
      </c>
      <c r="T75" s="5">
        <v>103528043</v>
      </c>
      <c r="U75" s="5">
        <v>1078696</v>
      </c>
      <c r="V75" s="5">
        <v>2030095</v>
      </c>
      <c r="W75" s="5">
        <v>673500</v>
      </c>
      <c r="X75" s="5">
        <v>3782291</v>
      </c>
      <c r="Y75" s="5">
        <v>84030346</v>
      </c>
      <c r="Z75" s="5">
        <v>18119703</v>
      </c>
      <c r="AA75" s="5">
        <v>40838765</v>
      </c>
      <c r="AB75" s="5">
        <v>142988814</v>
      </c>
      <c r="AC75" s="5">
        <v>146771105</v>
      </c>
      <c r="AD75" s="5">
        <v>1159959</v>
      </c>
      <c r="AE75" s="5">
        <v>2259894</v>
      </c>
      <c r="AF75" s="5">
        <v>443700</v>
      </c>
      <c r="AG75" s="5">
        <v>3863553</v>
      </c>
      <c r="AH75" s="5">
        <v>109190754</v>
      </c>
      <c r="AI75" s="5">
        <v>3806380</v>
      </c>
      <c r="AJ75" s="5">
        <v>38838765</v>
      </c>
      <c r="AK75" s="5">
        <v>151835899</v>
      </c>
      <c r="AL75" s="5">
        <v>155699452</v>
      </c>
      <c r="AM75" s="5">
        <v>1159958</v>
      </c>
      <c r="AN75" s="5">
        <v>1490904</v>
      </c>
      <c r="AO75" s="5">
        <v>745255</v>
      </c>
      <c r="AP75" s="5">
        <v>3396117</v>
      </c>
      <c r="AQ75" s="5">
        <v>120109829</v>
      </c>
      <c r="AR75" s="5">
        <v>3806380</v>
      </c>
      <c r="AS75" s="5">
        <v>12719942</v>
      </c>
      <c r="AT75" s="5">
        <v>136636151</v>
      </c>
      <c r="AU75" s="5">
        <v>140032268</v>
      </c>
      <c r="AV75" s="5">
        <v>1159958</v>
      </c>
      <c r="AW75" s="5">
        <v>1716027</v>
      </c>
      <c r="AX75" s="5">
        <v>652851</v>
      </c>
      <c r="AY75" s="5">
        <v>3528836</v>
      </c>
      <c r="AZ75" s="5">
        <v>127316418</v>
      </c>
      <c r="BA75" s="5">
        <v>3806380</v>
      </c>
      <c r="BB75" s="5">
        <v>12719942</v>
      </c>
      <c r="BC75" s="5">
        <v>143842740</v>
      </c>
      <c r="BD75" s="5">
        <v>147371576</v>
      </c>
    </row>
    <row r="76" spans="1:58" ht="17" x14ac:dyDescent="0.2">
      <c r="A76" s="6" t="s">
        <v>122</v>
      </c>
      <c r="B76" s="11" t="s">
        <v>123</v>
      </c>
      <c r="C76" s="8">
        <v>330701</v>
      </c>
      <c r="D76" s="8">
        <v>847740</v>
      </c>
      <c r="E76" s="8">
        <v>324220</v>
      </c>
      <c r="F76" s="8">
        <f>SUM(C76:E76)</f>
        <v>1502661</v>
      </c>
      <c r="G76" s="8">
        <f>2434000+1000000+110000</f>
        <v>3544000</v>
      </c>
      <c r="H76" s="8"/>
      <c r="I76" s="8"/>
      <c r="J76" s="8">
        <f>SUM(G76:I76)</f>
        <v>3544000</v>
      </c>
      <c r="K76" s="5">
        <f t="shared" si="21"/>
        <v>5046661</v>
      </c>
      <c r="L76" s="8">
        <v>407594</v>
      </c>
      <c r="M76" s="8">
        <v>854918</v>
      </c>
      <c r="N76" s="8">
        <v>989225</v>
      </c>
      <c r="O76" s="8">
        <f>SUM(L76:N76)</f>
        <v>2251737</v>
      </c>
      <c r="P76" s="8">
        <v>0</v>
      </c>
      <c r="Q76" s="8"/>
      <c r="R76" s="8"/>
      <c r="S76" s="8">
        <f>SUM(P76:R76)</f>
        <v>0</v>
      </c>
      <c r="T76" s="5">
        <f t="shared" si="1"/>
        <v>2251737</v>
      </c>
      <c r="U76" s="8"/>
      <c r="V76" s="8"/>
      <c r="W76" s="8"/>
      <c r="X76" s="8"/>
      <c r="Y76" s="8"/>
      <c r="Z76" s="8"/>
      <c r="AA76" s="8"/>
      <c r="AB76" s="8"/>
      <c r="AC76" s="5"/>
      <c r="AD76" s="47">
        <v>383563</v>
      </c>
      <c r="AE76" s="47">
        <v>1686472</v>
      </c>
      <c r="AF76" s="47">
        <v>112200</v>
      </c>
      <c r="AG76" s="55">
        <f>SUM(AD76:AF76)</f>
        <v>2182235</v>
      </c>
      <c r="AH76" s="47">
        <v>0</v>
      </c>
      <c r="AI76" s="47">
        <v>0</v>
      </c>
      <c r="AJ76" s="47">
        <v>0</v>
      </c>
      <c r="AK76" s="8">
        <f>SUM(AH76:AJ76)</f>
        <v>0</v>
      </c>
      <c r="AL76" s="5">
        <f t="shared" ref="AL76:AL88" si="22">AG76+AK76</f>
        <v>2182235</v>
      </c>
      <c r="AM76" s="8">
        <v>383562</v>
      </c>
      <c r="AN76" s="8">
        <v>1017482</v>
      </c>
      <c r="AO76" s="8">
        <v>193755</v>
      </c>
      <c r="AP76" s="8">
        <f>SUM(AM76:AO76)</f>
        <v>1594799</v>
      </c>
      <c r="AQ76" s="8">
        <v>0</v>
      </c>
      <c r="AR76" s="8"/>
      <c r="AS76" s="8"/>
      <c r="AT76" s="8">
        <f>SUM(AQ76:AS76)</f>
        <v>0</v>
      </c>
      <c r="AU76" s="5">
        <f t="shared" ref="AU76:AU90" si="23">AP76+AT76</f>
        <v>1594799</v>
      </c>
      <c r="AV76" s="8">
        <v>383562</v>
      </c>
      <c r="AW76" s="8">
        <v>1242605</v>
      </c>
      <c r="AX76" s="8">
        <v>151351</v>
      </c>
      <c r="AY76" s="8">
        <f>SUM(AV76:AX76)</f>
        <v>1777518</v>
      </c>
      <c r="AZ76" s="8">
        <v>0</v>
      </c>
      <c r="BA76" s="8"/>
      <c r="BB76" s="8"/>
      <c r="BC76" s="8">
        <f>SUM(AZ76:BB76)</f>
        <v>0</v>
      </c>
      <c r="BD76" s="5">
        <f t="shared" si="7"/>
        <v>1777518</v>
      </c>
    </row>
    <row r="77" spans="1:58" ht="34" x14ac:dyDescent="0.2">
      <c r="A77" s="6" t="s">
        <v>124</v>
      </c>
      <c r="B77" s="13" t="s">
        <v>125</v>
      </c>
      <c r="C77" s="8">
        <v>372615</v>
      </c>
      <c r="D77" s="8">
        <v>138000</v>
      </c>
      <c r="E77" s="8">
        <v>1149500</v>
      </c>
      <c r="F77" s="8">
        <f>SUM(C77:E77)</f>
        <v>1660115</v>
      </c>
      <c r="G77" s="8">
        <f>2975000+250000+249250+1000000</f>
        <v>4474250</v>
      </c>
      <c r="H77" s="8">
        <v>600000</v>
      </c>
      <c r="I77" s="8">
        <f>4500000+50000+2500000+7417375+350000</f>
        <v>14817375</v>
      </c>
      <c r="J77" s="8">
        <f>SUM(G77:I77)</f>
        <v>19891625</v>
      </c>
      <c r="K77" s="5">
        <f t="shared" si="21"/>
        <v>21551740</v>
      </c>
      <c r="L77" s="8">
        <v>416889</v>
      </c>
      <c r="M77" s="8">
        <v>413000</v>
      </c>
      <c r="N77" s="8">
        <v>500000</v>
      </c>
      <c r="O77" s="8">
        <f>SUM(L77:N77)</f>
        <v>1329889</v>
      </c>
      <c r="P77" s="8">
        <v>68335000</v>
      </c>
      <c r="Q77" s="8">
        <v>0</v>
      </c>
      <c r="R77" s="8">
        <v>15686214</v>
      </c>
      <c r="S77" s="8">
        <f>SUM(P77:R77)</f>
        <v>84021214</v>
      </c>
      <c r="T77" s="5">
        <f t="shared" ref="T77:T121" si="24">O77+S77</f>
        <v>85351103</v>
      </c>
      <c r="U77" s="8"/>
      <c r="V77" s="8"/>
      <c r="W77" s="8"/>
      <c r="X77" s="8"/>
      <c r="Y77" s="65"/>
      <c r="Z77" s="65"/>
      <c r="AA77" s="65"/>
      <c r="AB77" s="8"/>
      <c r="AC77" s="5"/>
      <c r="AD77" s="49">
        <v>500372</v>
      </c>
      <c r="AE77" s="49">
        <v>494591</v>
      </c>
      <c r="AF77" s="49">
        <v>34500</v>
      </c>
      <c r="AG77" s="52">
        <f>SUM(AD77:AF77)</f>
        <v>1029463</v>
      </c>
      <c r="AH77" s="49">
        <f>10793760+97396994</f>
        <v>108190754</v>
      </c>
      <c r="AI77" s="49">
        <v>3806380</v>
      </c>
      <c r="AJ77" s="49">
        <v>38838765</v>
      </c>
      <c r="AK77" s="8">
        <f>SUM(AH77:AJ77)</f>
        <v>150835899</v>
      </c>
      <c r="AL77" s="5">
        <f t="shared" si="22"/>
        <v>151865362</v>
      </c>
      <c r="AM77" s="8">
        <v>500372</v>
      </c>
      <c r="AN77" s="8">
        <v>394591</v>
      </c>
      <c r="AO77" s="8">
        <v>134500</v>
      </c>
      <c r="AP77" s="8">
        <f>SUM(AM77:AO77)</f>
        <v>1029463</v>
      </c>
      <c r="AQ77" s="8">
        <v>116109829</v>
      </c>
      <c r="AR77" s="8">
        <v>3806380</v>
      </c>
      <c r="AS77" s="8">
        <v>8719942</v>
      </c>
      <c r="AT77" s="8">
        <f>SUM(AQ77:AS77)</f>
        <v>128636151</v>
      </c>
      <c r="AU77" s="5">
        <f t="shared" si="23"/>
        <v>129665614</v>
      </c>
      <c r="AV77" s="8">
        <v>500372</v>
      </c>
      <c r="AW77" s="8">
        <v>394591</v>
      </c>
      <c r="AX77" s="8">
        <v>134500</v>
      </c>
      <c r="AY77" s="8">
        <f>SUM(AV77:AX77)</f>
        <v>1029463</v>
      </c>
      <c r="AZ77" s="8">
        <v>123316418</v>
      </c>
      <c r="BA77" s="8">
        <v>3806380</v>
      </c>
      <c r="BB77" s="8">
        <v>8719942</v>
      </c>
      <c r="BC77" s="8">
        <f>SUM(AZ77:BB77)</f>
        <v>135842740</v>
      </c>
      <c r="BD77" s="5">
        <f t="shared" ref="BD77:BD144" si="25">AY77+BC77</f>
        <v>136872203</v>
      </c>
    </row>
    <row r="78" spans="1:58" ht="17" x14ac:dyDescent="0.2">
      <c r="A78" s="6" t="s">
        <v>126</v>
      </c>
      <c r="B78" s="10" t="s">
        <v>127</v>
      </c>
      <c r="C78" s="8">
        <v>110783</v>
      </c>
      <c r="D78" s="8">
        <v>5000</v>
      </c>
      <c r="E78" s="8">
        <v>34500</v>
      </c>
      <c r="F78" s="8">
        <f>SUM(C78:E78)</f>
        <v>150283</v>
      </c>
      <c r="G78" s="8">
        <v>15544965</v>
      </c>
      <c r="H78" s="8">
        <v>500000</v>
      </c>
      <c r="I78" s="8"/>
      <c r="J78" s="8">
        <f>SUM(G78:I78)</f>
        <v>16044965</v>
      </c>
      <c r="K78" s="5">
        <f t="shared" si="21"/>
        <v>16195248</v>
      </c>
      <c r="L78" s="8">
        <v>123798</v>
      </c>
      <c r="M78" s="8">
        <v>45000</v>
      </c>
      <c r="N78" s="8">
        <v>0</v>
      </c>
      <c r="O78" s="8">
        <f>SUM(L78:N78)</f>
        <v>168798</v>
      </c>
      <c r="P78" s="8">
        <v>0</v>
      </c>
      <c r="Q78" s="8">
        <v>0</v>
      </c>
      <c r="R78" s="8"/>
      <c r="S78" s="8">
        <f>SUM(P78:R78)</f>
        <v>0</v>
      </c>
      <c r="T78" s="5">
        <f t="shared" si="24"/>
        <v>168798</v>
      </c>
      <c r="U78" s="8"/>
      <c r="V78" s="8"/>
      <c r="W78" s="8"/>
      <c r="X78" s="8"/>
      <c r="Y78" s="8"/>
      <c r="Z78" s="8"/>
      <c r="AA78" s="8"/>
      <c r="AB78" s="8"/>
      <c r="AC78" s="5"/>
      <c r="AD78" s="49">
        <v>130372</v>
      </c>
      <c r="AE78" s="49">
        <v>35378</v>
      </c>
      <c r="AF78" s="49">
        <v>0</v>
      </c>
      <c r="AG78" s="52">
        <f>SUM(AD78:AF78)</f>
        <v>165750</v>
      </c>
      <c r="AH78" s="49">
        <v>0</v>
      </c>
      <c r="AI78" s="49">
        <v>0</v>
      </c>
      <c r="AJ78" s="49">
        <v>0</v>
      </c>
      <c r="AK78" s="8">
        <f>SUM(AH78:AJ78)</f>
        <v>0</v>
      </c>
      <c r="AL78" s="5">
        <f t="shared" si="22"/>
        <v>165750</v>
      </c>
      <c r="AM78" s="8">
        <v>130372</v>
      </c>
      <c r="AN78" s="8">
        <v>35378</v>
      </c>
      <c r="AO78" s="8">
        <v>0</v>
      </c>
      <c r="AP78" s="8">
        <f>SUM(AM78:AO78)</f>
        <v>165750</v>
      </c>
      <c r="AQ78" s="8">
        <v>0</v>
      </c>
      <c r="AR78" s="8">
        <v>0</v>
      </c>
      <c r="AS78" s="8"/>
      <c r="AT78" s="8">
        <f>SUM(AQ78:AS78)</f>
        <v>0</v>
      </c>
      <c r="AU78" s="5">
        <f t="shared" si="23"/>
        <v>165750</v>
      </c>
      <c r="AV78" s="8">
        <v>130372</v>
      </c>
      <c r="AW78" s="8">
        <v>35378</v>
      </c>
      <c r="AX78" s="8">
        <v>0</v>
      </c>
      <c r="AY78" s="8">
        <f>SUM(AV78:AX78)</f>
        <v>165750</v>
      </c>
      <c r="AZ78" s="8">
        <v>0</v>
      </c>
      <c r="BA78" s="8">
        <v>0</v>
      </c>
      <c r="BB78" s="8"/>
      <c r="BC78" s="8">
        <f>SUM(AZ78:BB78)</f>
        <v>0</v>
      </c>
      <c r="BD78" s="5">
        <f t="shared" si="25"/>
        <v>165750</v>
      </c>
    </row>
    <row r="79" spans="1:58" ht="17" x14ac:dyDescent="0.2">
      <c r="A79" s="6" t="s">
        <v>128</v>
      </c>
      <c r="B79" s="10" t="s">
        <v>129</v>
      </c>
      <c r="C79" s="8">
        <v>45616</v>
      </c>
      <c r="D79" s="8">
        <v>10000</v>
      </c>
      <c r="E79" s="8">
        <v>37000</v>
      </c>
      <c r="F79" s="8">
        <f>SUM(C79:E79)</f>
        <v>92616</v>
      </c>
      <c r="G79" s="8"/>
      <c r="H79" s="8"/>
      <c r="I79" s="8"/>
      <c r="J79" s="8">
        <f>SUM(G79:I79)</f>
        <v>0</v>
      </c>
      <c r="K79" s="5">
        <f t="shared" si="21"/>
        <v>92616</v>
      </c>
      <c r="L79" s="8">
        <v>55554</v>
      </c>
      <c r="M79" s="8">
        <v>73000</v>
      </c>
      <c r="N79" s="8">
        <v>0</v>
      </c>
      <c r="O79" s="8">
        <f>SUM(L79:N79)</f>
        <v>128554</v>
      </c>
      <c r="P79" s="8"/>
      <c r="Q79" s="8"/>
      <c r="R79" s="8"/>
      <c r="S79" s="8">
        <f>SUM(P79:R79)</f>
        <v>0</v>
      </c>
      <c r="T79" s="5">
        <f t="shared" si="24"/>
        <v>128554</v>
      </c>
      <c r="U79" s="8"/>
      <c r="V79" s="8"/>
      <c r="W79" s="8"/>
      <c r="X79" s="8"/>
      <c r="Y79" s="8"/>
      <c r="Z79" s="8"/>
      <c r="AA79" s="8"/>
      <c r="AB79" s="8"/>
      <c r="AC79" s="5"/>
      <c r="AD79" s="49">
        <v>76545</v>
      </c>
      <c r="AE79" s="49">
        <v>43453</v>
      </c>
      <c r="AF79" s="49">
        <v>17000</v>
      </c>
      <c r="AG79" s="52">
        <f>SUM(AD79:AF79)</f>
        <v>136998</v>
      </c>
      <c r="AH79" s="49">
        <v>0</v>
      </c>
      <c r="AI79" s="49">
        <v>0</v>
      </c>
      <c r="AJ79" s="49">
        <v>0</v>
      </c>
      <c r="AK79" s="8">
        <f>SUM(AH79:AJ79)</f>
        <v>0</v>
      </c>
      <c r="AL79" s="5">
        <f t="shared" si="22"/>
        <v>136998</v>
      </c>
      <c r="AM79" s="8">
        <v>76545</v>
      </c>
      <c r="AN79" s="8">
        <v>43453</v>
      </c>
      <c r="AO79" s="8">
        <v>17000</v>
      </c>
      <c r="AP79" s="8">
        <f>SUM(AM79:AO79)</f>
        <v>136998</v>
      </c>
      <c r="AQ79" s="8"/>
      <c r="AR79" s="8"/>
      <c r="AS79" s="8"/>
      <c r="AT79" s="8">
        <f>SUM(AQ79:AS79)</f>
        <v>0</v>
      </c>
      <c r="AU79" s="5">
        <f t="shared" si="23"/>
        <v>136998</v>
      </c>
      <c r="AV79" s="8">
        <v>76545</v>
      </c>
      <c r="AW79" s="8">
        <v>43453</v>
      </c>
      <c r="AX79" s="8">
        <v>17000</v>
      </c>
      <c r="AY79" s="8">
        <f>SUM(AV79:AX79)</f>
        <v>136998</v>
      </c>
      <c r="AZ79" s="8">
        <v>0</v>
      </c>
      <c r="BA79" s="8"/>
      <c r="BB79" s="8"/>
      <c r="BC79" s="8">
        <f>SUM(AZ79:BB79)</f>
        <v>0</v>
      </c>
      <c r="BD79" s="5">
        <f t="shared" si="25"/>
        <v>136998</v>
      </c>
    </row>
    <row r="80" spans="1:58" ht="17" x14ac:dyDescent="0.2">
      <c r="A80" s="9" t="s">
        <v>130</v>
      </c>
      <c r="B80" s="10" t="s">
        <v>131</v>
      </c>
      <c r="C80" s="8">
        <v>38209</v>
      </c>
      <c r="D80" s="8">
        <v>10000</v>
      </c>
      <c r="E80" s="8">
        <v>78000</v>
      </c>
      <c r="F80" s="8">
        <f>SUM(C80:E80)</f>
        <v>126209</v>
      </c>
      <c r="G80" s="8">
        <v>7999121</v>
      </c>
      <c r="H80" s="8"/>
      <c r="I80" s="8">
        <v>12219898</v>
      </c>
      <c r="J80" s="8">
        <f>SUM(G80:I80)</f>
        <v>20219019</v>
      </c>
      <c r="K80" s="5">
        <f t="shared" si="21"/>
        <v>20345228</v>
      </c>
      <c r="L80" s="8">
        <v>61065</v>
      </c>
      <c r="M80" s="8">
        <v>53000</v>
      </c>
      <c r="N80" s="8">
        <v>100000</v>
      </c>
      <c r="O80" s="8">
        <f>SUM(L80:N80)</f>
        <v>214065</v>
      </c>
      <c r="P80" s="8">
        <v>5000000</v>
      </c>
      <c r="Q80" s="8"/>
      <c r="R80" s="8">
        <v>10413786</v>
      </c>
      <c r="S80" s="8">
        <f>SUM(P80:R80)</f>
        <v>15413786</v>
      </c>
      <c r="T80" s="5">
        <f t="shared" si="24"/>
        <v>15627851</v>
      </c>
      <c r="U80" s="8"/>
      <c r="V80" s="8"/>
      <c r="W80" s="8"/>
      <c r="X80" s="8"/>
      <c r="Y80" s="8"/>
      <c r="Z80" s="8"/>
      <c r="AA80" s="8"/>
      <c r="AB80" s="8"/>
      <c r="AC80" s="5"/>
      <c r="AD80" s="57">
        <v>69107</v>
      </c>
      <c r="AE80" s="57">
        <v>0</v>
      </c>
      <c r="AF80" s="57">
        <v>280000</v>
      </c>
      <c r="AG80" s="54">
        <f>SUM(AD80:AF80)</f>
        <v>349107</v>
      </c>
      <c r="AH80" s="57">
        <v>1000000</v>
      </c>
      <c r="AI80" s="57">
        <v>0</v>
      </c>
      <c r="AJ80" s="57">
        <v>0</v>
      </c>
      <c r="AK80" s="8">
        <f>SUM(AH80:AJ80)</f>
        <v>1000000</v>
      </c>
      <c r="AL80" s="5">
        <f t="shared" si="22"/>
        <v>1349107</v>
      </c>
      <c r="AM80" s="8">
        <v>69107</v>
      </c>
      <c r="AN80" s="8">
        <v>0</v>
      </c>
      <c r="AO80" s="8">
        <v>400000</v>
      </c>
      <c r="AP80" s="8">
        <f>SUM(AM80:AO80)</f>
        <v>469107</v>
      </c>
      <c r="AQ80" s="8">
        <v>4000000</v>
      </c>
      <c r="AR80" s="8"/>
      <c r="AS80" s="8">
        <v>4000000</v>
      </c>
      <c r="AT80" s="8">
        <f>SUM(AQ80:AS80)</f>
        <v>8000000</v>
      </c>
      <c r="AU80" s="5">
        <f t="shared" si="23"/>
        <v>8469107</v>
      </c>
      <c r="AV80" s="8">
        <v>69107</v>
      </c>
      <c r="AW80" s="8">
        <v>0</v>
      </c>
      <c r="AX80" s="8">
        <v>350000</v>
      </c>
      <c r="AY80" s="8">
        <f>SUM(AV80:AX80)</f>
        <v>419107</v>
      </c>
      <c r="AZ80" s="8">
        <v>4000000</v>
      </c>
      <c r="BA80" s="8"/>
      <c r="BB80" s="8">
        <v>4000000</v>
      </c>
      <c r="BC80" s="8">
        <f>SUM(AZ80:BB80)</f>
        <v>8000000</v>
      </c>
      <c r="BD80" s="5">
        <f t="shared" si="25"/>
        <v>8419107</v>
      </c>
      <c r="BF80">
        <f>14457574+11815489</f>
        <v>26273063</v>
      </c>
    </row>
    <row r="81" spans="1:56" ht="16" x14ac:dyDescent="0.2">
      <c r="A81" s="110" t="s">
        <v>132</v>
      </c>
      <c r="B81" s="111"/>
      <c r="C81" s="5">
        <v>727960</v>
      </c>
      <c r="D81" s="5">
        <v>1096248</v>
      </c>
      <c r="E81" s="5">
        <v>1005000</v>
      </c>
      <c r="F81" s="5">
        <v>2829208</v>
      </c>
      <c r="G81" s="5">
        <v>500000</v>
      </c>
      <c r="H81" s="5">
        <v>0</v>
      </c>
      <c r="I81" s="5">
        <v>0</v>
      </c>
      <c r="J81" s="5">
        <v>500000</v>
      </c>
      <c r="K81" s="5">
        <v>3329208</v>
      </c>
      <c r="L81" s="5">
        <v>1113500</v>
      </c>
      <c r="M81" s="5">
        <v>1039550</v>
      </c>
      <c r="N81" s="5">
        <v>809675</v>
      </c>
      <c r="O81" s="5">
        <v>2962725</v>
      </c>
      <c r="P81" s="5">
        <v>400000</v>
      </c>
      <c r="Q81" s="5">
        <v>0</v>
      </c>
      <c r="R81" s="5">
        <v>0</v>
      </c>
      <c r="S81" s="5">
        <v>400000</v>
      </c>
      <c r="T81" s="5">
        <v>3362725</v>
      </c>
      <c r="U81" s="5">
        <v>752287</v>
      </c>
      <c r="V81" s="5">
        <v>1554743</v>
      </c>
      <c r="W81" s="5">
        <v>489000</v>
      </c>
      <c r="X81" s="5">
        <v>2796030</v>
      </c>
      <c r="Y81" s="5">
        <v>300000</v>
      </c>
      <c r="Z81" s="5">
        <v>1800000</v>
      </c>
      <c r="AA81" s="5">
        <v>9305825</v>
      </c>
      <c r="AB81" s="5">
        <v>11405825</v>
      </c>
      <c r="AC81" s="5">
        <v>14201855</v>
      </c>
      <c r="AD81" s="5">
        <v>732000</v>
      </c>
      <c r="AE81" s="5">
        <v>1554743</v>
      </c>
      <c r="AF81" s="5">
        <v>489000</v>
      </c>
      <c r="AG81" s="5">
        <v>2775743</v>
      </c>
      <c r="AH81" s="5">
        <v>433890</v>
      </c>
      <c r="AI81" s="5">
        <v>1800000</v>
      </c>
      <c r="AJ81" s="5">
        <v>486001</v>
      </c>
      <c r="AK81" s="5">
        <v>2719891</v>
      </c>
      <c r="AL81" s="5">
        <v>5495634</v>
      </c>
      <c r="AM81" s="5">
        <v>732000</v>
      </c>
      <c r="AN81" s="5">
        <v>1221976</v>
      </c>
      <c r="AO81" s="5">
        <v>463808</v>
      </c>
      <c r="AP81" s="5">
        <v>2417784</v>
      </c>
      <c r="AQ81" s="5">
        <v>477279</v>
      </c>
      <c r="AR81" s="5">
        <v>0</v>
      </c>
      <c r="AS81" s="5">
        <v>0</v>
      </c>
      <c r="AT81" s="5">
        <v>477279</v>
      </c>
      <c r="AU81" s="5">
        <v>2895063</v>
      </c>
      <c r="AV81" s="5">
        <v>732000</v>
      </c>
      <c r="AW81" s="5">
        <v>1340939</v>
      </c>
      <c r="AX81" s="5">
        <v>448244</v>
      </c>
      <c r="AY81" s="5">
        <v>2521183</v>
      </c>
      <c r="AZ81" s="5">
        <v>472940</v>
      </c>
      <c r="BA81" s="5">
        <v>0</v>
      </c>
      <c r="BB81" s="5">
        <v>0</v>
      </c>
      <c r="BC81" s="5">
        <v>472940</v>
      </c>
      <c r="BD81" s="5">
        <v>2994123</v>
      </c>
    </row>
    <row r="82" spans="1:56" ht="17" x14ac:dyDescent="0.2">
      <c r="A82" s="6" t="s">
        <v>133</v>
      </c>
      <c r="B82" s="10" t="s">
        <v>243</v>
      </c>
      <c r="C82" s="8">
        <v>349871</v>
      </c>
      <c r="D82" s="8">
        <f>696700+143548+30000</f>
        <v>870248</v>
      </c>
      <c r="E82" s="8">
        <v>204000</v>
      </c>
      <c r="F82" s="8">
        <f>SUM(C82:E82)</f>
        <v>1424119</v>
      </c>
      <c r="G82" s="8"/>
      <c r="H82" s="8"/>
      <c r="I82" s="8"/>
      <c r="J82" s="8">
        <f>SUM(G82:I82)</f>
        <v>0</v>
      </c>
      <c r="K82" s="5">
        <f t="shared" si="21"/>
        <v>1424119</v>
      </c>
      <c r="L82" s="8">
        <v>735411</v>
      </c>
      <c r="M82" s="8">
        <v>813550</v>
      </c>
      <c r="N82" s="8">
        <f>204000-24246</f>
        <v>179754</v>
      </c>
      <c r="O82" s="8">
        <f>SUM(L82:N82)</f>
        <v>1728715</v>
      </c>
      <c r="P82" s="8"/>
      <c r="Q82" s="8"/>
      <c r="R82" s="8"/>
      <c r="S82" s="8">
        <f>SUM(P82:R82)</f>
        <v>0</v>
      </c>
      <c r="T82" s="5">
        <f t="shared" si="24"/>
        <v>1728715</v>
      </c>
      <c r="U82" s="8"/>
      <c r="V82" s="8"/>
      <c r="W82" s="8"/>
      <c r="X82" s="8"/>
      <c r="Y82" s="8"/>
      <c r="Z82" s="8"/>
      <c r="AA82" s="8"/>
      <c r="AB82" s="8"/>
      <c r="AC82" s="5"/>
      <c r="AD82" s="47">
        <v>277382</v>
      </c>
      <c r="AE82" s="47">
        <v>1142743</v>
      </c>
      <c r="AF82" s="47">
        <v>0</v>
      </c>
      <c r="AG82" s="55">
        <f>SUM(AD82:AF82)</f>
        <v>1420125</v>
      </c>
      <c r="AH82" s="47">
        <v>0</v>
      </c>
      <c r="AI82" s="47">
        <v>0</v>
      </c>
      <c r="AJ82" s="47">
        <v>0</v>
      </c>
      <c r="AK82" s="5">
        <f t="shared" ref="AK82:AK88" si="26">AH82+AI82+AJ82</f>
        <v>0</v>
      </c>
      <c r="AL82" s="5">
        <f t="shared" si="22"/>
        <v>1420125</v>
      </c>
      <c r="AM82" s="8">
        <v>277382</v>
      </c>
      <c r="AN82" s="8">
        <v>784784</v>
      </c>
      <c r="AO82" s="8">
        <v>0</v>
      </c>
      <c r="AP82" s="8">
        <f>SUM(AM82:AO82)</f>
        <v>1062166</v>
      </c>
      <c r="AQ82" s="8"/>
      <c r="AR82" s="8"/>
      <c r="AS82" s="8"/>
      <c r="AT82" s="5">
        <f t="shared" ref="AT82:AT88" si="27">AQ82+AR82+AS82</f>
        <v>0</v>
      </c>
      <c r="AU82" s="5">
        <f t="shared" si="23"/>
        <v>1062166</v>
      </c>
      <c r="AV82" s="8">
        <v>277382</v>
      </c>
      <c r="AW82" s="8">
        <v>888183</v>
      </c>
      <c r="AX82" s="8">
        <v>0</v>
      </c>
      <c r="AY82" s="8">
        <f>SUM(AV82:AX82)</f>
        <v>1165565</v>
      </c>
      <c r="AZ82" s="8"/>
      <c r="BA82" s="8"/>
      <c r="BB82" s="8"/>
      <c r="BC82" s="5">
        <f t="shared" ref="BC82:BC144" si="28">AZ82+BA82+BB82</f>
        <v>0</v>
      </c>
      <c r="BD82" s="5">
        <f t="shared" si="25"/>
        <v>1165565</v>
      </c>
    </row>
    <row r="83" spans="1:56" ht="17" x14ac:dyDescent="0.2">
      <c r="A83" s="6" t="s">
        <v>134</v>
      </c>
      <c r="B83" s="11" t="s">
        <v>135</v>
      </c>
      <c r="C83" s="8">
        <v>23548</v>
      </c>
      <c r="D83" s="8">
        <v>30000</v>
      </c>
      <c r="E83" s="8">
        <v>75000</v>
      </c>
      <c r="F83" s="8">
        <f>SUM(C83:E83)</f>
        <v>128548</v>
      </c>
      <c r="G83" s="8">
        <v>0</v>
      </c>
      <c r="H83" s="8"/>
      <c r="I83" s="8"/>
      <c r="J83" s="8">
        <f>SUM(G83:I83)</f>
        <v>0</v>
      </c>
      <c r="K83" s="5">
        <f t="shared" si="21"/>
        <v>128548</v>
      </c>
      <c r="L83" s="8">
        <v>23548</v>
      </c>
      <c r="M83" s="8">
        <v>30000</v>
      </c>
      <c r="N83" s="8">
        <v>75000</v>
      </c>
      <c r="O83" s="8">
        <f>SUM(L83:N83)</f>
        <v>128548</v>
      </c>
      <c r="P83" s="8">
        <v>0</v>
      </c>
      <c r="Q83" s="8"/>
      <c r="R83" s="8"/>
      <c r="S83" s="8">
        <f>SUM(P83:R83)</f>
        <v>0</v>
      </c>
      <c r="T83" s="5">
        <f t="shared" si="24"/>
        <v>128548</v>
      </c>
      <c r="U83" s="8"/>
      <c r="V83" s="8"/>
      <c r="W83" s="8"/>
      <c r="X83" s="8"/>
      <c r="Y83" s="8"/>
      <c r="Z83" s="8"/>
      <c r="AA83" s="8"/>
      <c r="AB83" s="8"/>
      <c r="AC83" s="5"/>
      <c r="AD83" s="49">
        <v>163963</v>
      </c>
      <c r="AE83" s="49">
        <v>68000</v>
      </c>
      <c r="AF83" s="49">
        <v>489000</v>
      </c>
      <c r="AG83" s="52">
        <f>SUM(AD83:AF83)</f>
        <v>720963</v>
      </c>
      <c r="AH83" s="49">
        <v>0</v>
      </c>
      <c r="AI83" s="49">
        <v>0</v>
      </c>
      <c r="AJ83" s="49">
        <v>0</v>
      </c>
      <c r="AK83" s="5">
        <f t="shared" si="26"/>
        <v>0</v>
      </c>
      <c r="AL83" s="5">
        <f t="shared" si="22"/>
        <v>720963</v>
      </c>
      <c r="AM83" s="8">
        <v>163963</v>
      </c>
      <c r="AN83" s="8">
        <v>68000</v>
      </c>
      <c r="AO83" s="8">
        <v>463808</v>
      </c>
      <c r="AP83" s="8">
        <f>SUM(AM83:AO83)</f>
        <v>695771</v>
      </c>
      <c r="AQ83" s="8">
        <v>0</v>
      </c>
      <c r="AR83" s="8">
        <v>0</v>
      </c>
      <c r="AS83" s="8">
        <v>0</v>
      </c>
      <c r="AT83" s="5">
        <f t="shared" si="27"/>
        <v>0</v>
      </c>
      <c r="AU83" s="5">
        <f t="shared" si="23"/>
        <v>695771</v>
      </c>
      <c r="AV83" s="8">
        <v>163963</v>
      </c>
      <c r="AW83" s="8">
        <v>68000</v>
      </c>
      <c r="AX83" s="8">
        <v>448244</v>
      </c>
      <c r="AY83" s="8">
        <f>SUM(AV83:AX83)</f>
        <v>680207</v>
      </c>
      <c r="AZ83" s="8">
        <v>0</v>
      </c>
      <c r="BA83" s="8">
        <v>0</v>
      </c>
      <c r="BB83" s="8">
        <v>0</v>
      </c>
      <c r="BC83" s="5">
        <f t="shared" si="28"/>
        <v>0</v>
      </c>
      <c r="BD83" s="5">
        <f t="shared" si="25"/>
        <v>680207</v>
      </c>
    </row>
    <row r="84" spans="1:56" ht="17" x14ac:dyDescent="0.2">
      <c r="A84" s="6" t="s">
        <v>136</v>
      </c>
      <c r="B84" s="11" t="s">
        <v>137</v>
      </c>
      <c r="C84" s="8">
        <v>85865</v>
      </c>
      <c r="D84" s="8">
        <v>40000</v>
      </c>
      <c r="E84" s="8">
        <v>60000</v>
      </c>
      <c r="F84" s="8">
        <f>SUM(C84:E84)</f>
        <v>185865</v>
      </c>
      <c r="G84" s="8">
        <v>0</v>
      </c>
      <c r="H84" s="8">
        <v>0</v>
      </c>
      <c r="I84" s="8">
        <v>0</v>
      </c>
      <c r="J84" s="8">
        <f>SUM(G84:I84)</f>
        <v>0</v>
      </c>
      <c r="K84" s="5">
        <f t="shared" si="21"/>
        <v>185865</v>
      </c>
      <c r="L84" s="8">
        <v>85865</v>
      </c>
      <c r="M84" s="8">
        <v>40000</v>
      </c>
      <c r="N84" s="8">
        <v>60000</v>
      </c>
      <c r="O84" s="8">
        <f>SUM(L84:N84)</f>
        <v>185865</v>
      </c>
      <c r="P84" s="8">
        <v>0</v>
      </c>
      <c r="Q84" s="8">
        <v>0</v>
      </c>
      <c r="R84" s="8">
        <v>0</v>
      </c>
      <c r="S84" s="8">
        <f>SUM(P84:R84)</f>
        <v>0</v>
      </c>
      <c r="T84" s="5">
        <f t="shared" si="24"/>
        <v>185865</v>
      </c>
      <c r="U84" s="8"/>
      <c r="V84" s="8"/>
      <c r="W84" s="8"/>
      <c r="X84" s="8"/>
      <c r="Y84" s="65"/>
      <c r="Z84" s="65"/>
      <c r="AA84" s="65"/>
      <c r="AB84" s="8"/>
      <c r="AC84" s="5"/>
      <c r="AD84" s="57">
        <v>290655</v>
      </c>
      <c r="AE84" s="57">
        <v>344000</v>
      </c>
      <c r="AF84" s="57">
        <v>0</v>
      </c>
      <c r="AG84" s="54">
        <f>SUM(AD84:AF84)</f>
        <v>634655</v>
      </c>
      <c r="AH84" s="57">
        <v>433890</v>
      </c>
      <c r="AI84" s="57">
        <v>1800000</v>
      </c>
      <c r="AJ84" s="57">
        <v>486001</v>
      </c>
      <c r="AK84" s="5">
        <f t="shared" si="26"/>
        <v>2719891</v>
      </c>
      <c r="AL84" s="5">
        <f t="shared" si="22"/>
        <v>3354546</v>
      </c>
      <c r="AM84" s="8">
        <v>290655</v>
      </c>
      <c r="AN84" s="8">
        <v>369192</v>
      </c>
      <c r="AO84" s="8">
        <v>0</v>
      </c>
      <c r="AP84" s="8">
        <f>SUM(AM84:AO84)</f>
        <v>659847</v>
      </c>
      <c r="AQ84" s="8">
        <v>477279</v>
      </c>
      <c r="AR84" s="8">
        <v>0</v>
      </c>
      <c r="AS84" s="8">
        <v>0</v>
      </c>
      <c r="AT84" s="5">
        <f t="shared" si="27"/>
        <v>477279</v>
      </c>
      <c r="AU84" s="5">
        <f t="shared" si="23"/>
        <v>1137126</v>
      </c>
      <c r="AV84" s="8">
        <v>290655</v>
      </c>
      <c r="AW84" s="8">
        <v>384756</v>
      </c>
      <c r="AX84" s="8">
        <v>0</v>
      </c>
      <c r="AY84" s="8">
        <f>SUM(AV84:AX84)</f>
        <v>675411</v>
      </c>
      <c r="AZ84" s="8">
        <v>472940</v>
      </c>
      <c r="BA84" s="8">
        <v>0</v>
      </c>
      <c r="BB84" s="8">
        <v>0</v>
      </c>
      <c r="BC84" s="5">
        <f t="shared" si="28"/>
        <v>472940</v>
      </c>
      <c r="BD84" s="5">
        <f t="shared" si="25"/>
        <v>1148351</v>
      </c>
    </row>
    <row r="85" spans="1:56" ht="17" x14ac:dyDescent="0.2">
      <c r="A85" s="9" t="s">
        <v>138</v>
      </c>
      <c r="B85" s="11" t="s">
        <v>139</v>
      </c>
      <c r="C85" s="8">
        <v>268676</v>
      </c>
      <c r="D85" s="8">
        <v>156000</v>
      </c>
      <c r="E85" s="8">
        <v>666000</v>
      </c>
      <c r="F85" s="8">
        <f>SUM(C85:E85)</f>
        <v>1090676</v>
      </c>
      <c r="G85" s="8">
        <v>500000</v>
      </c>
      <c r="H85" s="8"/>
      <c r="I85" s="8"/>
      <c r="J85" s="8">
        <f>SUM(G85:I85)</f>
        <v>500000</v>
      </c>
      <c r="K85" s="5">
        <f t="shared" si="21"/>
        <v>1590676</v>
      </c>
      <c r="L85" s="8">
        <v>268676</v>
      </c>
      <c r="M85" s="8">
        <v>156000</v>
      </c>
      <c r="N85" s="8">
        <v>494921</v>
      </c>
      <c r="O85" s="8">
        <f>SUM(L85:N85)</f>
        <v>919597</v>
      </c>
      <c r="P85" s="8">
        <v>400000</v>
      </c>
      <c r="Q85" s="8"/>
      <c r="R85" s="8"/>
      <c r="S85" s="8">
        <f>SUM(P85:R85)</f>
        <v>400000</v>
      </c>
      <c r="T85" s="5">
        <f t="shared" si="24"/>
        <v>1319597</v>
      </c>
      <c r="U85" s="8"/>
      <c r="V85" s="8"/>
      <c r="W85" s="8"/>
      <c r="X85" s="8"/>
      <c r="Y85" s="8"/>
      <c r="Z85" s="8"/>
      <c r="AA85" s="8"/>
      <c r="AB85" s="8"/>
      <c r="AC85" s="5"/>
      <c r="AD85" s="8">
        <v>0</v>
      </c>
      <c r="AE85" s="8">
        <v>0</v>
      </c>
      <c r="AF85" s="8">
        <v>0</v>
      </c>
      <c r="AG85" s="8">
        <f>SUM(AD85:AF85)</f>
        <v>0</v>
      </c>
      <c r="AH85" s="8">
        <v>0</v>
      </c>
      <c r="AI85" s="8"/>
      <c r="AJ85" s="8"/>
      <c r="AK85" s="5">
        <f t="shared" si="26"/>
        <v>0</v>
      </c>
      <c r="AL85" s="5">
        <f t="shared" si="22"/>
        <v>0</v>
      </c>
      <c r="AM85" s="8">
        <v>0</v>
      </c>
      <c r="AN85" s="8">
        <v>0</v>
      </c>
      <c r="AO85" s="8">
        <v>0</v>
      </c>
      <c r="AP85" s="8">
        <f>SUM(AM85:AO85)</f>
        <v>0</v>
      </c>
      <c r="AQ85" s="8">
        <v>0</v>
      </c>
      <c r="AR85" s="8"/>
      <c r="AS85" s="8"/>
      <c r="AT85" s="5">
        <f t="shared" si="27"/>
        <v>0</v>
      </c>
      <c r="AU85" s="5">
        <f t="shared" si="23"/>
        <v>0</v>
      </c>
      <c r="AV85" s="8">
        <v>0</v>
      </c>
      <c r="AW85" s="8">
        <v>0</v>
      </c>
      <c r="AX85" s="8">
        <v>0</v>
      </c>
      <c r="AY85" s="8">
        <f>SUM(AV85:AX85)</f>
        <v>0</v>
      </c>
      <c r="AZ85" s="8">
        <v>0</v>
      </c>
      <c r="BA85" s="8"/>
      <c r="BB85" s="8"/>
      <c r="BC85" s="5">
        <f t="shared" si="28"/>
        <v>0</v>
      </c>
      <c r="BD85" s="5">
        <f t="shared" si="25"/>
        <v>0</v>
      </c>
    </row>
    <row r="86" spans="1:56" ht="16" x14ac:dyDescent="0.2">
      <c r="A86" s="110" t="s">
        <v>140</v>
      </c>
      <c r="B86" s="122"/>
      <c r="C86" s="5">
        <v>650967</v>
      </c>
      <c r="D86" s="5">
        <v>529827</v>
      </c>
      <c r="E86" s="5">
        <v>225750</v>
      </c>
      <c r="F86" s="5">
        <v>1406544</v>
      </c>
      <c r="G86" s="5">
        <v>30346530</v>
      </c>
      <c r="H86" s="5">
        <v>9000000</v>
      </c>
      <c r="I86" s="5">
        <v>10735458</v>
      </c>
      <c r="J86" s="5">
        <v>50081988</v>
      </c>
      <c r="K86" s="5">
        <v>51488532</v>
      </c>
      <c r="L86" s="5">
        <v>1686700</v>
      </c>
      <c r="M86" s="5">
        <v>506610</v>
      </c>
      <c r="N86" s="5">
        <v>439392</v>
      </c>
      <c r="O86" s="5">
        <v>2632702</v>
      </c>
      <c r="P86" s="5">
        <v>38000000</v>
      </c>
      <c r="Q86" s="5">
        <v>6508499</v>
      </c>
      <c r="R86" s="5">
        <v>9000000</v>
      </c>
      <c r="S86" s="5">
        <v>53508499</v>
      </c>
      <c r="T86" s="5">
        <v>56141201</v>
      </c>
      <c r="U86" s="5">
        <v>727456</v>
      </c>
      <c r="V86" s="5">
        <v>1338424</v>
      </c>
      <c r="W86" s="5">
        <v>1080000</v>
      </c>
      <c r="X86" s="5">
        <v>3145880</v>
      </c>
      <c r="Y86" s="5">
        <v>38535520</v>
      </c>
      <c r="Z86" s="5">
        <v>5000000</v>
      </c>
      <c r="AA86" s="5">
        <v>17977664</v>
      </c>
      <c r="AB86" s="5">
        <v>61513184</v>
      </c>
      <c r="AC86" s="5">
        <v>64659064</v>
      </c>
      <c r="AD86" s="5">
        <v>711694</v>
      </c>
      <c r="AE86" s="5">
        <v>1338424</v>
      </c>
      <c r="AF86" s="5">
        <v>180000</v>
      </c>
      <c r="AG86" s="5">
        <v>2230118</v>
      </c>
      <c r="AH86" s="5">
        <v>35197843</v>
      </c>
      <c r="AI86" s="5">
        <v>8141381</v>
      </c>
      <c r="AJ86" s="5">
        <v>36706131</v>
      </c>
      <c r="AK86" s="5">
        <v>80045355</v>
      </c>
      <c r="AL86" s="5">
        <v>82275473</v>
      </c>
      <c r="AM86" s="5">
        <v>711694</v>
      </c>
      <c r="AN86" s="5">
        <v>947952</v>
      </c>
      <c r="AO86" s="5">
        <v>158089</v>
      </c>
      <c r="AP86" s="5">
        <v>1817735</v>
      </c>
      <c r="AQ86" s="5">
        <v>59553846</v>
      </c>
      <c r="AR86" s="5">
        <v>8955519</v>
      </c>
      <c r="AS86" s="5">
        <v>14040526</v>
      </c>
      <c r="AT86" s="5">
        <v>82549891</v>
      </c>
      <c r="AU86" s="5">
        <v>84367626</v>
      </c>
      <c r="AV86" s="5">
        <v>711694</v>
      </c>
      <c r="AW86" s="5">
        <v>1119699</v>
      </c>
      <c r="AX86" s="5">
        <v>160785</v>
      </c>
      <c r="AY86" s="5">
        <v>1992178</v>
      </c>
      <c r="AZ86" s="5">
        <v>64967832</v>
      </c>
      <c r="BA86" s="5">
        <v>8548450</v>
      </c>
      <c r="BB86" s="5">
        <v>13402320</v>
      </c>
      <c r="BC86" s="5">
        <v>86918602</v>
      </c>
      <c r="BD86" s="5">
        <v>88910780</v>
      </c>
    </row>
    <row r="87" spans="1:56" ht="17" x14ac:dyDescent="0.2">
      <c r="A87" s="6" t="s">
        <v>141</v>
      </c>
      <c r="B87" s="11" t="s">
        <v>142</v>
      </c>
      <c r="C87" s="8">
        <v>452448</v>
      </c>
      <c r="D87" s="8">
        <v>417826</v>
      </c>
      <c r="E87" s="8">
        <v>225750</v>
      </c>
      <c r="F87" s="8">
        <f>SUM(C87:E87)</f>
        <v>1096024</v>
      </c>
      <c r="G87" s="8">
        <v>0</v>
      </c>
      <c r="H87" s="8">
        <v>0</v>
      </c>
      <c r="I87" s="8">
        <v>0</v>
      </c>
      <c r="J87" s="8">
        <f>SUM(G87:I87)</f>
        <v>0</v>
      </c>
      <c r="K87" s="5">
        <f t="shared" si="21"/>
        <v>1096024</v>
      </c>
      <c r="L87" s="8">
        <v>429590</v>
      </c>
      <c r="M87" s="8">
        <v>491610</v>
      </c>
      <c r="N87" s="8">
        <v>201392</v>
      </c>
      <c r="O87" s="8">
        <f>SUM(L87:N87)</f>
        <v>1122592</v>
      </c>
      <c r="P87" s="8">
        <v>0</v>
      </c>
      <c r="Q87" s="8">
        <v>0</v>
      </c>
      <c r="R87" s="8">
        <v>0</v>
      </c>
      <c r="S87" s="8">
        <f>SUM(P87:R87)</f>
        <v>0</v>
      </c>
      <c r="T87" s="5">
        <f t="shared" si="24"/>
        <v>1122592</v>
      </c>
      <c r="U87" s="8"/>
      <c r="V87" s="8"/>
      <c r="W87" s="8"/>
      <c r="X87" s="8"/>
      <c r="Y87" s="8"/>
      <c r="Z87" s="8"/>
      <c r="AA87" s="8"/>
      <c r="AB87" s="8"/>
      <c r="AC87" s="5"/>
      <c r="AD87" s="47">
        <v>467935</v>
      </c>
      <c r="AE87" s="47">
        <v>1285424</v>
      </c>
      <c r="AF87" s="47">
        <v>0</v>
      </c>
      <c r="AG87" s="55">
        <f>SUM(AD87:AF87)</f>
        <v>1753359</v>
      </c>
      <c r="AH87" s="47">
        <v>1526000</v>
      </c>
      <c r="AI87" s="47">
        <v>0</v>
      </c>
      <c r="AJ87" s="47">
        <v>0</v>
      </c>
      <c r="AK87" s="5">
        <f t="shared" si="26"/>
        <v>1526000</v>
      </c>
      <c r="AL87" s="5">
        <f t="shared" si="22"/>
        <v>3279359</v>
      </c>
      <c r="AM87" s="8">
        <v>467935</v>
      </c>
      <c r="AN87" s="8">
        <v>894952</v>
      </c>
      <c r="AO87" s="8">
        <v>0</v>
      </c>
      <c r="AP87" s="8">
        <v>1342644</v>
      </c>
      <c r="AQ87" s="8">
        <v>800442</v>
      </c>
      <c r="AR87" s="8">
        <v>0</v>
      </c>
      <c r="AS87" s="8">
        <v>0</v>
      </c>
      <c r="AT87" s="5">
        <f t="shared" si="27"/>
        <v>800442</v>
      </c>
      <c r="AU87" s="5">
        <f t="shared" si="23"/>
        <v>2143086</v>
      </c>
      <c r="AV87" s="8">
        <v>467935</v>
      </c>
      <c r="AW87" s="24">
        <v>1066699</v>
      </c>
      <c r="AX87" s="8">
        <v>0</v>
      </c>
      <c r="AY87" s="8">
        <v>1342644</v>
      </c>
      <c r="AZ87" s="8">
        <v>727400</v>
      </c>
      <c r="BA87" s="8">
        <v>0</v>
      </c>
      <c r="BB87" s="8">
        <v>0</v>
      </c>
      <c r="BC87" s="5">
        <f t="shared" si="28"/>
        <v>727400</v>
      </c>
      <c r="BD87" s="5">
        <f t="shared" si="25"/>
        <v>2070044</v>
      </c>
    </row>
    <row r="88" spans="1:56" ht="17" x14ac:dyDescent="0.2">
      <c r="A88" s="6" t="s">
        <v>143</v>
      </c>
      <c r="B88" s="11" t="s">
        <v>144</v>
      </c>
      <c r="C88" s="8">
        <v>198519</v>
      </c>
      <c r="D88" s="8">
        <v>112001</v>
      </c>
      <c r="E88" s="8">
        <v>0</v>
      </c>
      <c r="F88" s="8">
        <f>SUM(C88:E88)</f>
        <v>310520</v>
      </c>
      <c r="G88" s="8">
        <f>396874+150000+200000+983000+3500000+3801875+21314781</f>
        <v>30346530</v>
      </c>
      <c r="H88" s="8">
        <f>2000000+7000000</f>
        <v>9000000</v>
      </c>
      <c r="I88" s="8">
        <f>212123+10523335</f>
        <v>10735458</v>
      </c>
      <c r="J88" s="8">
        <f>SUM(G88:I88)</f>
        <v>50081988</v>
      </c>
      <c r="K88" s="5">
        <f t="shared" si="21"/>
        <v>50392508</v>
      </c>
      <c r="L88" s="8">
        <v>1257110</v>
      </c>
      <c r="M88" s="8">
        <v>15000</v>
      </c>
      <c r="N88" s="8">
        <v>238000</v>
      </c>
      <c r="O88" s="8">
        <f>SUM(L88:N88)</f>
        <v>1510110</v>
      </c>
      <c r="P88" s="8">
        <v>38000000</v>
      </c>
      <c r="Q88" s="8">
        <v>6508499</v>
      </c>
      <c r="R88" s="8">
        <v>9000000</v>
      </c>
      <c r="S88" s="8">
        <f>SUM(P88:R88)</f>
        <v>53508499</v>
      </c>
      <c r="T88" s="5">
        <f t="shared" si="24"/>
        <v>55018609</v>
      </c>
      <c r="U88" s="8"/>
      <c r="V88" s="8"/>
      <c r="W88" s="8"/>
      <c r="X88" s="8"/>
      <c r="Y88" s="65"/>
      <c r="Z88" s="65"/>
      <c r="AA88" s="8"/>
      <c r="AB88" s="8"/>
      <c r="AC88" s="5"/>
      <c r="AD88" s="57">
        <v>243759</v>
      </c>
      <c r="AE88" s="57">
        <v>53000</v>
      </c>
      <c r="AF88" s="57">
        <v>180000</v>
      </c>
      <c r="AG88" s="54">
        <f>SUM(AD88:AF88)</f>
        <v>476759</v>
      </c>
      <c r="AH88" s="57">
        <f>23163094+10508749</f>
        <v>33671843</v>
      </c>
      <c r="AI88" s="57">
        <v>8141381</v>
      </c>
      <c r="AJ88" s="57">
        <v>36706131</v>
      </c>
      <c r="AK88" s="5">
        <f t="shared" si="26"/>
        <v>78519355</v>
      </c>
      <c r="AL88" s="5">
        <f t="shared" si="22"/>
        <v>78996114</v>
      </c>
      <c r="AM88" s="24">
        <v>243759</v>
      </c>
      <c r="AN88" s="8">
        <v>53000</v>
      </c>
      <c r="AO88" s="8">
        <v>158089</v>
      </c>
      <c r="AP88" s="8">
        <f>SUM(AM88:AO88)</f>
        <v>454848</v>
      </c>
      <c r="AQ88" s="8">
        <v>58753404</v>
      </c>
      <c r="AR88" s="8">
        <v>8955519</v>
      </c>
      <c r="AS88" s="8">
        <v>14040526</v>
      </c>
      <c r="AT88" s="5">
        <f t="shared" si="27"/>
        <v>81749449</v>
      </c>
      <c r="AU88" s="5">
        <f t="shared" si="23"/>
        <v>82204297</v>
      </c>
      <c r="AV88" s="24">
        <v>243759</v>
      </c>
      <c r="AW88" s="8">
        <v>53000</v>
      </c>
      <c r="AX88" s="8">
        <v>160785</v>
      </c>
      <c r="AY88" s="8">
        <f>SUM(AV88:AX88)</f>
        <v>457544</v>
      </c>
      <c r="AZ88" s="8">
        <v>64240432</v>
      </c>
      <c r="BA88" s="8">
        <v>8548450</v>
      </c>
      <c r="BB88" s="8">
        <v>13402320</v>
      </c>
      <c r="BC88" s="5">
        <f t="shared" si="28"/>
        <v>86191202</v>
      </c>
      <c r="BD88" s="5">
        <f t="shared" si="25"/>
        <v>86648746</v>
      </c>
    </row>
    <row r="89" spans="1:56" ht="16" x14ac:dyDescent="0.2">
      <c r="A89" s="110" t="s">
        <v>145</v>
      </c>
      <c r="B89" s="111"/>
      <c r="C89" s="5">
        <v>2986149</v>
      </c>
      <c r="D89" s="5">
        <v>813434</v>
      </c>
      <c r="E89" s="5">
        <v>1317864</v>
      </c>
      <c r="F89" s="5">
        <v>5117447</v>
      </c>
      <c r="G89" s="5">
        <v>31357169</v>
      </c>
      <c r="H89" s="5">
        <v>2400000</v>
      </c>
      <c r="I89" s="5">
        <v>29341700</v>
      </c>
      <c r="J89" s="5">
        <v>63098869</v>
      </c>
      <c r="K89" s="5">
        <v>68216316</v>
      </c>
      <c r="L89" s="5">
        <v>3700700</v>
      </c>
      <c r="M89" s="5">
        <v>785026</v>
      </c>
      <c r="N89" s="5">
        <v>1499006</v>
      </c>
      <c r="O89" s="5">
        <v>5984732</v>
      </c>
      <c r="P89" s="5">
        <v>68600000</v>
      </c>
      <c r="Q89" s="5">
        <v>5400000</v>
      </c>
      <c r="R89" s="5">
        <v>30000000</v>
      </c>
      <c r="S89" s="5">
        <v>104000000</v>
      </c>
      <c r="T89" s="5">
        <v>109984732</v>
      </c>
      <c r="U89" s="5">
        <v>3774208</v>
      </c>
      <c r="V89" s="5">
        <v>1002206</v>
      </c>
      <c r="W89" s="5">
        <v>2657886</v>
      </c>
      <c r="X89" s="5">
        <v>7434300</v>
      </c>
      <c r="Y89" s="5">
        <v>143207500</v>
      </c>
      <c r="Z89" s="5">
        <v>12716596</v>
      </c>
      <c r="AA89" s="5">
        <v>54000000</v>
      </c>
      <c r="AB89" s="5">
        <v>209924096</v>
      </c>
      <c r="AC89" s="5">
        <v>217358396</v>
      </c>
      <c r="AD89" s="5">
        <v>5293685</v>
      </c>
      <c r="AE89" s="5">
        <v>1057464</v>
      </c>
      <c r="AF89" s="5">
        <v>2109796</v>
      </c>
      <c r="AG89" s="5">
        <v>8460945</v>
      </c>
      <c r="AH89" s="5">
        <v>114028759</v>
      </c>
      <c r="AI89" s="5">
        <v>11311974</v>
      </c>
      <c r="AJ89" s="5">
        <v>36450356</v>
      </c>
      <c r="AK89" s="5">
        <v>161791089</v>
      </c>
      <c r="AL89" s="5">
        <v>170252034</v>
      </c>
      <c r="AM89" s="5">
        <v>5293686</v>
      </c>
      <c r="AN89" s="5">
        <v>800864</v>
      </c>
      <c r="AO89" s="5">
        <v>1696881</v>
      </c>
      <c r="AP89" s="5">
        <v>9342990</v>
      </c>
      <c r="AQ89" s="5">
        <v>88031635</v>
      </c>
      <c r="AR89" s="5">
        <v>11311974</v>
      </c>
      <c r="AS89" s="5">
        <v>26515489</v>
      </c>
      <c r="AT89" s="5">
        <v>125859098</v>
      </c>
      <c r="AU89" s="5">
        <v>133650532</v>
      </c>
      <c r="AV89" s="5">
        <v>5293686</v>
      </c>
      <c r="AW89" s="5">
        <v>882740</v>
      </c>
      <c r="AX89" s="5">
        <v>1851763</v>
      </c>
      <c r="AY89" s="5">
        <v>8028189</v>
      </c>
      <c r="AZ89" s="5">
        <v>87231348</v>
      </c>
      <c r="BA89" s="5">
        <v>11311974</v>
      </c>
      <c r="BB89" s="5">
        <v>26515489</v>
      </c>
      <c r="BC89" s="5">
        <v>125058811</v>
      </c>
      <c r="BD89" s="5">
        <v>133087000</v>
      </c>
    </row>
    <row r="90" spans="1:56" ht="34" x14ac:dyDescent="0.2">
      <c r="A90" s="6" t="s">
        <v>146</v>
      </c>
      <c r="B90" s="11" t="s">
        <v>147</v>
      </c>
      <c r="C90" s="8">
        <v>383149</v>
      </c>
      <c r="D90" s="8">
        <v>607434</v>
      </c>
      <c r="E90" s="8">
        <v>259864</v>
      </c>
      <c r="F90" s="8">
        <f>SUM(C90:E90)</f>
        <v>1250447</v>
      </c>
      <c r="G90" s="8">
        <v>300000</v>
      </c>
      <c r="H90" s="8">
        <v>0</v>
      </c>
      <c r="I90" s="8">
        <v>0</v>
      </c>
      <c r="J90" s="8">
        <f>SUM(G90:I90)</f>
        <v>300000</v>
      </c>
      <c r="K90" s="5">
        <f t="shared" si="21"/>
        <v>1550447</v>
      </c>
      <c r="L90" s="8">
        <v>421476</v>
      </c>
      <c r="M90" s="8">
        <v>649176</v>
      </c>
      <c r="N90" s="8">
        <v>360376</v>
      </c>
      <c r="O90" s="8">
        <f>SUM(L90:N90)</f>
        <v>1431028</v>
      </c>
      <c r="P90" s="8">
        <v>5033478</v>
      </c>
      <c r="Q90" s="8">
        <v>0</v>
      </c>
      <c r="R90" s="8">
        <v>0</v>
      </c>
      <c r="S90" s="8">
        <f>SUM(P90:R90)</f>
        <v>5033478</v>
      </c>
      <c r="T90" s="5">
        <f t="shared" si="24"/>
        <v>6464506</v>
      </c>
      <c r="U90" s="8"/>
      <c r="V90" s="65"/>
      <c r="W90" s="65"/>
      <c r="X90" s="8"/>
      <c r="Y90" s="8"/>
      <c r="Z90" s="8"/>
      <c r="AA90" s="8"/>
      <c r="AB90" s="8"/>
      <c r="AC90" s="5"/>
      <c r="AD90" s="47">
        <v>795698</v>
      </c>
      <c r="AE90" s="47">
        <v>898214</v>
      </c>
      <c r="AF90" s="47">
        <v>0</v>
      </c>
      <c r="AG90" s="55">
        <f>SUM(AD90:AF90)</f>
        <v>1693912</v>
      </c>
      <c r="AH90" s="47">
        <v>3500000</v>
      </c>
      <c r="AI90" s="47">
        <v>0</v>
      </c>
      <c r="AJ90" s="47">
        <v>0</v>
      </c>
      <c r="AK90" s="8">
        <f>SUM(AH90:AJ90)</f>
        <v>3500000</v>
      </c>
      <c r="AL90" s="5">
        <f t="shared" ref="AL90:AL98" si="29">AG90+AK90</f>
        <v>5193912</v>
      </c>
      <c r="AM90" s="8">
        <v>795698</v>
      </c>
      <c r="AN90" s="8">
        <v>680258</v>
      </c>
      <c r="AO90" s="8">
        <v>0</v>
      </c>
      <c r="AP90" s="8">
        <f ca="1">SUM(AM90:AQ90)</f>
        <v>3175956</v>
      </c>
      <c r="AQ90" s="8">
        <v>1700000</v>
      </c>
      <c r="AR90" s="8">
        <v>0</v>
      </c>
      <c r="AS90" s="8">
        <v>0</v>
      </c>
      <c r="AT90" s="8">
        <f>SUM(AQ90:AS90)</f>
        <v>1700000</v>
      </c>
      <c r="AU90" s="8">
        <f t="shared" ca="1" si="23"/>
        <v>4175956</v>
      </c>
      <c r="AV90" s="8">
        <v>795698</v>
      </c>
      <c r="AW90" s="8">
        <v>749803</v>
      </c>
      <c r="AX90" s="8">
        <v>0</v>
      </c>
      <c r="AY90" s="8">
        <f>SUM(AV90:AX90)</f>
        <v>1545501</v>
      </c>
      <c r="AZ90" s="8">
        <v>1700000</v>
      </c>
      <c r="BA90" s="8">
        <v>0</v>
      </c>
      <c r="BB90" s="8">
        <v>0</v>
      </c>
      <c r="BC90" s="8">
        <f>SUM(AZ90:BB90)</f>
        <v>1700000</v>
      </c>
      <c r="BD90" s="5">
        <f t="shared" si="25"/>
        <v>3245501</v>
      </c>
    </row>
    <row r="91" spans="1:56" ht="34" x14ac:dyDescent="0.2">
      <c r="A91" s="6" t="s">
        <v>148</v>
      </c>
      <c r="B91" s="11" t="s">
        <v>149</v>
      </c>
      <c r="C91" s="8">
        <v>190000</v>
      </c>
      <c r="D91" s="8">
        <v>13000</v>
      </c>
      <c r="E91" s="8">
        <v>252000</v>
      </c>
      <c r="F91" s="8">
        <f>SUM(C91:E91)</f>
        <v>455000</v>
      </c>
      <c r="G91" s="8">
        <v>2800000</v>
      </c>
      <c r="H91" s="8">
        <v>0</v>
      </c>
      <c r="I91" s="8">
        <v>10600700</v>
      </c>
      <c r="J91" s="8">
        <f>SUM(G91:I91)</f>
        <v>13400700</v>
      </c>
      <c r="K91" s="5">
        <f t="shared" si="21"/>
        <v>13855700</v>
      </c>
      <c r="L91" s="8">
        <v>255535</v>
      </c>
      <c r="M91" s="8">
        <v>14000</v>
      </c>
      <c r="N91" s="8">
        <v>251830</v>
      </c>
      <c r="O91" s="8">
        <f>SUM(L91:N91)</f>
        <v>521365</v>
      </c>
      <c r="P91" s="8">
        <f>13595000</f>
        <v>13595000</v>
      </c>
      <c r="Q91" s="8">
        <v>3000000</v>
      </c>
      <c r="R91" s="8">
        <f>14000000+3000000</f>
        <v>17000000</v>
      </c>
      <c r="S91" s="8">
        <f>SUM(P91:R91)</f>
        <v>33595000</v>
      </c>
      <c r="T91" s="5">
        <f t="shared" si="24"/>
        <v>34116365</v>
      </c>
      <c r="U91" s="8"/>
      <c r="V91" s="8"/>
      <c r="W91" s="8"/>
      <c r="X91" s="8"/>
      <c r="Y91" s="8"/>
      <c r="Z91" s="8"/>
      <c r="AA91" s="65"/>
      <c r="AB91" s="8"/>
      <c r="AC91" s="5"/>
      <c r="AD91" s="49">
        <v>363379</v>
      </c>
      <c r="AE91" s="49">
        <v>14000</v>
      </c>
      <c r="AF91" s="49">
        <v>254830</v>
      </c>
      <c r="AG91" s="52">
        <f>SUM(AD91:AF91)</f>
        <v>632209</v>
      </c>
      <c r="AH91" s="49">
        <v>17935000</v>
      </c>
      <c r="AI91" s="49">
        <v>6098204</v>
      </c>
      <c r="AJ91" s="49">
        <v>11500000</v>
      </c>
      <c r="AK91" s="8">
        <f>SUM(AH91:AJ91)</f>
        <v>35533204</v>
      </c>
      <c r="AL91" s="5">
        <f t="shared" si="29"/>
        <v>36165413</v>
      </c>
      <c r="AM91" s="8">
        <v>363379</v>
      </c>
      <c r="AN91" s="8">
        <v>10602</v>
      </c>
      <c r="AO91" s="8">
        <v>204956</v>
      </c>
      <c r="AP91" s="8">
        <f>SUM(AM91:AO91)</f>
        <v>578937</v>
      </c>
      <c r="AQ91" s="8">
        <v>19980000</v>
      </c>
      <c r="AR91" s="8">
        <v>6098204</v>
      </c>
      <c r="AS91" s="8">
        <v>11500000</v>
      </c>
      <c r="AT91" s="8">
        <f>SUM(AQ91:AS91)</f>
        <v>37578204</v>
      </c>
      <c r="AU91" s="8">
        <f>AP91+AT91</f>
        <v>38157141</v>
      </c>
      <c r="AV91" s="8">
        <v>363379</v>
      </c>
      <c r="AW91" s="8">
        <v>11687</v>
      </c>
      <c r="AX91" s="8">
        <v>223665</v>
      </c>
      <c r="AY91" s="8">
        <f>SUM(AV91:AX91)</f>
        <v>598731</v>
      </c>
      <c r="AZ91" s="8">
        <v>19179713</v>
      </c>
      <c r="BA91" s="8">
        <v>6098204</v>
      </c>
      <c r="BB91" s="8">
        <v>11500000</v>
      </c>
      <c r="BC91" s="8">
        <f>SUM(AZ91:BB91)</f>
        <v>36777917</v>
      </c>
      <c r="BD91" s="5">
        <f t="shared" si="25"/>
        <v>37376648</v>
      </c>
    </row>
    <row r="92" spans="1:56" ht="34" x14ac:dyDescent="0.2">
      <c r="A92" s="6" t="s">
        <v>150</v>
      </c>
      <c r="B92" s="11" t="s">
        <v>151</v>
      </c>
      <c r="C92" s="8">
        <v>2171000</v>
      </c>
      <c r="D92" s="8">
        <v>153000</v>
      </c>
      <c r="E92" s="8">
        <v>212000</v>
      </c>
      <c r="F92" s="8">
        <f>SUM(C92:E92)</f>
        <v>2536000</v>
      </c>
      <c r="G92" s="8">
        <v>3606000</v>
      </c>
      <c r="H92" s="8">
        <v>1047000</v>
      </c>
      <c r="I92" s="8">
        <v>2358000</v>
      </c>
      <c r="J92" s="8">
        <f>SUM(G92:I92)</f>
        <v>7011000</v>
      </c>
      <c r="K92" s="5">
        <f t="shared" si="21"/>
        <v>9547000</v>
      </c>
      <c r="L92" s="8">
        <v>2686880</v>
      </c>
      <c r="M92" s="8">
        <v>80650</v>
      </c>
      <c r="N92" s="8">
        <v>342021</v>
      </c>
      <c r="O92" s="8">
        <f>SUM(L92:N92)</f>
        <v>3109551</v>
      </c>
      <c r="P92" s="8">
        <v>13490700</v>
      </c>
      <c r="Q92" s="8">
        <v>2400000</v>
      </c>
      <c r="R92" s="8">
        <f>800000+3100000</f>
        <v>3900000</v>
      </c>
      <c r="S92" s="8">
        <f>SUM(P92:R92)</f>
        <v>19790700</v>
      </c>
      <c r="T92" s="5">
        <f t="shared" si="24"/>
        <v>22900251</v>
      </c>
      <c r="U92" s="8"/>
      <c r="V92" s="8"/>
      <c r="W92" s="8"/>
      <c r="X92" s="8"/>
      <c r="Y92" s="8"/>
      <c r="Z92" s="8"/>
      <c r="AA92" s="65"/>
      <c r="AB92" s="8"/>
      <c r="AC92" s="5"/>
      <c r="AD92" s="49">
        <v>3669506</v>
      </c>
      <c r="AE92" s="49">
        <v>97650</v>
      </c>
      <c r="AF92" s="49">
        <v>1329341</v>
      </c>
      <c r="AG92" s="52">
        <f>SUM(AD92:AF92)</f>
        <v>5096497</v>
      </c>
      <c r="AH92" s="49">
        <v>5500000</v>
      </c>
      <c r="AI92" s="49">
        <v>5213770</v>
      </c>
      <c r="AJ92" s="49">
        <v>1000000</v>
      </c>
      <c r="AK92" s="8">
        <f>SUM(AH92:AJ92)</f>
        <v>11713770</v>
      </c>
      <c r="AL92" s="5">
        <f t="shared" si="29"/>
        <v>16810267</v>
      </c>
      <c r="AM92" s="8">
        <v>3669507</v>
      </c>
      <c r="AN92" s="8">
        <v>73955</v>
      </c>
      <c r="AO92" s="8">
        <v>1069172</v>
      </c>
      <c r="AP92" s="8">
        <f>SUM(AM92:AO92)</f>
        <v>4812634</v>
      </c>
      <c r="AQ92" s="8">
        <v>8150000</v>
      </c>
      <c r="AR92" s="8">
        <v>5213770</v>
      </c>
      <c r="AS92" s="8">
        <v>1000000</v>
      </c>
      <c r="AT92" s="8">
        <f>SUM(AQ92:AS92)</f>
        <v>14363770</v>
      </c>
      <c r="AU92" s="8">
        <f>AT92+AP92</f>
        <v>19176404</v>
      </c>
      <c r="AV92" s="8">
        <v>3669507</v>
      </c>
      <c r="AW92" s="8">
        <v>81515</v>
      </c>
      <c r="AX92" s="8">
        <v>1166759</v>
      </c>
      <c r="AY92" s="8">
        <f>SUM(AV92:AX92)</f>
        <v>4917781</v>
      </c>
      <c r="AZ92" s="8">
        <v>8150000</v>
      </c>
      <c r="BA92" s="8">
        <v>5213770</v>
      </c>
      <c r="BB92" s="8">
        <v>1000000</v>
      </c>
      <c r="BC92" s="8">
        <f>SUM(AZ92:BB92)</f>
        <v>14363770</v>
      </c>
      <c r="BD92" s="5">
        <f>BC92+AY92</f>
        <v>19281551</v>
      </c>
    </row>
    <row r="93" spans="1:56" ht="17" x14ac:dyDescent="0.2">
      <c r="A93" s="6" t="s">
        <v>152</v>
      </c>
      <c r="B93" s="11" t="s">
        <v>153</v>
      </c>
      <c r="C93" s="8">
        <v>129000</v>
      </c>
      <c r="D93" s="8">
        <v>19000</v>
      </c>
      <c r="E93" s="8">
        <v>564000</v>
      </c>
      <c r="F93" s="8">
        <f>SUM(C93:E93)</f>
        <v>712000</v>
      </c>
      <c r="G93" s="8">
        <v>11497000</v>
      </c>
      <c r="H93" s="8">
        <v>1353000</v>
      </c>
      <c r="I93" s="8">
        <v>14383000</v>
      </c>
      <c r="J93" s="8">
        <f>SUM(G93:I93)</f>
        <v>27233000</v>
      </c>
      <c r="K93" s="5">
        <f t="shared" si="21"/>
        <v>27945000</v>
      </c>
      <c r="L93" s="8">
        <v>185582</v>
      </c>
      <c r="M93" s="8">
        <v>23200</v>
      </c>
      <c r="N93" s="8">
        <v>515029</v>
      </c>
      <c r="O93" s="8">
        <f>SUM(L93:N93)</f>
        <v>723811</v>
      </c>
      <c r="P93" s="8">
        <v>20973000</v>
      </c>
      <c r="Q93" s="8">
        <v>0</v>
      </c>
      <c r="R93" s="8">
        <v>9100000</v>
      </c>
      <c r="S93" s="8">
        <f>SUM(P93:R93)</f>
        <v>30073000</v>
      </c>
      <c r="T93" s="5">
        <f t="shared" si="24"/>
        <v>30796811</v>
      </c>
      <c r="U93" s="8"/>
      <c r="V93" s="8"/>
      <c r="W93" s="8"/>
      <c r="X93" s="8"/>
      <c r="Y93" s="65"/>
      <c r="Z93" s="65"/>
      <c r="AA93" s="65"/>
      <c r="AB93" s="8"/>
      <c r="AC93" s="5"/>
      <c r="AD93" s="49">
        <v>273462</v>
      </c>
      <c r="AE93" s="49">
        <v>26600</v>
      </c>
      <c r="AF93" s="49">
        <v>495875</v>
      </c>
      <c r="AG93" s="52">
        <f>SUM(AD93:AF93)</f>
        <v>795937</v>
      </c>
      <c r="AH93" s="49">
        <v>54820759</v>
      </c>
      <c r="AI93" s="49">
        <v>0</v>
      </c>
      <c r="AJ93" s="49">
        <v>17000000</v>
      </c>
      <c r="AK93" s="8">
        <f>SUM(AH93:AJ93)</f>
        <v>71820759</v>
      </c>
      <c r="AL93" s="5">
        <f t="shared" si="29"/>
        <v>72616696</v>
      </c>
      <c r="AM93" s="8">
        <v>273462</v>
      </c>
      <c r="AN93" s="8">
        <v>20145</v>
      </c>
      <c r="AO93" s="8">
        <v>398826</v>
      </c>
      <c r="AP93" s="8">
        <f>SUM(AM93:AO93)</f>
        <v>692433</v>
      </c>
      <c r="AQ93" s="8">
        <v>44186142</v>
      </c>
      <c r="AR93" s="8">
        <v>0</v>
      </c>
      <c r="AS93" s="8">
        <v>7065133</v>
      </c>
      <c r="AT93" s="8">
        <f>SUM(AQ93:AS93)</f>
        <v>51251275</v>
      </c>
      <c r="AU93" s="8">
        <f t="shared" ref="AU93:AU99" si="30">AP93+AT93</f>
        <v>51943708</v>
      </c>
      <c r="AV93" s="8">
        <v>273462</v>
      </c>
      <c r="AW93" s="8">
        <v>22205</v>
      </c>
      <c r="AX93" s="8">
        <v>435228</v>
      </c>
      <c r="AY93" s="8">
        <f>SUM(AV93:AX93)</f>
        <v>730895</v>
      </c>
      <c r="AZ93" s="8">
        <v>44186142</v>
      </c>
      <c r="BA93" s="8">
        <v>0</v>
      </c>
      <c r="BB93" s="8">
        <v>7065133</v>
      </c>
      <c r="BC93" s="8">
        <f>SUM(AZ93:BB93)</f>
        <v>51251275</v>
      </c>
      <c r="BD93" s="5">
        <f t="shared" si="25"/>
        <v>51982170</v>
      </c>
    </row>
    <row r="94" spans="1:56" ht="17" x14ac:dyDescent="0.2">
      <c r="A94" s="9" t="s">
        <v>154</v>
      </c>
      <c r="B94" s="11" t="s">
        <v>155</v>
      </c>
      <c r="C94" s="8">
        <v>113000</v>
      </c>
      <c r="D94" s="8">
        <v>21000</v>
      </c>
      <c r="E94" s="8">
        <v>30000</v>
      </c>
      <c r="F94" s="8">
        <f>SUM(C94:E94)</f>
        <v>164000</v>
      </c>
      <c r="G94" s="8">
        <v>13154169</v>
      </c>
      <c r="H94" s="8"/>
      <c r="I94" s="8">
        <v>2000000</v>
      </c>
      <c r="J94" s="8">
        <f>SUM(G94:I94)</f>
        <v>15154169</v>
      </c>
      <c r="K94" s="5">
        <f t="shared" si="21"/>
        <v>15318169</v>
      </c>
      <c r="L94" s="8">
        <v>151227</v>
      </c>
      <c r="M94" s="8">
        <v>18000</v>
      </c>
      <c r="N94" s="8">
        <v>29750</v>
      </c>
      <c r="O94" s="8">
        <f>SUM(L94:N94)</f>
        <v>198977</v>
      </c>
      <c r="P94" s="8">
        <v>15507822</v>
      </c>
      <c r="Q94" s="8"/>
      <c r="R94" s="8">
        <v>0</v>
      </c>
      <c r="S94" s="8">
        <f>SUM(P94:R94)</f>
        <v>15507822</v>
      </c>
      <c r="T94" s="5">
        <f t="shared" si="24"/>
        <v>15706799</v>
      </c>
      <c r="U94" s="8"/>
      <c r="V94" s="8"/>
      <c r="W94" s="8"/>
      <c r="X94" s="8"/>
      <c r="Y94" s="65"/>
      <c r="Z94" s="70"/>
      <c r="AA94" s="8"/>
      <c r="AB94" s="8"/>
      <c r="AC94" s="5"/>
      <c r="AD94" s="57">
        <v>191640</v>
      </c>
      <c r="AE94" s="57">
        <v>21000</v>
      </c>
      <c r="AF94" s="57">
        <v>29750</v>
      </c>
      <c r="AG94" s="54">
        <f>SUM(AD94:AF94)</f>
        <v>242390</v>
      </c>
      <c r="AH94" s="57">
        <v>32273000</v>
      </c>
      <c r="AI94" s="57">
        <v>0</v>
      </c>
      <c r="AJ94" s="57">
        <v>6950356</v>
      </c>
      <c r="AK94" s="8">
        <f>SUM(AH94:AJ94)</f>
        <v>39223356</v>
      </c>
      <c r="AL94" s="5">
        <f t="shared" si="29"/>
        <v>39465746</v>
      </c>
      <c r="AM94" s="8">
        <v>191640</v>
      </c>
      <c r="AN94" s="8">
        <v>15904</v>
      </c>
      <c r="AO94" s="8">
        <v>23927</v>
      </c>
      <c r="AP94" s="8">
        <f>SUM(AM94:AO94)</f>
        <v>231471</v>
      </c>
      <c r="AQ94" s="8">
        <v>14015493</v>
      </c>
      <c r="AR94" s="8">
        <v>0</v>
      </c>
      <c r="AS94" s="8">
        <v>6950356</v>
      </c>
      <c r="AT94" s="8">
        <f>SUM(AQ94:AS94)</f>
        <v>20965849</v>
      </c>
      <c r="AU94" s="8">
        <f t="shared" si="30"/>
        <v>21197320</v>
      </c>
      <c r="AV94" s="8">
        <v>191640</v>
      </c>
      <c r="AW94" s="8">
        <v>17530</v>
      </c>
      <c r="AX94" s="8">
        <v>26111</v>
      </c>
      <c r="AY94" s="8">
        <f>SUM(AV94:AX94)</f>
        <v>235281</v>
      </c>
      <c r="AZ94" s="8">
        <v>14015493</v>
      </c>
      <c r="BA94" s="8">
        <v>0</v>
      </c>
      <c r="BB94" s="8">
        <v>6950356</v>
      </c>
      <c r="BC94" s="8">
        <f>SUM(AZ94:BB94)</f>
        <v>20965849</v>
      </c>
      <c r="BD94" s="5">
        <f t="shared" si="25"/>
        <v>21201130</v>
      </c>
    </row>
    <row r="95" spans="1:56" ht="16" x14ac:dyDescent="0.2">
      <c r="A95" s="110" t="s">
        <v>232</v>
      </c>
      <c r="B95" s="111"/>
      <c r="C95" s="5">
        <v>1489556</v>
      </c>
      <c r="D95" s="5">
        <v>1392380</v>
      </c>
      <c r="E95" s="5">
        <v>6953738</v>
      </c>
      <c r="F95" s="5">
        <v>9835674</v>
      </c>
      <c r="G95" s="5">
        <v>24234942</v>
      </c>
      <c r="H95" s="5">
        <v>0</v>
      </c>
      <c r="I95" s="5">
        <v>24294606</v>
      </c>
      <c r="J95" s="5">
        <v>48529548</v>
      </c>
      <c r="K95" s="5">
        <v>58365222</v>
      </c>
      <c r="L95" s="5">
        <v>1230800</v>
      </c>
      <c r="M95" s="5">
        <v>901882</v>
      </c>
      <c r="N95" s="5">
        <v>5468909</v>
      </c>
      <c r="O95" s="5">
        <v>7601591</v>
      </c>
      <c r="P95" s="5">
        <v>14000000</v>
      </c>
      <c r="Q95" s="5">
        <v>0</v>
      </c>
      <c r="R95" s="5">
        <v>0</v>
      </c>
      <c r="S95" s="5">
        <v>14000000</v>
      </c>
      <c r="T95" s="5">
        <v>21601591</v>
      </c>
      <c r="U95" s="5">
        <v>1324894</v>
      </c>
      <c r="V95" s="5">
        <v>1785998</v>
      </c>
      <c r="W95" s="5">
        <v>5159055</v>
      </c>
      <c r="X95" s="5">
        <v>8269947</v>
      </c>
      <c r="Y95" s="5">
        <v>17650128</v>
      </c>
      <c r="Z95" s="5">
        <v>0</v>
      </c>
      <c r="AA95" s="5">
        <v>0</v>
      </c>
      <c r="AB95" s="5">
        <v>17650128</v>
      </c>
      <c r="AC95" s="5">
        <v>25920075</v>
      </c>
      <c r="AD95" s="5">
        <v>1390747</v>
      </c>
      <c r="AE95" s="5">
        <v>1928998</v>
      </c>
      <c r="AF95" s="5">
        <v>3708056</v>
      </c>
      <c r="AG95" s="5">
        <v>7027801</v>
      </c>
      <c r="AH95" s="5">
        <v>25950000</v>
      </c>
      <c r="AI95" s="5">
        <v>0</v>
      </c>
      <c r="AJ95" s="5">
        <v>0</v>
      </c>
      <c r="AK95" s="5">
        <v>25950000</v>
      </c>
      <c r="AL95" s="5">
        <v>32977801</v>
      </c>
      <c r="AM95" s="5">
        <v>1390747</v>
      </c>
      <c r="AN95" s="5">
        <v>1332906</v>
      </c>
      <c r="AO95" s="5">
        <v>3157007</v>
      </c>
      <c r="AP95" s="5">
        <v>5880660</v>
      </c>
      <c r="AQ95" s="5">
        <v>8380000</v>
      </c>
      <c r="AR95" s="5">
        <v>0</v>
      </c>
      <c r="AS95" s="5">
        <v>0</v>
      </c>
      <c r="AT95" s="5">
        <v>8380000</v>
      </c>
      <c r="AU95" s="5">
        <v>14260660</v>
      </c>
      <c r="AV95" s="5">
        <v>1390747</v>
      </c>
      <c r="AW95" s="5">
        <v>1514116</v>
      </c>
      <c r="AX95" s="5">
        <v>3236095</v>
      </c>
      <c r="AY95" s="5">
        <v>6140958</v>
      </c>
      <c r="AZ95" s="5">
        <v>5237500</v>
      </c>
      <c r="BA95" s="5">
        <v>0</v>
      </c>
      <c r="BB95" s="5">
        <v>0</v>
      </c>
      <c r="BC95" s="5">
        <v>5237500</v>
      </c>
      <c r="BD95" s="5">
        <v>11378458</v>
      </c>
    </row>
    <row r="96" spans="1:56" ht="34" x14ac:dyDescent="0.2">
      <c r="A96" s="6" t="s">
        <v>156</v>
      </c>
      <c r="B96" s="11" t="s">
        <v>247</v>
      </c>
      <c r="C96" s="8">
        <v>677185</v>
      </c>
      <c r="D96" s="8">
        <v>953405</v>
      </c>
      <c r="E96" s="8">
        <v>1833783</v>
      </c>
      <c r="F96" s="8">
        <f>SUM(C96:E96)</f>
        <v>3464373</v>
      </c>
      <c r="G96" s="8">
        <v>450000</v>
      </c>
      <c r="H96" s="8"/>
      <c r="I96" s="8"/>
      <c r="J96" s="8">
        <f>SUM(G96:I96)</f>
        <v>450000</v>
      </c>
      <c r="K96" s="5">
        <f t="shared" si="21"/>
        <v>3914373</v>
      </c>
      <c r="L96" s="8">
        <v>645809</v>
      </c>
      <c r="M96" s="8">
        <v>439762</v>
      </c>
      <c r="N96" s="8">
        <v>2453854</v>
      </c>
      <c r="O96" s="8">
        <f>SUM(L96:N96)</f>
        <v>3539425</v>
      </c>
      <c r="P96" s="8">
        <v>150000</v>
      </c>
      <c r="Q96" s="8"/>
      <c r="R96" s="8"/>
      <c r="S96" s="8">
        <f>SUM(P96:R96)</f>
        <v>150000</v>
      </c>
      <c r="T96" s="5">
        <f t="shared" si="24"/>
        <v>3689425</v>
      </c>
      <c r="U96" s="8"/>
      <c r="V96" s="8"/>
      <c r="W96" s="8"/>
      <c r="X96" s="8"/>
      <c r="Y96" s="8"/>
      <c r="Z96" s="8"/>
      <c r="AA96" s="8"/>
      <c r="AB96" s="8"/>
      <c r="AC96" s="5"/>
      <c r="AD96" s="47">
        <v>537486</v>
      </c>
      <c r="AE96" s="47">
        <v>1114393</v>
      </c>
      <c r="AF96" s="47">
        <v>241000</v>
      </c>
      <c r="AG96" s="55">
        <f>SUM(AD96:AF96)</f>
        <v>1892879</v>
      </c>
      <c r="AH96" s="47">
        <v>0</v>
      </c>
      <c r="AI96" s="47">
        <v>0</v>
      </c>
      <c r="AJ96" s="47">
        <v>0</v>
      </c>
      <c r="AK96" s="5">
        <f>AH96+AI96+AJ96</f>
        <v>0</v>
      </c>
      <c r="AL96" s="5">
        <f t="shared" si="29"/>
        <v>1892879</v>
      </c>
      <c r="AM96" s="47">
        <v>537486</v>
      </c>
      <c r="AN96" s="8">
        <v>771066</v>
      </c>
      <c r="AO96" s="8">
        <v>235554</v>
      </c>
      <c r="AP96" s="8">
        <f>SUM(AM96:AO96)</f>
        <v>1544106</v>
      </c>
      <c r="AQ96" s="8">
        <v>0</v>
      </c>
      <c r="AR96" s="8"/>
      <c r="AS96" s="8"/>
      <c r="AT96" s="8">
        <f>AQ96+AR96+AS96</f>
        <v>0</v>
      </c>
      <c r="AU96" s="8">
        <f t="shared" si="30"/>
        <v>1544106</v>
      </c>
      <c r="AV96" s="8">
        <v>537486</v>
      </c>
      <c r="AW96" s="8">
        <v>878867</v>
      </c>
      <c r="AX96" s="8">
        <v>236299</v>
      </c>
      <c r="AY96" s="8">
        <f>SUM(AV96:AX96)</f>
        <v>1652652</v>
      </c>
      <c r="AZ96" s="8">
        <v>0</v>
      </c>
      <c r="BA96" s="8"/>
      <c r="BB96" s="8"/>
      <c r="BC96" s="5">
        <f t="shared" si="28"/>
        <v>0</v>
      </c>
      <c r="BD96" s="5">
        <f t="shared" si="25"/>
        <v>1652652</v>
      </c>
    </row>
    <row r="97" spans="1:56" ht="17" x14ac:dyDescent="0.2">
      <c r="A97" s="6" t="s">
        <v>157</v>
      </c>
      <c r="B97" s="11" t="s">
        <v>158</v>
      </c>
      <c r="C97" s="8">
        <v>306551</v>
      </c>
      <c r="D97" s="8">
        <f>272975+48000</f>
        <v>320975</v>
      </c>
      <c r="E97" s="8">
        <v>1936822</v>
      </c>
      <c r="F97" s="8">
        <f>SUM(C97:E97)</f>
        <v>2564348</v>
      </c>
      <c r="G97" s="8">
        <f>6660327+3824900</f>
        <v>10485227</v>
      </c>
      <c r="H97" s="8"/>
      <c r="I97" s="8"/>
      <c r="J97" s="8">
        <f>SUM(G97:I97)</f>
        <v>10485227</v>
      </c>
      <c r="K97" s="5">
        <f t="shared" si="21"/>
        <v>13049575</v>
      </c>
      <c r="L97" s="8">
        <v>523072</v>
      </c>
      <c r="M97" s="8">
        <v>378470</v>
      </c>
      <c r="N97" s="8">
        <v>2765055</v>
      </c>
      <c r="O97" s="8">
        <f>SUM(L97:N97)</f>
        <v>3666597</v>
      </c>
      <c r="P97" s="8">
        <v>13850000</v>
      </c>
      <c r="Q97" s="8"/>
      <c r="R97" s="8"/>
      <c r="S97" s="8">
        <f>SUM(P97:R97)</f>
        <v>13850000</v>
      </c>
      <c r="T97" s="5">
        <f t="shared" si="24"/>
        <v>17516597</v>
      </c>
      <c r="U97" s="8"/>
      <c r="V97" s="8"/>
      <c r="W97" s="65"/>
      <c r="X97" s="8"/>
      <c r="Y97" s="65"/>
      <c r="Z97" s="8"/>
      <c r="AA97" s="8"/>
      <c r="AB97" s="8"/>
      <c r="AC97" s="5"/>
      <c r="AD97" s="49">
        <v>774242</v>
      </c>
      <c r="AE97" s="49">
        <v>735360</v>
      </c>
      <c r="AF97" s="49">
        <v>2746056</v>
      </c>
      <c r="AG97" s="52">
        <f>SUM(AD97:AF97)</f>
        <v>4255658</v>
      </c>
      <c r="AH97" s="49">
        <f>3392000+22388000</f>
        <v>25780000</v>
      </c>
      <c r="AI97" s="49">
        <v>0</v>
      </c>
      <c r="AJ97" s="49">
        <v>0</v>
      </c>
      <c r="AK97" s="5">
        <f>AH97+AI97+AJ97</f>
        <v>25780000</v>
      </c>
      <c r="AL97" s="5">
        <f t="shared" si="29"/>
        <v>30035658</v>
      </c>
      <c r="AM97" s="49">
        <v>774242</v>
      </c>
      <c r="AN97" s="8">
        <v>507910</v>
      </c>
      <c r="AO97" s="8">
        <v>2343028</v>
      </c>
      <c r="AP97" s="8">
        <f>SUM(AM97:AO97)</f>
        <v>3625180</v>
      </c>
      <c r="AQ97" s="8">
        <f>1518000+6692000</f>
        <v>8210000</v>
      </c>
      <c r="AR97" s="8"/>
      <c r="AS97" s="8">
        <v>0</v>
      </c>
      <c r="AT97" s="8">
        <f>AQ97+AR97+AS97</f>
        <v>8210000</v>
      </c>
      <c r="AU97" s="8">
        <f t="shared" si="30"/>
        <v>11835180</v>
      </c>
      <c r="AV97" s="8">
        <v>774242</v>
      </c>
      <c r="AW97" s="8">
        <v>573791</v>
      </c>
      <c r="AX97" s="8">
        <v>2400865</v>
      </c>
      <c r="AY97" s="8">
        <f>SUM(AV97:AX97)</f>
        <v>3748898</v>
      </c>
      <c r="AZ97" s="8">
        <f>967800+4099700</f>
        <v>5067500</v>
      </c>
      <c r="BA97" s="8"/>
      <c r="BB97" s="8">
        <v>0</v>
      </c>
      <c r="BC97" s="5">
        <f t="shared" si="28"/>
        <v>5067500</v>
      </c>
      <c r="BD97" s="5">
        <f t="shared" si="25"/>
        <v>8816398</v>
      </c>
    </row>
    <row r="98" spans="1:56" ht="17" x14ac:dyDescent="0.2">
      <c r="A98" s="6" t="s">
        <v>159</v>
      </c>
      <c r="B98" s="11" t="s">
        <v>224</v>
      </c>
      <c r="C98" s="8">
        <v>31756</v>
      </c>
      <c r="D98" s="8">
        <v>18000</v>
      </c>
      <c r="E98" s="8">
        <v>880000</v>
      </c>
      <c r="F98" s="8">
        <f>SUM(C98:E98)</f>
        <v>929756</v>
      </c>
      <c r="G98" s="8">
        <v>120000</v>
      </c>
      <c r="H98" s="8"/>
      <c r="I98" s="8"/>
      <c r="J98" s="8">
        <f>SUM(G98:I98)</f>
        <v>120000</v>
      </c>
      <c r="K98" s="5">
        <f t="shared" si="21"/>
        <v>1049756</v>
      </c>
      <c r="L98" s="8">
        <v>61919</v>
      </c>
      <c r="M98" s="8">
        <v>83650</v>
      </c>
      <c r="N98" s="8">
        <v>250000</v>
      </c>
      <c r="O98" s="8">
        <f>SUM(L98:N98)</f>
        <v>395569</v>
      </c>
      <c r="P98" s="8">
        <v>0</v>
      </c>
      <c r="Q98" s="8"/>
      <c r="R98" s="8"/>
      <c r="S98" s="8">
        <f>SUM(P98:R98)</f>
        <v>0</v>
      </c>
      <c r="T98" s="5">
        <f t="shared" si="24"/>
        <v>395569</v>
      </c>
      <c r="U98" s="8"/>
      <c r="V98" s="8"/>
      <c r="W98" s="8"/>
      <c r="X98" s="8"/>
      <c r="Y98" s="8"/>
      <c r="Z98" s="8"/>
      <c r="AA98" s="8"/>
      <c r="AB98" s="8"/>
      <c r="AC98" s="5"/>
      <c r="AD98" s="57">
        <v>79019</v>
      </c>
      <c r="AE98" s="57">
        <v>79245</v>
      </c>
      <c r="AF98" s="57">
        <v>721000</v>
      </c>
      <c r="AG98" s="54">
        <f>SUM(AD98:AF98)</f>
        <v>879264</v>
      </c>
      <c r="AH98" s="57">
        <v>170000</v>
      </c>
      <c r="AI98" s="57">
        <v>0</v>
      </c>
      <c r="AJ98" s="57">
        <v>0</v>
      </c>
      <c r="AK98" s="5">
        <f>AH98+AI98+AJ98</f>
        <v>170000</v>
      </c>
      <c r="AL98" s="5">
        <f t="shared" si="29"/>
        <v>1049264</v>
      </c>
      <c r="AM98" s="57">
        <v>79019</v>
      </c>
      <c r="AN98" s="8">
        <v>53930</v>
      </c>
      <c r="AO98" s="8">
        <v>578425</v>
      </c>
      <c r="AP98" s="8">
        <f>SUM(AM98:AO98)</f>
        <v>711374</v>
      </c>
      <c r="AQ98" s="8">
        <v>170000</v>
      </c>
      <c r="AR98" s="8">
        <v>0</v>
      </c>
      <c r="AS98" s="8"/>
      <c r="AT98" s="8">
        <f>AQ98+AR98+AS98</f>
        <v>170000</v>
      </c>
      <c r="AU98" s="8">
        <f t="shared" si="30"/>
        <v>881374</v>
      </c>
      <c r="AV98" s="8">
        <v>79019</v>
      </c>
      <c r="AW98" s="8">
        <v>61458</v>
      </c>
      <c r="AX98" s="8">
        <v>598931</v>
      </c>
      <c r="AY98" s="8">
        <f>SUM(AV98:AX98)</f>
        <v>739408</v>
      </c>
      <c r="AZ98" s="8">
        <v>170000</v>
      </c>
      <c r="BA98" s="8">
        <v>0</v>
      </c>
      <c r="BB98" s="8"/>
      <c r="BC98" s="5">
        <f t="shared" si="28"/>
        <v>170000</v>
      </c>
      <c r="BD98" s="5">
        <f t="shared" si="25"/>
        <v>909408</v>
      </c>
    </row>
    <row r="99" spans="1:56" ht="17" x14ac:dyDescent="0.2">
      <c r="A99" s="6" t="s">
        <v>160</v>
      </c>
      <c r="B99" s="11" t="s">
        <v>161</v>
      </c>
      <c r="C99" s="8">
        <v>119379</v>
      </c>
      <c r="D99" s="8">
        <v>33500</v>
      </c>
      <c r="E99" s="8">
        <v>254000</v>
      </c>
      <c r="F99" s="8">
        <f>SUM(C99:E99)</f>
        <v>406879</v>
      </c>
      <c r="G99" s="8">
        <v>9339715</v>
      </c>
      <c r="H99" s="8"/>
      <c r="I99" s="8">
        <v>24294606</v>
      </c>
      <c r="J99" s="8">
        <f>SUM(G99:I99)</f>
        <v>33634321</v>
      </c>
      <c r="K99" s="5">
        <f t="shared" si="21"/>
        <v>34041200</v>
      </c>
      <c r="L99" s="8">
        <v>0</v>
      </c>
      <c r="M99" s="8">
        <v>0</v>
      </c>
      <c r="N99" s="8">
        <v>0</v>
      </c>
      <c r="O99" s="8">
        <f>SUM(L99:N99)</f>
        <v>0</v>
      </c>
      <c r="P99" s="8">
        <v>0</v>
      </c>
      <c r="Q99" s="8"/>
      <c r="R99" s="8">
        <v>0</v>
      </c>
      <c r="S99" s="8">
        <f>SUM(P99:R99)</f>
        <v>0</v>
      </c>
      <c r="T99" s="5">
        <f t="shared" si="24"/>
        <v>0</v>
      </c>
      <c r="U99" s="8"/>
      <c r="V99" s="8"/>
      <c r="W99" s="8"/>
      <c r="X99" s="8"/>
      <c r="Y99" s="8"/>
      <c r="Z99" s="8"/>
      <c r="AA99" s="8"/>
      <c r="AB99" s="8"/>
      <c r="AC99" s="5"/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5">
        <v>0</v>
      </c>
      <c r="AL99" s="5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f t="shared" si="30"/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5">
        <v>0</v>
      </c>
      <c r="BD99" s="5">
        <f t="shared" si="25"/>
        <v>0</v>
      </c>
    </row>
    <row r="100" spans="1:56" ht="17" x14ac:dyDescent="0.2">
      <c r="A100" s="6" t="s">
        <v>162</v>
      </c>
      <c r="B100" s="11" t="s">
        <v>163</v>
      </c>
      <c r="C100" s="8">
        <v>354685</v>
      </c>
      <c r="D100" s="8">
        <v>66500</v>
      </c>
      <c r="E100" s="8">
        <v>2049133</v>
      </c>
      <c r="F100" s="8">
        <f>SUM(C100:E100)</f>
        <v>2470318</v>
      </c>
      <c r="G100" s="8">
        <f>1940000+1100000+800000</f>
        <v>3840000</v>
      </c>
      <c r="H100" s="8"/>
      <c r="I100" s="8">
        <v>0</v>
      </c>
      <c r="J100" s="8">
        <f>SUM(G100:I100)</f>
        <v>3840000</v>
      </c>
      <c r="K100" s="5">
        <f t="shared" si="21"/>
        <v>6310318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5">
        <f t="shared" si="24"/>
        <v>0</v>
      </c>
      <c r="U100" s="8"/>
      <c r="V100" s="8"/>
      <c r="W100" s="8"/>
      <c r="X100" s="8"/>
      <c r="Y100" s="8"/>
      <c r="Z100" s="8"/>
      <c r="AA100" s="8"/>
      <c r="AB100" s="8"/>
      <c r="AC100" s="5"/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/>
      <c r="AJ100" s="8"/>
      <c r="AK100" s="5">
        <v>0</v>
      </c>
      <c r="AL100" s="5">
        <f t="shared" ref="AL100:AL118" si="31">AG100+AK100</f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/>
      <c r="AS100" s="8"/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/>
      <c r="BB100" s="8"/>
      <c r="BC100" s="5">
        <v>0</v>
      </c>
      <c r="BD100" s="5">
        <v>0</v>
      </c>
    </row>
    <row r="101" spans="1:56" ht="16" x14ac:dyDescent="0.2">
      <c r="A101" s="110" t="s">
        <v>164</v>
      </c>
      <c r="B101" s="111"/>
      <c r="C101" s="5">
        <v>32846501</v>
      </c>
      <c r="D101" s="5">
        <v>4172313</v>
      </c>
      <c r="E101" s="5">
        <v>1892251</v>
      </c>
      <c r="F101" s="5">
        <v>38911065</v>
      </c>
      <c r="G101" s="5">
        <v>1000000</v>
      </c>
      <c r="H101" s="5">
        <v>0</v>
      </c>
      <c r="I101" s="5">
        <v>0</v>
      </c>
      <c r="J101" s="5">
        <v>1000000</v>
      </c>
      <c r="K101" s="5">
        <v>39911065</v>
      </c>
      <c r="L101" s="5">
        <v>32541900</v>
      </c>
      <c r="M101" s="5">
        <v>7771912</v>
      </c>
      <c r="N101" s="5">
        <v>556364</v>
      </c>
      <c r="O101" s="5">
        <v>40870176</v>
      </c>
      <c r="P101" s="5">
        <v>1984000</v>
      </c>
      <c r="Q101" s="5">
        <v>0</v>
      </c>
      <c r="R101" s="5">
        <v>0</v>
      </c>
      <c r="S101" s="5">
        <v>1984000</v>
      </c>
      <c r="T101" s="5">
        <v>42854176</v>
      </c>
      <c r="U101" s="5">
        <v>34391569</v>
      </c>
      <c r="V101" s="5">
        <v>7583450</v>
      </c>
      <c r="W101" s="5">
        <v>555899</v>
      </c>
      <c r="X101" s="5">
        <v>42530918</v>
      </c>
      <c r="Y101" s="5">
        <v>10840802</v>
      </c>
      <c r="Z101" s="5">
        <v>0</v>
      </c>
      <c r="AA101" s="5">
        <v>0</v>
      </c>
      <c r="AB101" s="5">
        <v>10840802</v>
      </c>
      <c r="AC101" s="5">
        <v>53371720</v>
      </c>
      <c r="AD101" s="5">
        <v>37864665</v>
      </c>
      <c r="AE101" s="5">
        <v>7270347</v>
      </c>
      <c r="AF101" s="5">
        <v>537519</v>
      </c>
      <c r="AG101" s="5">
        <v>45672531</v>
      </c>
      <c r="AH101" s="5">
        <v>14937036</v>
      </c>
      <c r="AI101" s="5">
        <v>0</v>
      </c>
      <c r="AJ101" s="5">
        <v>0</v>
      </c>
      <c r="AK101" s="5">
        <v>14937036</v>
      </c>
      <c r="AL101" s="5">
        <v>60609567</v>
      </c>
      <c r="AM101" s="5">
        <v>37864665</v>
      </c>
      <c r="AN101" s="5">
        <v>6466255</v>
      </c>
      <c r="AO101" s="5">
        <v>508285</v>
      </c>
      <c r="AP101" s="5">
        <v>44839205</v>
      </c>
      <c r="AQ101" s="5">
        <v>15683887</v>
      </c>
      <c r="AR101" s="5">
        <v>0</v>
      </c>
      <c r="AS101" s="5">
        <v>0</v>
      </c>
      <c r="AT101" s="5">
        <v>15683887</v>
      </c>
      <c r="AU101" s="5">
        <v>60523092</v>
      </c>
      <c r="AV101" s="5">
        <v>37864665</v>
      </c>
      <c r="AW101" s="5">
        <v>6530859</v>
      </c>
      <c r="AX101" s="5">
        <v>482564</v>
      </c>
      <c r="AY101" s="5">
        <v>44878088</v>
      </c>
      <c r="AZ101" s="5">
        <v>14937036</v>
      </c>
      <c r="BA101" s="5">
        <v>0</v>
      </c>
      <c r="BB101" s="5">
        <v>0</v>
      </c>
      <c r="BC101" s="5">
        <v>14937036</v>
      </c>
      <c r="BD101" s="5">
        <v>59815124</v>
      </c>
    </row>
    <row r="102" spans="1:56" ht="17" x14ac:dyDescent="0.2">
      <c r="A102" s="6" t="s">
        <v>165</v>
      </c>
      <c r="B102" s="11" t="s">
        <v>166</v>
      </c>
      <c r="C102" s="8">
        <v>471473</v>
      </c>
      <c r="D102" s="8">
        <v>1163419</v>
      </c>
      <c r="E102" s="8">
        <v>826380</v>
      </c>
      <c r="F102" s="5">
        <f>C102+D102+E102</f>
        <v>2461272</v>
      </c>
      <c r="G102" s="8">
        <v>0</v>
      </c>
      <c r="H102" s="8"/>
      <c r="I102" s="8"/>
      <c r="J102" s="8">
        <f>SUM(G102:I102)</f>
        <v>0</v>
      </c>
      <c r="K102" s="5">
        <f t="shared" si="21"/>
        <v>2461272</v>
      </c>
      <c r="L102" s="8">
        <v>379680</v>
      </c>
      <c r="M102" s="8">
        <v>1796652</v>
      </c>
      <c r="N102" s="8">
        <v>365476</v>
      </c>
      <c r="O102" s="5">
        <f>L102+M102+N102</f>
        <v>2541808</v>
      </c>
      <c r="P102" s="8">
        <v>0</v>
      </c>
      <c r="Q102" s="8"/>
      <c r="R102" s="8"/>
      <c r="S102" s="8">
        <f>SUM(P102:R102)</f>
        <v>0</v>
      </c>
      <c r="T102" s="5">
        <f t="shared" si="24"/>
        <v>2541808</v>
      </c>
      <c r="U102" s="8"/>
      <c r="V102" s="65"/>
      <c r="W102" s="65"/>
      <c r="X102" s="5"/>
      <c r="Y102" s="8"/>
      <c r="Z102" s="8"/>
      <c r="AA102" s="8"/>
      <c r="AB102" s="8"/>
      <c r="AC102" s="5"/>
      <c r="AD102" s="47">
        <v>229621</v>
      </c>
      <c r="AE102" s="47">
        <f>2058914+306397</f>
        <v>2365311</v>
      </c>
      <c r="AF102" s="47">
        <v>320519</v>
      </c>
      <c r="AG102" s="55">
        <f>SUM(AD102:AF102)</f>
        <v>2915451</v>
      </c>
      <c r="AH102" s="58">
        <v>0</v>
      </c>
      <c r="AI102" s="47">
        <v>0</v>
      </c>
      <c r="AJ102" s="47">
        <v>0</v>
      </c>
      <c r="AK102" s="5">
        <f t="shared" ref="AK102:AK114" si="32">AH102+AI102+AJ102</f>
        <v>0</v>
      </c>
      <c r="AL102" s="5">
        <f t="shared" si="31"/>
        <v>2915451</v>
      </c>
      <c r="AM102" s="47">
        <v>229621</v>
      </c>
      <c r="AN102" s="24">
        <v>2120872</v>
      </c>
      <c r="AO102" s="47">
        <v>291285</v>
      </c>
      <c r="AP102" s="5">
        <f>AM102+AN102+AO102</f>
        <v>2641778</v>
      </c>
      <c r="AQ102" s="8">
        <v>0</v>
      </c>
      <c r="AR102" s="8"/>
      <c r="AS102" s="8"/>
      <c r="AT102" s="5">
        <f t="shared" ref="AT102:AT114" si="33">AQ102+AR102+AS102</f>
        <v>0</v>
      </c>
      <c r="AU102" s="5">
        <f t="shared" ref="AU102:AU118" si="34">AP102+AT102</f>
        <v>2641778</v>
      </c>
      <c r="AV102" s="47">
        <v>229621</v>
      </c>
      <c r="AW102" s="24">
        <v>2127312</v>
      </c>
      <c r="AX102" s="24">
        <v>287749</v>
      </c>
      <c r="AY102" s="5">
        <f>AV102+AW102+AX102</f>
        <v>2644682</v>
      </c>
      <c r="AZ102" s="8">
        <v>0</v>
      </c>
      <c r="BA102" s="8"/>
      <c r="BB102" s="8"/>
      <c r="BC102" s="5">
        <f t="shared" si="28"/>
        <v>0</v>
      </c>
      <c r="BD102" s="5">
        <f t="shared" si="25"/>
        <v>2644682</v>
      </c>
    </row>
    <row r="103" spans="1:56" ht="17" x14ac:dyDescent="0.2">
      <c r="A103" s="6" t="s">
        <v>167</v>
      </c>
      <c r="B103" s="11" t="s">
        <v>168</v>
      </c>
      <c r="C103" s="8">
        <v>0</v>
      </c>
      <c r="D103" s="8">
        <v>801554</v>
      </c>
      <c r="E103" s="8">
        <v>953467</v>
      </c>
      <c r="F103" s="5">
        <f>C103+D103+E103</f>
        <v>1755021</v>
      </c>
      <c r="G103" s="8">
        <v>0</v>
      </c>
      <c r="H103" s="8"/>
      <c r="I103" s="8"/>
      <c r="J103" s="8">
        <f>SUM(G103:I103)</f>
        <v>0</v>
      </c>
      <c r="K103" s="5">
        <f t="shared" si="21"/>
        <v>1755021</v>
      </c>
      <c r="L103" s="8">
        <v>0</v>
      </c>
      <c r="M103" s="8">
        <v>0</v>
      </c>
      <c r="N103" s="8">
        <v>0</v>
      </c>
      <c r="O103" s="5">
        <f>L103+M103+N103</f>
        <v>0</v>
      </c>
      <c r="P103" s="8">
        <v>0</v>
      </c>
      <c r="Q103" s="8"/>
      <c r="R103" s="8"/>
      <c r="S103" s="8">
        <f>SUM(P103:R103)</f>
        <v>0</v>
      </c>
      <c r="T103" s="5">
        <f t="shared" si="24"/>
        <v>0</v>
      </c>
      <c r="U103" s="8"/>
      <c r="V103" s="8"/>
      <c r="W103" s="8"/>
      <c r="X103" s="5"/>
      <c r="Y103" s="8"/>
      <c r="Z103" s="8"/>
      <c r="AA103" s="8"/>
      <c r="AB103" s="8"/>
      <c r="AC103" s="5"/>
      <c r="AD103" s="8">
        <v>0</v>
      </c>
      <c r="AE103" s="8">
        <v>0</v>
      </c>
      <c r="AF103" s="8">
        <v>0</v>
      </c>
      <c r="AG103" s="5">
        <f>AD103+AE103+AF103</f>
        <v>0</v>
      </c>
      <c r="AH103" s="8">
        <v>0</v>
      </c>
      <c r="AI103" s="8">
        <v>0</v>
      </c>
      <c r="AJ103" s="8">
        <v>0</v>
      </c>
      <c r="AK103" s="5">
        <f t="shared" si="32"/>
        <v>0</v>
      </c>
      <c r="AL103" s="5">
        <f t="shared" si="31"/>
        <v>0</v>
      </c>
      <c r="AM103" s="8">
        <v>0</v>
      </c>
      <c r="AN103" s="8">
        <v>0</v>
      </c>
      <c r="AO103" s="8">
        <v>0</v>
      </c>
      <c r="AP103" s="5">
        <f>AM103+AN103+AO103</f>
        <v>0</v>
      </c>
      <c r="AQ103" s="8">
        <v>0</v>
      </c>
      <c r="AR103" s="8">
        <v>0</v>
      </c>
      <c r="AS103" s="8">
        <v>0</v>
      </c>
      <c r="AT103" s="5">
        <f t="shared" si="33"/>
        <v>0</v>
      </c>
      <c r="AU103" s="5">
        <f t="shared" si="34"/>
        <v>0</v>
      </c>
      <c r="AV103" s="8">
        <v>0</v>
      </c>
      <c r="AW103" s="8">
        <v>0</v>
      </c>
      <c r="AX103" s="8">
        <v>0</v>
      </c>
      <c r="AY103" s="5">
        <f>AV103+AW103+AX103</f>
        <v>0</v>
      </c>
      <c r="AZ103" s="8">
        <v>0</v>
      </c>
      <c r="BA103" s="8">
        <v>0</v>
      </c>
      <c r="BB103" s="8">
        <v>0</v>
      </c>
      <c r="BC103" s="5">
        <f t="shared" si="28"/>
        <v>0</v>
      </c>
      <c r="BD103" s="5">
        <f t="shared" si="25"/>
        <v>0</v>
      </c>
    </row>
    <row r="104" spans="1:56" ht="34" x14ac:dyDescent="0.2">
      <c r="A104" s="6" t="s">
        <v>169</v>
      </c>
      <c r="B104" s="11" t="s">
        <v>170</v>
      </c>
      <c r="C104" s="8">
        <v>32375028</v>
      </c>
      <c r="D104" s="8">
        <v>1754340</v>
      </c>
      <c r="E104" s="8">
        <v>112404</v>
      </c>
      <c r="F104" s="5">
        <f>C104+D104+E104</f>
        <v>34241772</v>
      </c>
      <c r="G104" s="8">
        <v>0</v>
      </c>
      <c r="H104" s="8">
        <v>0</v>
      </c>
      <c r="I104" s="8">
        <v>0</v>
      </c>
      <c r="J104" s="8">
        <f>SUM(G104:I104)</f>
        <v>0</v>
      </c>
      <c r="K104" s="5">
        <f t="shared" si="21"/>
        <v>34241772</v>
      </c>
      <c r="L104" s="8">
        <v>32162220</v>
      </c>
      <c r="M104" s="8">
        <v>5975260</v>
      </c>
      <c r="N104" s="8">
        <v>190888</v>
      </c>
      <c r="O104" s="5">
        <f>L104+M104+N104</f>
        <v>38328368</v>
      </c>
      <c r="P104" s="8">
        <v>1984000</v>
      </c>
      <c r="Q104" s="8">
        <v>0</v>
      </c>
      <c r="R104" s="8">
        <v>0</v>
      </c>
      <c r="S104" s="8">
        <f>SUM(P104:R104)</f>
        <v>1984000</v>
      </c>
      <c r="T104" s="5">
        <f t="shared" si="24"/>
        <v>40312368</v>
      </c>
      <c r="U104" s="8"/>
      <c r="V104" s="8"/>
      <c r="W104" s="8"/>
      <c r="X104" s="5"/>
      <c r="Y104" s="65"/>
      <c r="Z104" s="8"/>
      <c r="AA104" s="8"/>
      <c r="AB104" s="8"/>
      <c r="AC104" s="5"/>
      <c r="AD104" s="57">
        <v>37635044</v>
      </c>
      <c r="AE104" s="57">
        <v>4905036</v>
      </c>
      <c r="AF104" s="57">
        <v>217000</v>
      </c>
      <c r="AG104" s="54">
        <f>SUM(AD104:AF104)</f>
        <v>42757080</v>
      </c>
      <c r="AH104" s="57">
        <v>14937036</v>
      </c>
      <c r="AI104" s="57">
        <v>0</v>
      </c>
      <c r="AJ104" s="57">
        <v>0</v>
      </c>
      <c r="AK104" s="5">
        <f t="shared" si="32"/>
        <v>14937036</v>
      </c>
      <c r="AL104" s="5">
        <f t="shared" si="31"/>
        <v>57694116</v>
      </c>
      <c r="AM104" s="57">
        <v>37635044</v>
      </c>
      <c r="AN104" s="24">
        <v>4345383</v>
      </c>
      <c r="AO104" s="57">
        <v>217000</v>
      </c>
      <c r="AP104" s="5">
        <f>AM104+AN104+AO104</f>
        <v>42197427</v>
      </c>
      <c r="AQ104" s="24">
        <v>15683887</v>
      </c>
      <c r="AR104" s="8">
        <v>0</v>
      </c>
      <c r="AS104" s="8">
        <v>0</v>
      </c>
      <c r="AT104" s="5">
        <f t="shared" si="33"/>
        <v>15683887</v>
      </c>
      <c r="AU104" s="5">
        <f t="shared" si="34"/>
        <v>57881314</v>
      </c>
      <c r="AV104" s="57">
        <v>37635044</v>
      </c>
      <c r="AW104" s="24">
        <v>4403547</v>
      </c>
      <c r="AX104" s="24">
        <v>194815</v>
      </c>
      <c r="AY104" s="5">
        <f>AV104+AW104+AX104</f>
        <v>42233406</v>
      </c>
      <c r="AZ104" s="24">
        <v>14937036</v>
      </c>
      <c r="BA104" s="8">
        <v>0</v>
      </c>
      <c r="BB104" s="8">
        <v>0</v>
      </c>
      <c r="BC104" s="5">
        <f t="shared" si="28"/>
        <v>14937036</v>
      </c>
      <c r="BD104" s="5">
        <f t="shared" si="25"/>
        <v>57170442</v>
      </c>
    </row>
    <row r="105" spans="1:56" ht="17" x14ac:dyDescent="0.2">
      <c r="A105" s="9" t="s">
        <v>171</v>
      </c>
      <c r="B105" s="14" t="s">
        <v>172</v>
      </c>
      <c r="C105" s="15">
        <v>0</v>
      </c>
      <c r="D105" s="15">
        <v>453000</v>
      </c>
      <c r="E105" s="15">
        <v>0</v>
      </c>
      <c r="F105" s="5">
        <f>C105+D105+E105</f>
        <v>453000</v>
      </c>
      <c r="G105" s="15">
        <v>1000000</v>
      </c>
      <c r="H105" s="15">
        <v>0</v>
      </c>
      <c r="I105" s="15">
        <v>0</v>
      </c>
      <c r="J105" s="8">
        <f>SUM(G105:I105)</f>
        <v>1000000</v>
      </c>
      <c r="K105" s="5">
        <f t="shared" si="21"/>
        <v>1453000</v>
      </c>
      <c r="L105" s="15">
        <v>0</v>
      </c>
      <c r="M105" s="15">
        <v>0</v>
      </c>
      <c r="N105" s="15">
        <v>0</v>
      </c>
      <c r="O105" s="5">
        <f>L105+M105+N105</f>
        <v>0</v>
      </c>
      <c r="P105" s="15">
        <v>0</v>
      </c>
      <c r="Q105" s="15">
        <v>0</v>
      </c>
      <c r="R105" s="15">
        <v>0</v>
      </c>
      <c r="S105" s="8">
        <f>SUM(P105:R105)</f>
        <v>0</v>
      </c>
      <c r="T105" s="5">
        <f t="shared" si="24"/>
        <v>0</v>
      </c>
      <c r="U105" s="15"/>
      <c r="V105" s="15"/>
      <c r="W105" s="15"/>
      <c r="X105" s="5"/>
      <c r="Y105" s="15"/>
      <c r="Z105" s="15"/>
      <c r="AA105" s="15"/>
      <c r="AB105" s="8"/>
      <c r="AC105" s="5"/>
      <c r="AD105" s="15">
        <v>0</v>
      </c>
      <c r="AE105" s="15">
        <v>0</v>
      </c>
      <c r="AF105" s="15">
        <v>0</v>
      </c>
      <c r="AG105" s="5">
        <f>AD105+AE105+AF105</f>
        <v>0</v>
      </c>
      <c r="AH105" s="15">
        <v>0</v>
      </c>
      <c r="AI105" s="15"/>
      <c r="AJ105" s="15"/>
      <c r="AK105" s="5">
        <f t="shared" si="32"/>
        <v>0</v>
      </c>
      <c r="AL105" s="5">
        <f t="shared" si="31"/>
        <v>0</v>
      </c>
      <c r="AM105" s="15">
        <v>0</v>
      </c>
      <c r="AN105" s="15">
        <v>0</v>
      </c>
      <c r="AO105" s="15">
        <v>0</v>
      </c>
      <c r="AP105" s="5">
        <f>AM105+AN105+AO105</f>
        <v>0</v>
      </c>
      <c r="AQ105" s="15">
        <v>0</v>
      </c>
      <c r="AR105" s="15"/>
      <c r="AS105" s="15"/>
      <c r="AT105" s="5">
        <f t="shared" si="33"/>
        <v>0</v>
      </c>
      <c r="AU105" s="5">
        <f t="shared" si="34"/>
        <v>0</v>
      </c>
      <c r="AV105" s="15">
        <v>0</v>
      </c>
      <c r="AW105" s="15">
        <v>0</v>
      </c>
      <c r="AX105" s="15">
        <v>0</v>
      </c>
      <c r="AY105" s="5">
        <f>AV105+AW105+AX105</f>
        <v>0</v>
      </c>
      <c r="AZ105" s="15">
        <v>0</v>
      </c>
      <c r="BA105" s="15"/>
      <c r="BB105" s="15"/>
      <c r="BC105" s="5">
        <f t="shared" si="28"/>
        <v>0</v>
      </c>
      <c r="BD105" s="5">
        <f t="shared" si="25"/>
        <v>0</v>
      </c>
    </row>
    <row r="106" spans="1:56" ht="16" x14ac:dyDescent="0.2">
      <c r="A106" s="110" t="s">
        <v>173</v>
      </c>
      <c r="B106" s="111"/>
      <c r="C106" s="5">
        <v>1303132</v>
      </c>
      <c r="D106" s="5">
        <v>937881</v>
      </c>
      <c r="E106" s="5">
        <v>3632000</v>
      </c>
      <c r="F106" s="5">
        <v>5873013</v>
      </c>
      <c r="G106" s="5">
        <v>300000</v>
      </c>
      <c r="H106" s="5">
        <v>0</v>
      </c>
      <c r="I106" s="5">
        <v>0</v>
      </c>
      <c r="J106" s="5">
        <v>300000</v>
      </c>
      <c r="K106" s="5">
        <v>6173013</v>
      </c>
      <c r="L106" s="5">
        <v>698900</v>
      </c>
      <c r="M106" s="5">
        <v>1257988</v>
      </c>
      <c r="N106" s="5">
        <v>2577785</v>
      </c>
      <c r="O106" s="5">
        <v>4534673</v>
      </c>
      <c r="P106" s="5">
        <v>1200000</v>
      </c>
      <c r="Q106" s="5">
        <v>0</v>
      </c>
      <c r="R106" s="5">
        <v>0</v>
      </c>
      <c r="S106" s="5">
        <v>1200000</v>
      </c>
      <c r="T106" s="5">
        <v>5734673</v>
      </c>
      <c r="U106" s="5">
        <v>1667209</v>
      </c>
      <c r="V106" s="5">
        <v>2961408</v>
      </c>
      <c r="W106" s="5">
        <v>1993720</v>
      </c>
      <c r="X106" s="5">
        <v>6622337</v>
      </c>
      <c r="Y106" s="5">
        <v>700000</v>
      </c>
      <c r="Z106" s="5">
        <v>6589304</v>
      </c>
      <c r="AA106" s="5">
        <v>0</v>
      </c>
      <c r="AB106" s="5">
        <v>7289304</v>
      </c>
      <c r="AC106" s="5">
        <v>13911641</v>
      </c>
      <c r="AD106" s="5">
        <v>1914117</v>
      </c>
      <c r="AE106" s="5">
        <v>2961408</v>
      </c>
      <c r="AF106" s="5">
        <v>1993720</v>
      </c>
      <c r="AG106" s="5">
        <v>6869245</v>
      </c>
      <c r="AH106" s="5">
        <v>1000000</v>
      </c>
      <c r="AI106" s="5">
        <v>5391886</v>
      </c>
      <c r="AJ106" s="5">
        <v>0</v>
      </c>
      <c r="AK106" s="5">
        <v>6391886</v>
      </c>
      <c r="AL106" s="5">
        <v>13261131</v>
      </c>
      <c r="AM106" s="5">
        <v>1914117</v>
      </c>
      <c r="AN106" s="5">
        <v>2120379</v>
      </c>
      <c r="AO106" s="5">
        <v>1621183</v>
      </c>
      <c r="AP106" s="5">
        <v>5655679</v>
      </c>
      <c r="AQ106" s="5">
        <v>1100000</v>
      </c>
      <c r="AR106" s="5">
        <v>0</v>
      </c>
      <c r="AS106" s="5">
        <v>12795377</v>
      </c>
      <c r="AT106" s="5">
        <v>13895377</v>
      </c>
      <c r="AU106" s="5">
        <v>19551056</v>
      </c>
      <c r="AV106" s="5">
        <v>1914117</v>
      </c>
      <c r="AW106" s="5">
        <v>2485100</v>
      </c>
      <c r="AX106" s="5">
        <v>1737611</v>
      </c>
      <c r="AY106" s="5">
        <v>6136828</v>
      </c>
      <c r="AZ106" s="5">
        <v>1500000</v>
      </c>
      <c r="BA106" s="5">
        <v>0</v>
      </c>
      <c r="BB106" s="5">
        <v>14074914</v>
      </c>
      <c r="BC106" s="5">
        <v>15574914</v>
      </c>
      <c r="BD106" s="5">
        <v>21711742</v>
      </c>
    </row>
    <row r="107" spans="1:56" ht="17" x14ac:dyDescent="0.2">
      <c r="A107" s="6" t="s">
        <v>174</v>
      </c>
      <c r="B107" s="11" t="s">
        <v>175</v>
      </c>
      <c r="C107" s="8">
        <f>903891-89043</f>
        <v>814848</v>
      </c>
      <c r="D107" s="8">
        <v>848000</v>
      </c>
      <c r="E107" s="8">
        <v>662000</v>
      </c>
      <c r="F107" s="8">
        <f>SUM(C107:E107)</f>
        <v>2324848</v>
      </c>
      <c r="G107" s="8">
        <v>300000</v>
      </c>
      <c r="H107" s="8"/>
      <c r="I107" s="8"/>
      <c r="J107" s="8">
        <f>SUM(G107:I107)</f>
        <v>300000</v>
      </c>
      <c r="K107" s="5">
        <f t="shared" si="21"/>
        <v>2624848</v>
      </c>
      <c r="L107" s="8">
        <v>346454</v>
      </c>
      <c r="M107" s="8">
        <v>686501</v>
      </c>
      <c r="N107" s="8">
        <v>715770</v>
      </c>
      <c r="O107" s="8">
        <f>SUM(L107:N107)</f>
        <v>1748725</v>
      </c>
      <c r="P107" s="8">
        <v>0</v>
      </c>
      <c r="Q107" s="8"/>
      <c r="R107" s="8"/>
      <c r="S107" s="8">
        <f>SUM(P107:R107)</f>
        <v>0</v>
      </c>
      <c r="T107" s="5">
        <f t="shared" si="24"/>
        <v>1748725</v>
      </c>
      <c r="U107" s="8"/>
      <c r="V107" s="8"/>
      <c r="W107" s="8"/>
      <c r="X107" s="8"/>
      <c r="Y107" s="8"/>
      <c r="Z107" s="8"/>
      <c r="AA107" s="8"/>
      <c r="AB107" s="8"/>
      <c r="AC107" s="5"/>
      <c r="AD107" s="47">
        <v>1544539</v>
      </c>
      <c r="AE107" s="47">
        <v>2036337</v>
      </c>
      <c r="AF107" s="47">
        <v>0</v>
      </c>
      <c r="AG107" s="55">
        <f>SUM(AD107:AF107)</f>
        <v>3580876</v>
      </c>
      <c r="AH107" s="47">
        <v>0</v>
      </c>
      <c r="AI107" s="47">
        <v>0</v>
      </c>
      <c r="AJ107" s="47">
        <v>0</v>
      </c>
      <c r="AK107" s="5">
        <f t="shared" si="32"/>
        <v>0</v>
      </c>
      <c r="AL107" s="5">
        <f t="shared" si="31"/>
        <v>3580876</v>
      </c>
      <c r="AM107" s="47">
        <v>1544539</v>
      </c>
      <c r="AN107" s="24">
        <v>1459620</v>
      </c>
      <c r="AO107" s="8">
        <v>0</v>
      </c>
      <c r="AP107" s="8">
        <f>SUM(AM107:AO107)</f>
        <v>3004159</v>
      </c>
      <c r="AQ107" s="8">
        <v>0</v>
      </c>
      <c r="AR107" s="8">
        <v>0</v>
      </c>
      <c r="AS107" s="8">
        <v>0</v>
      </c>
      <c r="AT107" s="5">
        <f t="shared" si="33"/>
        <v>0</v>
      </c>
      <c r="AU107" s="5">
        <f t="shared" si="34"/>
        <v>3004159</v>
      </c>
      <c r="AV107" s="47">
        <v>1544539</v>
      </c>
      <c r="AW107" s="24">
        <v>1709348</v>
      </c>
      <c r="AX107" s="8">
        <v>0</v>
      </c>
      <c r="AY107" s="8">
        <f>SUM(AV107:AX107)</f>
        <v>3253887</v>
      </c>
      <c r="AZ107" s="8">
        <v>0</v>
      </c>
      <c r="BA107" s="8">
        <v>0</v>
      </c>
      <c r="BB107" s="8">
        <v>0</v>
      </c>
      <c r="BC107" s="5">
        <f t="shared" si="28"/>
        <v>0</v>
      </c>
      <c r="BD107" s="5">
        <f t="shared" si="25"/>
        <v>3253887</v>
      </c>
    </row>
    <row r="108" spans="1:56" ht="34" x14ac:dyDescent="0.2">
      <c r="A108" s="6" t="s">
        <v>176</v>
      </c>
      <c r="B108" s="11" t="s">
        <v>177</v>
      </c>
      <c r="C108" s="8">
        <v>390197</v>
      </c>
      <c r="D108" s="8">
        <v>57000</v>
      </c>
      <c r="E108" s="8">
        <v>2065000</v>
      </c>
      <c r="F108" s="8">
        <f>SUM(C108:E108)</f>
        <v>2512197</v>
      </c>
      <c r="G108" s="8">
        <v>0</v>
      </c>
      <c r="H108" s="8">
        <v>0</v>
      </c>
      <c r="I108" s="8">
        <v>0</v>
      </c>
      <c r="J108" s="8">
        <f>SUM(G108:I108)</f>
        <v>0</v>
      </c>
      <c r="K108" s="5">
        <f t="shared" si="21"/>
        <v>2512197</v>
      </c>
      <c r="L108" s="8">
        <v>276591</v>
      </c>
      <c r="M108" s="8">
        <v>404500</v>
      </c>
      <c r="N108" s="8">
        <v>942015</v>
      </c>
      <c r="O108" s="8">
        <f>SUM(L108:N108)</f>
        <v>1623106</v>
      </c>
      <c r="P108" s="8">
        <v>1200000</v>
      </c>
      <c r="Q108" s="8">
        <v>0</v>
      </c>
      <c r="R108" s="8">
        <v>0</v>
      </c>
      <c r="S108" s="8">
        <f>SUM(P108:R108)</f>
        <v>1200000</v>
      </c>
      <c r="T108" s="5">
        <f t="shared" si="24"/>
        <v>2823106</v>
      </c>
      <c r="U108" s="8"/>
      <c r="V108" s="8"/>
      <c r="W108" s="8"/>
      <c r="X108" s="8"/>
      <c r="Y108" s="65"/>
      <c r="Z108" s="65"/>
      <c r="AA108" s="8"/>
      <c r="AB108" s="8"/>
      <c r="AC108" s="5"/>
      <c r="AD108" s="49">
        <v>278917</v>
      </c>
      <c r="AE108" s="49">
        <v>790190</v>
      </c>
      <c r="AF108" s="49">
        <v>1160000</v>
      </c>
      <c r="AG108" s="52">
        <f>SUM(AD108:AF108)</f>
        <v>2229107</v>
      </c>
      <c r="AH108" s="49">
        <v>1000000</v>
      </c>
      <c r="AI108" s="49">
        <v>5391886</v>
      </c>
      <c r="AJ108" s="49">
        <v>0</v>
      </c>
      <c r="AK108" s="5">
        <f t="shared" si="32"/>
        <v>6391886</v>
      </c>
      <c r="AL108" s="5">
        <f t="shared" si="31"/>
        <v>8620993</v>
      </c>
      <c r="AM108" s="49">
        <v>278917</v>
      </c>
      <c r="AN108" s="24">
        <v>564416</v>
      </c>
      <c r="AO108" s="24">
        <v>943248</v>
      </c>
      <c r="AP108" s="8">
        <f>SUM(AM108:AO108)</f>
        <v>1786581</v>
      </c>
      <c r="AQ108" s="24">
        <v>1100000</v>
      </c>
      <c r="AR108" s="8">
        <v>0</v>
      </c>
      <c r="AS108" s="24">
        <v>12795377</v>
      </c>
      <c r="AT108" s="5">
        <f t="shared" si="33"/>
        <v>13895377</v>
      </c>
      <c r="AU108" s="5">
        <f t="shared" si="34"/>
        <v>15681958</v>
      </c>
      <c r="AV108" s="49">
        <v>278917</v>
      </c>
      <c r="AW108" s="24">
        <v>662643</v>
      </c>
      <c r="AX108" s="24">
        <v>1010989</v>
      </c>
      <c r="AY108" s="8">
        <f>SUM(AV108:AX108)</f>
        <v>1952549</v>
      </c>
      <c r="AZ108" s="24">
        <v>1500000</v>
      </c>
      <c r="BA108" s="8">
        <v>0</v>
      </c>
      <c r="BB108" s="24">
        <v>14074914</v>
      </c>
      <c r="BC108" s="5">
        <f t="shared" si="28"/>
        <v>15574914</v>
      </c>
      <c r="BD108" s="5">
        <f t="shared" si="25"/>
        <v>17527463</v>
      </c>
    </row>
    <row r="109" spans="1:56" ht="34" x14ac:dyDescent="0.2">
      <c r="A109" s="6" t="s">
        <v>178</v>
      </c>
      <c r="B109" s="11" t="s">
        <v>179</v>
      </c>
      <c r="C109" s="8">
        <v>98087</v>
      </c>
      <c r="D109" s="8">
        <v>32881</v>
      </c>
      <c r="E109" s="8">
        <v>905000</v>
      </c>
      <c r="F109" s="8">
        <f>SUM(C109:E109)</f>
        <v>1035968</v>
      </c>
      <c r="G109" s="8">
        <v>0</v>
      </c>
      <c r="H109" s="8">
        <v>0</v>
      </c>
      <c r="I109" s="8"/>
      <c r="J109" s="8">
        <f>SUM(G109:I109)</f>
        <v>0</v>
      </c>
      <c r="K109" s="5">
        <f t="shared" si="21"/>
        <v>1035968</v>
      </c>
      <c r="L109" s="8">
        <v>75855</v>
      </c>
      <c r="M109" s="8">
        <v>166987</v>
      </c>
      <c r="N109" s="8">
        <v>920000</v>
      </c>
      <c r="O109" s="8">
        <f>SUM(L109:N109)</f>
        <v>1162842</v>
      </c>
      <c r="P109" s="8">
        <v>0</v>
      </c>
      <c r="Q109" s="8">
        <v>0</v>
      </c>
      <c r="R109" s="8"/>
      <c r="S109" s="8">
        <f>SUM(P109:R109)</f>
        <v>0</v>
      </c>
      <c r="T109" s="5">
        <f t="shared" si="24"/>
        <v>1162842</v>
      </c>
      <c r="U109" s="8"/>
      <c r="V109" s="8"/>
      <c r="W109" s="8"/>
      <c r="X109" s="8"/>
      <c r="Y109" s="8"/>
      <c r="Z109" s="8"/>
      <c r="AA109" s="8"/>
      <c r="AB109" s="8"/>
      <c r="AC109" s="5"/>
      <c r="AD109" s="57">
        <v>90661</v>
      </c>
      <c r="AE109" s="57">
        <v>134881</v>
      </c>
      <c r="AF109" s="57">
        <v>833720</v>
      </c>
      <c r="AG109" s="54">
        <f>SUM(AD109:AF109)</f>
        <v>1059262</v>
      </c>
      <c r="AH109" s="57">
        <v>0</v>
      </c>
      <c r="AI109" s="57">
        <v>0</v>
      </c>
      <c r="AJ109" s="57">
        <v>0</v>
      </c>
      <c r="AK109" s="5">
        <f t="shared" si="32"/>
        <v>0</v>
      </c>
      <c r="AL109" s="5">
        <f t="shared" si="31"/>
        <v>1059262</v>
      </c>
      <c r="AM109" s="57">
        <v>90661</v>
      </c>
      <c r="AN109" s="24">
        <v>96343</v>
      </c>
      <c r="AO109" s="24">
        <v>677935</v>
      </c>
      <c r="AP109" s="8">
        <f>SUM(AM109:AO109)</f>
        <v>864939</v>
      </c>
      <c r="AQ109" s="8">
        <v>0</v>
      </c>
      <c r="AR109" s="8">
        <v>0</v>
      </c>
      <c r="AS109" s="8">
        <v>0</v>
      </c>
      <c r="AT109" s="5">
        <f t="shared" si="33"/>
        <v>0</v>
      </c>
      <c r="AU109" s="5">
        <f t="shared" si="34"/>
        <v>864939</v>
      </c>
      <c r="AV109" s="57">
        <v>90661</v>
      </c>
      <c r="AW109" s="24">
        <v>113109</v>
      </c>
      <c r="AX109" s="24">
        <v>726622</v>
      </c>
      <c r="AY109" s="8">
        <f>SUM(AV109:AX109)</f>
        <v>930392</v>
      </c>
      <c r="AZ109" s="8">
        <v>0</v>
      </c>
      <c r="BA109" s="8">
        <v>0</v>
      </c>
      <c r="BB109" s="8">
        <v>0</v>
      </c>
      <c r="BC109" s="5">
        <f t="shared" si="28"/>
        <v>0</v>
      </c>
      <c r="BD109" s="5">
        <f t="shared" si="25"/>
        <v>930392</v>
      </c>
    </row>
    <row r="110" spans="1:56" ht="16" x14ac:dyDescent="0.2">
      <c r="A110" s="116" t="s">
        <v>180</v>
      </c>
      <c r="B110" s="117"/>
      <c r="C110" s="5">
        <v>272640</v>
      </c>
      <c r="D110" s="5">
        <v>883603</v>
      </c>
      <c r="E110" s="5">
        <v>4650000</v>
      </c>
      <c r="F110" s="5">
        <v>5806243</v>
      </c>
      <c r="G110" s="5">
        <v>300000</v>
      </c>
      <c r="H110" s="5">
        <v>0</v>
      </c>
      <c r="I110" s="5">
        <v>1488000</v>
      </c>
      <c r="J110" s="5">
        <v>1788000</v>
      </c>
      <c r="K110" s="5">
        <v>7594243</v>
      </c>
      <c r="L110" s="5">
        <v>99300</v>
      </c>
      <c r="M110" s="5">
        <v>705647</v>
      </c>
      <c r="N110" s="5">
        <v>4333191</v>
      </c>
      <c r="O110" s="5">
        <v>5138138</v>
      </c>
      <c r="P110" s="5">
        <v>300000</v>
      </c>
      <c r="Q110" s="5">
        <v>0</v>
      </c>
      <c r="R110" s="5">
        <v>0</v>
      </c>
      <c r="S110" s="5">
        <v>300000</v>
      </c>
      <c r="T110" s="5">
        <v>5438138</v>
      </c>
      <c r="U110" s="5">
        <v>303881</v>
      </c>
      <c r="V110" s="5">
        <v>1186942</v>
      </c>
      <c r="W110" s="5">
        <v>3955019</v>
      </c>
      <c r="X110" s="5">
        <v>5445842</v>
      </c>
      <c r="Y110" s="5">
        <v>155500</v>
      </c>
      <c r="Z110" s="5">
        <v>582164</v>
      </c>
      <c r="AA110" s="5">
        <v>0</v>
      </c>
      <c r="AB110" s="5">
        <v>737664</v>
      </c>
      <c r="AC110" s="5">
        <v>6183506</v>
      </c>
      <c r="AD110" s="5">
        <v>324974</v>
      </c>
      <c r="AE110" s="5">
        <v>1186942</v>
      </c>
      <c r="AF110" s="5">
        <v>11905019</v>
      </c>
      <c r="AG110" s="5">
        <v>13416935</v>
      </c>
      <c r="AH110" s="5">
        <v>0</v>
      </c>
      <c r="AI110" s="5">
        <v>0</v>
      </c>
      <c r="AJ110" s="5">
        <v>0</v>
      </c>
      <c r="AK110" s="5">
        <v>0</v>
      </c>
      <c r="AL110" s="5">
        <v>13416935</v>
      </c>
      <c r="AM110" s="5">
        <v>324974</v>
      </c>
      <c r="AN110" s="5">
        <v>895124</v>
      </c>
      <c r="AO110" s="5">
        <v>8684050</v>
      </c>
      <c r="AP110" s="5">
        <v>9904148</v>
      </c>
      <c r="AQ110" s="5">
        <v>0</v>
      </c>
      <c r="AR110" s="5">
        <v>0</v>
      </c>
      <c r="AS110" s="5">
        <v>0</v>
      </c>
      <c r="AT110" s="5">
        <v>0</v>
      </c>
      <c r="AU110" s="5">
        <v>9904148</v>
      </c>
      <c r="AV110" s="5">
        <v>324974</v>
      </c>
      <c r="AW110" s="5">
        <v>1011127</v>
      </c>
      <c r="AX110" s="5">
        <v>9104983</v>
      </c>
      <c r="AY110" s="5">
        <v>10441084</v>
      </c>
      <c r="AZ110" s="5">
        <v>0</v>
      </c>
      <c r="BA110" s="5">
        <v>0</v>
      </c>
      <c r="BB110" s="5">
        <v>0</v>
      </c>
      <c r="BC110" s="5">
        <v>0</v>
      </c>
      <c r="BD110" s="5">
        <v>10441084</v>
      </c>
    </row>
    <row r="111" spans="1:56" ht="34" x14ac:dyDescent="0.2">
      <c r="A111" s="6" t="s">
        <v>181</v>
      </c>
      <c r="B111" s="11" t="s">
        <v>182</v>
      </c>
      <c r="C111" s="8"/>
      <c r="D111" s="8">
        <v>560403</v>
      </c>
      <c r="E111" s="8">
        <v>1792000</v>
      </c>
      <c r="F111" s="8">
        <f>SUM(C111:E111)</f>
        <v>2352403</v>
      </c>
      <c r="G111" s="8"/>
      <c r="H111" s="8"/>
      <c r="I111" s="8"/>
      <c r="J111" s="8">
        <f>SUM(G111:I111)</f>
        <v>0</v>
      </c>
      <c r="K111" s="5">
        <f t="shared" si="21"/>
        <v>2352403</v>
      </c>
      <c r="L111" s="8">
        <v>67675</v>
      </c>
      <c r="M111" s="8">
        <v>586647</v>
      </c>
      <c r="N111" s="8">
        <v>1040000</v>
      </c>
      <c r="O111" s="8">
        <f>L111+M111+N111</f>
        <v>1694322</v>
      </c>
      <c r="P111" s="8"/>
      <c r="Q111" s="8"/>
      <c r="R111" s="8"/>
      <c r="S111" s="8">
        <f>SUM(P111:R111)</f>
        <v>0</v>
      </c>
      <c r="T111" s="5">
        <f t="shared" si="24"/>
        <v>1694322</v>
      </c>
      <c r="U111" s="8"/>
      <c r="V111" s="8"/>
      <c r="W111" s="8"/>
      <c r="X111" s="8"/>
      <c r="Y111" s="65"/>
      <c r="Z111" s="8"/>
      <c r="AA111" s="8"/>
      <c r="AB111" s="8"/>
      <c r="AC111" s="5"/>
      <c r="AD111" s="47">
        <v>199549</v>
      </c>
      <c r="AE111" s="47">
        <v>987242</v>
      </c>
      <c r="AF111" s="47">
        <v>0</v>
      </c>
      <c r="AG111" s="55">
        <f>SUM(AD111:AF111)</f>
        <v>1186791</v>
      </c>
      <c r="AH111" s="47">
        <v>0</v>
      </c>
      <c r="AI111" s="47">
        <v>0</v>
      </c>
      <c r="AJ111" s="47">
        <v>0</v>
      </c>
      <c r="AK111" s="5">
        <f t="shared" si="32"/>
        <v>0</v>
      </c>
      <c r="AL111" s="5">
        <f t="shared" si="31"/>
        <v>1186791</v>
      </c>
      <c r="AM111" s="47">
        <v>199549</v>
      </c>
      <c r="AN111" s="24">
        <v>695424</v>
      </c>
      <c r="AO111" s="8">
        <v>0</v>
      </c>
      <c r="AP111" s="8">
        <f>SUM(AM111:AO111)</f>
        <v>894973</v>
      </c>
      <c r="AQ111" s="8">
        <v>0</v>
      </c>
      <c r="AR111" s="8">
        <v>0</v>
      </c>
      <c r="AS111" s="8">
        <v>0</v>
      </c>
      <c r="AT111" s="5">
        <f t="shared" si="33"/>
        <v>0</v>
      </c>
      <c r="AU111" s="5">
        <f t="shared" si="34"/>
        <v>894973</v>
      </c>
      <c r="AV111" s="47">
        <v>199549</v>
      </c>
      <c r="AW111" s="24">
        <v>811427</v>
      </c>
      <c r="AX111" s="8">
        <v>0</v>
      </c>
      <c r="AY111" s="8">
        <f>SUM(AV111:AX111)</f>
        <v>1010976</v>
      </c>
      <c r="AZ111" s="8">
        <v>0</v>
      </c>
      <c r="BA111" s="8">
        <v>0</v>
      </c>
      <c r="BB111" s="8">
        <v>0</v>
      </c>
      <c r="BC111" s="5">
        <f t="shared" si="28"/>
        <v>0</v>
      </c>
      <c r="BD111" s="5">
        <f t="shared" si="25"/>
        <v>1010976</v>
      </c>
    </row>
    <row r="112" spans="1:56" ht="17" x14ac:dyDescent="0.2">
      <c r="A112" s="6" t="s">
        <v>183</v>
      </c>
      <c r="B112" s="11" t="s">
        <v>184</v>
      </c>
      <c r="C112" s="8">
        <v>144220</v>
      </c>
      <c r="D112" s="8">
        <f>246700</f>
        <v>246700</v>
      </c>
      <c r="E112" s="8">
        <v>932000</v>
      </c>
      <c r="F112" s="8">
        <f>SUM(C112:E112)</f>
        <v>1322920</v>
      </c>
      <c r="G112" s="8">
        <v>300000</v>
      </c>
      <c r="H112" s="8">
        <v>0</v>
      </c>
      <c r="I112" s="8">
        <v>1488000</v>
      </c>
      <c r="J112" s="8">
        <f>SUM(G112:I112)</f>
        <v>1788000</v>
      </c>
      <c r="K112" s="5">
        <f t="shared" si="21"/>
        <v>3110920</v>
      </c>
      <c r="L112" s="8">
        <v>30877</v>
      </c>
      <c r="M112" s="8">
        <v>57000</v>
      </c>
      <c r="N112" s="8">
        <v>2323191</v>
      </c>
      <c r="O112" s="8">
        <f>SUM(L112:N112)</f>
        <v>2411068</v>
      </c>
      <c r="P112" s="8">
        <v>0</v>
      </c>
      <c r="Q112" s="8">
        <v>0</v>
      </c>
      <c r="R112" s="8">
        <v>0</v>
      </c>
      <c r="S112" s="8">
        <f>SUM(P112:R112)</f>
        <v>0</v>
      </c>
      <c r="T112" s="5">
        <f t="shared" si="24"/>
        <v>2411068</v>
      </c>
      <c r="U112" s="8"/>
      <c r="V112" s="8"/>
      <c r="W112" s="65"/>
      <c r="X112" s="8"/>
      <c r="Y112" s="8"/>
      <c r="Z112" s="8"/>
      <c r="AA112" s="8"/>
      <c r="AB112" s="8"/>
      <c r="AC112" s="5"/>
      <c r="AD112" s="49">
        <v>30040</v>
      </c>
      <c r="AE112" s="49">
        <v>57000</v>
      </c>
      <c r="AF112" s="49">
        <v>7798839</v>
      </c>
      <c r="AG112" s="52">
        <f>SUM(AD112:AF112)</f>
        <v>7885879</v>
      </c>
      <c r="AH112" s="49">
        <v>0</v>
      </c>
      <c r="AI112" s="49">
        <v>0</v>
      </c>
      <c r="AJ112" s="49">
        <v>0</v>
      </c>
      <c r="AK112" s="5">
        <f t="shared" si="32"/>
        <v>0</v>
      </c>
      <c r="AL112" s="5">
        <f t="shared" si="31"/>
        <v>7885879</v>
      </c>
      <c r="AM112" s="49">
        <v>30040</v>
      </c>
      <c r="AN112" s="24">
        <v>57000</v>
      </c>
      <c r="AO112" s="24">
        <v>4577870</v>
      </c>
      <c r="AP112" s="8">
        <f>SUM(AM112:AO112)</f>
        <v>4664910</v>
      </c>
      <c r="AQ112" s="8">
        <v>0</v>
      </c>
      <c r="AR112" s="8">
        <v>0</v>
      </c>
      <c r="AS112" s="8">
        <v>0</v>
      </c>
      <c r="AT112" s="5">
        <f t="shared" si="33"/>
        <v>0</v>
      </c>
      <c r="AU112" s="5">
        <f t="shared" si="34"/>
        <v>4664910</v>
      </c>
      <c r="AV112" s="49">
        <v>30040</v>
      </c>
      <c r="AW112" s="24">
        <v>57000</v>
      </c>
      <c r="AX112" s="24">
        <v>4998803</v>
      </c>
      <c r="AY112" s="8">
        <f>SUM(AV112:AX112)</f>
        <v>5085843</v>
      </c>
      <c r="AZ112" s="8">
        <v>0</v>
      </c>
      <c r="BA112" s="8">
        <v>0</v>
      </c>
      <c r="BB112" s="8">
        <v>0</v>
      </c>
      <c r="BC112" s="5">
        <f t="shared" si="28"/>
        <v>0</v>
      </c>
      <c r="BD112" s="5">
        <f t="shared" si="25"/>
        <v>5085843</v>
      </c>
    </row>
    <row r="113" spans="1:56" ht="17" x14ac:dyDescent="0.2">
      <c r="A113" s="6" t="s">
        <v>185</v>
      </c>
      <c r="B113" s="11" t="s">
        <v>186</v>
      </c>
      <c r="C113" s="8">
        <v>73470</v>
      </c>
      <c r="D113" s="8">
        <v>46500</v>
      </c>
      <c r="E113" s="8">
        <v>950000</v>
      </c>
      <c r="F113" s="8">
        <f>SUM(C113:E113)</f>
        <v>1069970</v>
      </c>
      <c r="G113" s="8"/>
      <c r="H113" s="8"/>
      <c r="I113" s="8"/>
      <c r="J113" s="8">
        <f>SUM(G113:I113)</f>
        <v>0</v>
      </c>
      <c r="K113" s="5">
        <f t="shared" si="21"/>
        <v>1069970</v>
      </c>
      <c r="L113" s="8">
        <v>0</v>
      </c>
      <c r="M113" s="8">
        <v>0</v>
      </c>
      <c r="N113" s="8">
        <v>0</v>
      </c>
      <c r="O113" s="8">
        <f>SUM(L113:N113)</f>
        <v>0</v>
      </c>
      <c r="P113" s="8"/>
      <c r="Q113" s="8"/>
      <c r="R113" s="8"/>
      <c r="S113" s="8">
        <f>SUM(P113:R113)</f>
        <v>0</v>
      </c>
      <c r="T113" s="5">
        <f t="shared" si="24"/>
        <v>0</v>
      </c>
      <c r="U113" s="8"/>
      <c r="V113" s="8"/>
      <c r="W113" s="8"/>
      <c r="X113" s="8"/>
      <c r="Y113" s="8"/>
      <c r="Z113" s="8"/>
      <c r="AA113" s="8"/>
      <c r="AB113" s="8"/>
      <c r="AC113" s="5"/>
      <c r="AD113" s="49">
        <v>29804</v>
      </c>
      <c r="AE113" s="49">
        <v>63000</v>
      </c>
      <c r="AF113" s="49">
        <v>1456365</v>
      </c>
      <c r="AG113" s="52">
        <f>SUM(AD113:AF113)</f>
        <v>1549169</v>
      </c>
      <c r="AH113" s="49">
        <v>0</v>
      </c>
      <c r="AI113" s="49">
        <v>0</v>
      </c>
      <c r="AJ113" s="49">
        <v>0</v>
      </c>
      <c r="AK113" s="5">
        <f t="shared" si="32"/>
        <v>0</v>
      </c>
      <c r="AL113" s="5">
        <f t="shared" si="31"/>
        <v>1549169</v>
      </c>
      <c r="AM113" s="49">
        <v>29804</v>
      </c>
      <c r="AN113" s="24">
        <v>63000</v>
      </c>
      <c r="AO113" s="24">
        <v>1456365</v>
      </c>
      <c r="AP113" s="8">
        <f>SUM(AM113:AO113)</f>
        <v>1549169</v>
      </c>
      <c r="AQ113" s="8"/>
      <c r="AR113" s="8"/>
      <c r="AS113" s="8"/>
      <c r="AT113" s="5">
        <f t="shared" si="33"/>
        <v>0</v>
      </c>
      <c r="AU113" s="5">
        <f t="shared" si="34"/>
        <v>1549169</v>
      </c>
      <c r="AV113" s="49">
        <v>29804</v>
      </c>
      <c r="AW113" s="24">
        <v>63000</v>
      </c>
      <c r="AX113" s="24">
        <v>1456365</v>
      </c>
      <c r="AY113" s="8">
        <f>SUM(AV113:AX113)</f>
        <v>1549169</v>
      </c>
      <c r="AZ113" s="8"/>
      <c r="BA113" s="8"/>
      <c r="BB113" s="8"/>
      <c r="BC113" s="5">
        <f t="shared" si="28"/>
        <v>0</v>
      </c>
      <c r="BD113" s="5">
        <f t="shared" si="25"/>
        <v>1549169</v>
      </c>
    </row>
    <row r="114" spans="1:56" ht="17" x14ac:dyDescent="0.2">
      <c r="A114" s="6" t="s">
        <v>187</v>
      </c>
      <c r="B114" s="11" t="s">
        <v>188</v>
      </c>
      <c r="C114" s="8">
        <v>54950</v>
      </c>
      <c r="D114" s="8">
        <v>30000</v>
      </c>
      <c r="E114" s="8">
        <v>976000</v>
      </c>
      <c r="F114" s="8">
        <f>SUM(C114:E114)</f>
        <v>1060950</v>
      </c>
      <c r="G114" s="8">
        <v>0</v>
      </c>
      <c r="H114" s="8">
        <v>0</v>
      </c>
      <c r="I114" s="8">
        <v>0</v>
      </c>
      <c r="J114" s="8">
        <f>SUM(G114:I114)</f>
        <v>0</v>
      </c>
      <c r="K114" s="5">
        <f t="shared" si="21"/>
        <v>1060950</v>
      </c>
      <c r="L114" s="8">
        <v>748</v>
      </c>
      <c r="M114" s="8">
        <v>62000</v>
      </c>
      <c r="N114" s="8">
        <v>970000</v>
      </c>
      <c r="O114" s="8">
        <f>SUM(L114:N114)</f>
        <v>1032748</v>
      </c>
      <c r="P114" s="8">
        <v>300000</v>
      </c>
      <c r="Q114" s="8">
        <v>0</v>
      </c>
      <c r="R114" s="8">
        <v>0</v>
      </c>
      <c r="S114" s="8">
        <f>SUM(P114:R114)</f>
        <v>300000</v>
      </c>
      <c r="T114" s="5">
        <f t="shared" si="24"/>
        <v>1332748</v>
      </c>
      <c r="U114" s="8"/>
      <c r="V114" s="8"/>
      <c r="W114" s="8"/>
      <c r="X114" s="8"/>
      <c r="Y114" s="65"/>
      <c r="Z114" s="8"/>
      <c r="AA114" s="8"/>
      <c r="AB114" s="8"/>
      <c r="AC114" s="5"/>
      <c r="AD114" s="57">
        <v>65581</v>
      </c>
      <c r="AE114" s="57">
        <v>79700</v>
      </c>
      <c r="AF114" s="57">
        <v>2649815</v>
      </c>
      <c r="AG114" s="54">
        <f>SUM(AD114:AF114)</f>
        <v>2795096</v>
      </c>
      <c r="AH114" s="57">
        <v>0</v>
      </c>
      <c r="AI114" s="57">
        <v>0</v>
      </c>
      <c r="AJ114" s="57">
        <v>0</v>
      </c>
      <c r="AK114" s="5">
        <f t="shared" si="32"/>
        <v>0</v>
      </c>
      <c r="AL114" s="5">
        <f t="shared" si="31"/>
        <v>2795096</v>
      </c>
      <c r="AM114" s="57">
        <v>65581</v>
      </c>
      <c r="AN114" s="24">
        <v>79700</v>
      </c>
      <c r="AO114" s="24">
        <v>2649815</v>
      </c>
      <c r="AP114" s="8">
        <f>SUM(AM114:AO114)</f>
        <v>2795096</v>
      </c>
      <c r="AQ114" s="8">
        <v>0</v>
      </c>
      <c r="AR114" s="8">
        <v>0</v>
      </c>
      <c r="AS114" s="8">
        <v>0</v>
      </c>
      <c r="AT114" s="5">
        <f t="shared" si="33"/>
        <v>0</v>
      </c>
      <c r="AU114" s="5">
        <f t="shared" si="34"/>
        <v>2795096</v>
      </c>
      <c r="AV114" s="57">
        <v>65581</v>
      </c>
      <c r="AW114" s="24">
        <v>79700</v>
      </c>
      <c r="AX114" s="24">
        <v>2649815</v>
      </c>
      <c r="AY114" s="8">
        <f>SUM(AV114:AX114)</f>
        <v>2795096</v>
      </c>
      <c r="AZ114" s="8">
        <v>0</v>
      </c>
      <c r="BA114" s="8">
        <v>0</v>
      </c>
      <c r="BB114" s="8">
        <v>0</v>
      </c>
      <c r="BC114" s="5">
        <f t="shared" si="28"/>
        <v>0</v>
      </c>
      <c r="BD114" s="5">
        <f t="shared" si="25"/>
        <v>2795096</v>
      </c>
    </row>
    <row r="115" spans="1:56" ht="16" x14ac:dyDescent="0.2">
      <c r="A115" s="110" t="s">
        <v>189</v>
      </c>
      <c r="B115" s="111"/>
      <c r="C115" s="5">
        <v>720373</v>
      </c>
      <c r="D115" s="5">
        <v>548233</v>
      </c>
      <c r="E115" s="5">
        <v>223700</v>
      </c>
      <c r="F115" s="5">
        <v>1492306</v>
      </c>
      <c r="G115" s="5">
        <v>13143297</v>
      </c>
      <c r="H115" s="5">
        <v>10000000</v>
      </c>
      <c r="I115" s="5">
        <v>34020557</v>
      </c>
      <c r="J115" s="5">
        <v>57163854</v>
      </c>
      <c r="K115" s="5">
        <v>58656160</v>
      </c>
      <c r="L115" s="5">
        <v>134400</v>
      </c>
      <c r="M115" s="5">
        <v>562225</v>
      </c>
      <c r="N115" s="5">
        <v>318719</v>
      </c>
      <c r="O115" s="5">
        <v>1015344</v>
      </c>
      <c r="P115" s="5">
        <v>15020000</v>
      </c>
      <c r="Q115" s="5">
        <v>7500000</v>
      </c>
      <c r="R115" s="5">
        <v>25000000</v>
      </c>
      <c r="S115" s="5">
        <v>47520000</v>
      </c>
      <c r="T115" s="5">
        <v>48535344</v>
      </c>
      <c r="U115" s="5">
        <v>926402</v>
      </c>
      <c r="V115" s="5">
        <v>1492547</v>
      </c>
      <c r="W115" s="5">
        <v>93193</v>
      </c>
      <c r="X115" s="5">
        <v>2512142</v>
      </c>
      <c r="Y115" s="5">
        <v>63976831</v>
      </c>
      <c r="Z115" s="5">
        <v>6948708</v>
      </c>
      <c r="AA115" s="5">
        <v>11440367</v>
      </c>
      <c r="AB115" s="5">
        <v>82365906</v>
      </c>
      <c r="AC115" s="5">
        <v>84878048</v>
      </c>
      <c r="AD115" s="5">
        <v>884681</v>
      </c>
      <c r="AE115" s="5">
        <v>1526740</v>
      </c>
      <c r="AF115" s="5">
        <v>59000</v>
      </c>
      <c r="AG115" s="5">
        <v>2470421</v>
      </c>
      <c r="AH115" s="5">
        <v>44825891</v>
      </c>
      <c r="AI115" s="5">
        <v>11472105</v>
      </c>
      <c r="AJ115" s="5">
        <v>15680116</v>
      </c>
      <c r="AK115" s="5">
        <v>71978112</v>
      </c>
      <c r="AL115" s="5">
        <v>74448533</v>
      </c>
      <c r="AM115" s="5">
        <v>884681</v>
      </c>
      <c r="AN115" s="5">
        <v>1087652</v>
      </c>
      <c r="AO115" s="5">
        <v>63319</v>
      </c>
      <c r="AP115" s="5">
        <v>2035652</v>
      </c>
      <c r="AQ115" s="5">
        <v>39295970</v>
      </c>
      <c r="AR115" s="5">
        <v>12619316</v>
      </c>
      <c r="AS115" s="5">
        <v>13948128</v>
      </c>
      <c r="AT115" s="5">
        <v>65863414</v>
      </c>
      <c r="AU115" s="5">
        <v>67899066</v>
      </c>
      <c r="AV115" s="5">
        <v>884681</v>
      </c>
      <c r="AW115" s="5">
        <v>1272747</v>
      </c>
      <c r="AX115" s="5">
        <v>63136</v>
      </c>
      <c r="AY115" s="5">
        <v>2220564</v>
      </c>
      <c r="AZ115" s="5">
        <v>40933302</v>
      </c>
      <c r="BA115" s="5">
        <v>12045711</v>
      </c>
      <c r="BB115" s="5">
        <v>13314122</v>
      </c>
      <c r="BC115" s="5">
        <v>66293135</v>
      </c>
      <c r="BD115" s="5">
        <v>68513699</v>
      </c>
    </row>
    <row r="116" spans="1:56" ht="17" x14ac:dyDescent="0.2">
      <c r="A116" s="6" t="s">
        <v>190</v>
      </c>
      <c r="B116" s="11" t="s">
        <v>191</v>
      </c>
      <c r="C116" s="8">
        <v>347320</v>
      </c>
      <c r="D116" s="8">
        <v>468433</v>
      </c>
      <c r="E116" s="8">
        <v>193700</v>
      </c>
      <c r="F116" s="8">
        <f>SUM(C116:E116)</f>
        <v>1009453</v>
      </c>
      <c r="G116" s="8">
        <v>0</v>
      </c>
      <c r="H116" s="8">
        <v>0</v>
      </c>
      <c r="I116" s="8">
        <v>0</v>
      </c>
      <c r="J116" s="8">
        <f>SUM(G116:I116)</f>
        <v>0</v>
      </c>
      <c r="K116" s="5">
        <f t="shared" si="21"/>
        <v>1009453</v>
      </c>
      <c r="L116" s="8">
        <v>35225</v>
      </c>
      <c r="M116" s="8">
        <v>522225</v>
      </c>
      <c r="N116" s="8">
        <v>308719</v>
      </c>
      <c r="O116" s="8">
        <f>SUM(L116:N116)</f>
        <v>866169</v>
      </c>
      <c r="P116" s="8">
        <v>0</v>
      </c>
      <c r="Q116" s="8">
        <v>0</v>
      </c>
      <c r="R116" s="8">
        <v>0</v>
      </c>
      <c r="S116" s="8">
        <f>SUM(P116:R116)</f>
        <v>0</v>
      </c>
      <c r="T116" s="5">
        <f t="shared" si="24"/>
        <v>866169</v>
      </c>
      <c r="U116" s="8"/>
      <c r="V116" s="8"/>
      <c r="W116" s="65"/>
      <c r="X116" s="8"/>
      <c r="Y116" s="8"/>
      <c r="Z116" s="8"/>
      <c r="AA116" s="8"/>
      <c r="AB116" s="8"/>
      <c r="AC116" s="5"/>
      <c r="AD116" s="47">
        <v>577966</v>
      </c>
      <c r="AE116" s="47">
        <v>1441740</v>
      </c>
      <c r="AF116" s="47">
        <v>49000</v>
      </c>
      <c r="AG116" s="55">
        <f>SUM(AD116:AF116)</f>
        <v>2068706</v>
      </c>
      <c r="AH116" s="47">
        <v>0</v>
      </c>
      <c r="AI116" s="47">
        <v>0</v>
      </c>
      <c r="AJ116" s="47">
        <v>0</v>
      </c>
      <c r="AK116" s="8">
        <f>SUM(AH116:AJ116)</f>
        <v>0</v>
      </c>
      <c r="AL116" s="5">
        <f t="shared" si="31"/>
        <v>2068706</v>
      </c>
      <c r="AM116" s="47">
        <v>577966</v>
      </c>
      <c r="AN116" s="24">
        <v>1007860</v>
      </c>
      <c r="AO116" s="24">
        <v>60663</v>
      </c>
      <c r="AP116" s="8">
        <f>SUM(AM116:AO116)</f>
        <v>1646489</v>
      </c>
      <c r="AQ116" s="8">
        <v>0</v>
      </c>
      <c r="AR116" s="8">
        <v>0</v>
      </c>
      <c r="AS116" s="8">
        <v>0</v>
      </c>
      <c r="AT116" s="8">
        <f>SUM(AQ116:AS116)</f>
        <v>0</v>
      </c>
      <c r="AU116" s="5">
        <f t="shared" si="34"/>
        <v>1646489</v>
      </c>
      <c r="AV116" s="47">
        <v>577966</v>
      </c>
      <c r="AW116" s="24">
        <v>1179662</v>
      </c>
      <c r="AX116" s="24">
        <v>60488</v>
      </c>
      <c r="AY116" s="8">
        <f>SUM(AV116:AX116)</f>
        <v>1818116</v>
      </c>
      <c r="AZ116" s="8">
        <v>0</v>
      </c>
      <c r="BA116" s="8">
        <v>0</v>
      </c>
      <c r="BB116" s="8">
        <v>0</v>
      </c>
      <c r="BC116" s="8">
        <f>SUM(AZ116:BB116)</f>
        <v>0</v>
      </c>
      <c r="BD116" s="5">
        <f t="shared" si="25"/>
        <v>1818116</v>
      </c>
    </row>
    <row r="117" spans="1:56" ht="17" x14ac:dyDescent="0.2">
      <c r="A117" s="6" t="s">
        <v>192</v>
      </c>
      <c r="B117" s="11" t="s">
        <v>193</v>
      </c>
      <c r="C117" s="8">
        <v>175255</v>
      </c>
      <c r="D117" s="8">
        <v>16000</v>
      </c>
      <c r="E117" s="8">
        <v>15000</v>
      </c>
      <c r="F117" s="8">
        <f>SUM(C117:E117)</f>
        <v>206255</v>
      </c>
      <c r="G117" s="8">
        <v>12743297</v>
      </c>
      <c r="H117" s="8">
        <v>10000000</v>
      </c>
      <c r="I117" s="8">
        <v>34020557</v>
      </c>
      <c r="J117" s="8">
        <f>G117+H117+I117</f>
        <v>56763854</v>
      </c>
      <c r="K117" s="5">
        <f t="shared" si="21"/>
        <v>56970109</v>
      </c>
      <c r="L117" s="8">
        <v>90002</v>
      </c>
      <c r="M117" s="8">
        <v>23000</v>
      </c>
      <c r="N117" s="8">
        <v>0</v>
      </c>
      <c r="O117" s="8">
        <f>SUM(L117:N117)</f>
        <v>113002</v>
      </c>
      <c r="P117" s="8">
        <v>11778760</v>
      </c>
      <c r="Q117" s="8">
        <v>7500000</v>
      </c>
      <c r="R117" s="8">
        <v>25000000</v>
      </c>
      <c r="S117" s="8">
        <f>P117+Q117+R117</f>
        <v>44278760</v>
      </c>
      <c r="T117" s="5">
        <f t="shared" si="24"/>
        <v>44391762</v>
      </c>
      <c r="U117" s="8"/>
      <c r="V117" s="8"/>
      <c r="W117" s="8"/>
      <c r="X117" s="8"/>
      <c r="Y117" s="65"/>
      <c r="Z117" s="8"/>
      <c r="AA117" s="65"/>
      <c r="AB117" s="8"/>
      <c r="AC117" s="5"/>
      <c r="AD117" s="49">
        <v>105817</v>
      </c>
      <c r="AE117" s="49">
        <v>50000</v>
      </c>
      <c r="AF117" s="49">
        <v>0</v>
      </c>
      <c r="AG117" s="52">
        <f>SUM(AD117:AF117)</f>
        <v>155817</v>
      </c>
      <c r="AH117" s="49">
        <f>2706045+36270596</f>
        <v>38976641</v>
      </c>
      <c r="AI117" s="49">
        <f>6738081+4734024</f>
        <v>11472105</v>
      </c>
      <c r="AJ117" s="49">
        <f>6701094+8979022</f>
        <v>15680116</v>
      </c>
      <c r="AK117" s="8">
        <f>AH117+AI117+AJ117</f>
        <v>66128862</v>
      </c>
      <c r="AL117" s="5">
        <f t="shared" si="31"/>
        <v>66284679</v>
      </c>
      <c r="AM117" s="49">
        <v>105817</v>
      </c>
      <c r="AN117" s="24">
        <v>30021</v>
      </c>
      <c r="AO117" s="8">
        <v>0</v>
      </c>
      <c r="AP117" s="8">
        <f>SUM(AM117:AO117)</f>
        <v>135838</v>
      </c>
      <c r="AQ117" s="8">
        <v>33882359</v>
      </c>
      <c r="AR117" s="8">
        <v>12619316</v>
      </c>
      <c r="AS117" s="8">
        <v>13948128</v>
      </c>
      <c r="AT117" s="8">
        <f>AQ117+AR117+AS117</f>
        <v>60449803</v>
      </c>
      <c r="AU117" s="5">
        <f t="shared" si="34"/>
        <v>60585641</v>
      </c>
      <c r="AV117" s="49">
        <v>105817</v>
      </c>
      <c r="AW117" s="24">
        <v>35022</v>
      </c>
      <c r="AX117" s="8">
        <v>0</v>
      </c>
      <c r="AY117" s="8">
        <f>SUM(AV117:AX117)</f>
        <v>140839</v>
      </c>
      <c r="AZ117" s="8">
        <v>35294125</v>
      </c>
      <c r="BA117" s="8">
        <v>12045711</v>
      </c>
      <c r="BB117" s="8">
        <v>13314122</v>
      </c>
      <c r="BC117" s="8">
        <f>AZ117+BA117+BB117</f>
        <v>60653958</v>
      </c>
      <c r="BD117" s="5">
        <f t="shared" si="25"/>
        <v>60794797</v>
      </c>
    </row>
    <row r="118" spans="1:56" ht="17" x14ac:dyDescent="0.2">
      <c r="A118" s="9" t="s">
        <v>194</v>
      </c>
      <c r="B118" s="11" t="s">
        <v>195</v>
      </c>
      <c r="C118" s="8">
        <v>197798</v>
      </c>
      <c r="D118" s="8">
        <v>63800</v>
      </c>
      <c r="E118" s="8">
        <v>15000</v>
      </c>
      <c r="F118" s="8">
        <f>SUM(C118:E118)</f>
        <v>276598</v>
      </c>
      <c r="G118" s="8">
        <v>400000</v>
      </c>
      <c r="H118" s="8"/>
      <c r="I118" s="8"/>
      <c r="J118" s="8">
        <f>SUM(G118:I118)</f>
        <v>400000</v>
      </c>
      <c r="K118" s="5">
        <f t="shared" si="21"/>
        <v>676598</v>
      </c>
      <c r="L118" s="8">
        <v>9173</v>
      </c>
      <c r="M118" s="8">
        <v>17000</v>
      </c>
      <c r="N118" s="8">
        <v>10000</v>
      </c>
      <c r="O118" s="8">
        <f>SUM(L118:N118)</f>
        <v>36173</v>
      </c>
      <c r="P118" s="8">
        <v>3241240</v>
      </c>
      <c r="Q118" s="8"/>
      <c r="R118" s="8"/>
      <c r="S118" s="8">
        <f>SUM(P118:R118)</f>
        <v>3241240</v>
      </c>
      <c r="T118" s="5">
        <f t="shared" si="24"/>
        <v>3277413</v>
      </c>
      <c r="U118" s="8"/>
      <c r="V118" s="8"/>
      <c r="W118" s="8"/>
      <c r="X118" s="8"/>
      <c r="Y118" s="65"/>
      <c r="Z118" s="8"/>
      <c r="AA118" s="8"/>
      <c r="AB118" s="8"/>
      <c r="AC118" s="5"/>
      <c r="AD118" s="57">
        <v>200898</v>
      </c>
      <c r="AE118" s="57">
        <v>35000</v>
      </c>
      <c r="AF118" s="57">
        <v>10000</v>
      </c>
      <c r="AG118" s="54">
        <f>SUM(AD118:AF118)</f>
        <v>245898</v>
      </c>
      <c r="AH118" s="57">
        <v>5849250</v>
      </c>
      <c r="AI118" s="57">
        <v>0</v>
      </c>
      <c r="AJ118" s="57">
        <v>0</v>
      </c>
      <c r="AK118" s="8">
        <f>SUM(AH118:AJ118)</f>
        <v>5849250</v>
      </c>
      <c r="AL118" s="5">
        <f t="shared" si="31"/>
        <v>6095148</v>
      </c>
      <c r="AM118" s="57">
        <v>200898</v>
      </c>
      <c r="AN118" s="24">
        <v>49771</v>
      </c>
      <c r="AO118" s="24">
        <v>2656</v>
      </c>
      <c r="AP118" s="8">
        <f>SUM(AM118:AO118)</f>
        <v>253325</v>
      </c>
      <c r="AQ118" s="8">
        <f>1846158+3567453</f>
        <v>5413611</v>
      </c>
      <c r="AR118" s="8">
        <v>0</v>
      </c>
      <c r="AS118" s="8"/>
      <c r="AT118" s="8">
        <f>SUM(AQ118:AS118)</f>
        <v>5413611</v>
      </c>
      <c r="AU118" s="5">
        <f t="shared" si="34"/>
        <v>5666936</v>
      </c>
      <c r="AV118" s="57">
        <v>200898</v>
      </c>
      <c r="AW118" s="24">
        <v>58063</v>
      </c>
      <c r="AX118" s="24">
        <v>2648</v>
      </c>
      <c r="AY118" s="8">
        <f>SUM(AV118:AX118)</f>
        <v>261609</v>
      </c>
      <c r="AZ118" s="8">
        <f>1923080+3716097</f>
        <v>5639177</v>
      </c>
      <c r="BA118" s="8">
        <v>0</v>
      </c>
      <c r="BB118" s="8"/>
      <c r="BC118" s="8">
        <f>SUM(AZ118:BB118)</f>
        <v>5639177</v>
      </c>
      <c r="BD118" s="5">
        <f t="shared" si="25"/>
        <v>5900786</v>
      </c>
    </row>
    <row r="119" spans="1:56" ht="16" x14ac:dyDescent="0.2">
      <c r="A119" s="110" t="s">
        <v>240</v>
      </c>
      <c r="B119" s="111"/>
      <c r="C119" s="5"/>
      <c r="D119" s="5"/>
      <c r="E119" s="5"/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/>
      <c r="L119" s="5">
        <v>590700</v>
      </c>
      <c r="M119" s="5">
        <v>911710</v>
      </c>
      <c r="N119" s="5">
        <v>3522540</v>
      </c>
      <c r="O119" s="5">
        <v>5024950</v>
      </c>
      <c r="P119" s="5">
        <v>9505000</v>
      </c>
      <c r="Q119" s="5">
        <v>0</v>
      </c>
      <c r="R119" s="5">
        <v>15791494</v>
      </c>
      <c r="S119" s="5">
        <v>25296494</v>
      </c>
      <c r="T119" s="5">
        <v>30321444</v>
      </c>
      <c r="U119" s="5">
        <v>687243</v>
      </c>
      <c r="V119" s="5">
        <v>2793571</v>
      </c>
      <c r="W119" s="5">
        <v>2586264</v>
      </c>
      <c r="X119" s="5">
        <v>6067078</v>
      </c>
      <c r="Y119" s="5">
        <v>24949475</v>
      </c>
      <c r="Z119" s="5">
        <v>15273880</v>
      </c>
      <c r="AA119" s="5">
        <v>0</v>
      </c>
      <c r="AB119" s="5">
        <v>40223355</v>
      </c>
      <c r="AC119" s="5">
        <v>46290433</v>
      </c>
      <c r="AD119" s="5">
        <v>700301</v>
      </c>
      <c r="AE119" s="5">
        <v>2366140</v>
      </c>
      <c r="AF119" s="5">
        <v>2913695</v>
      </c>
      <c r="AG119" s="5">
        <v>5980136</v>
      </c>
      <c r="AH119" s="5">
        <v>28939111</v>
      </c>
      <c r="AI119" s="5">
        <v>1967871</v>
      </c>
      <c r="AJ119" s="5">
        <v>11712748</v>
      </c>
      <c r="AK119" s="5">
        <v>42619730</v>
      </c>
      <c r="AL119" s="5">
        <v>48599866</v>
      </c>
      <c r="AM119" s="5">
        <v>700301</v>
      </c>
      <c r="AN119" s="5">
        <v>1978333</v>
      </c>
      <c r="AO119" s="5">
        <v>2484754</v>
      </c>
      <c r="AP119" s="5">
        <v>5163388</v>
      </c>
      <c r="AQ119" s="5">
        <v>30096675</v>
      </c>
      <c r="AR119" s="5">
        <v>655957</v>
      </c>
      <c r="AS119" s="5">
        <v>11712748</v>
      </c>
      <c r="AT119" s="5">
        <v>42465380</v>
      </c>
      <c r="AU119" s="5">
        <v>47628768</v>
      </c>
      <c r="AV119" s="5">
        <v>700301</v>
      </c>
      <c r="AW119" s="5">
        <v>2336967</v>
      </c>
      <c r="AX119" s="5">
        <v>2347954</v>
      </c>
      <c r="AY119" s="5">
        <v>5385222</v>
      </c>
      <c r="AZ119" s="5">
        <v>31300542</v>
      </c>
      <c r="BA119" s="5">
        <v>655957</v>
      </c>
      <c r="BB119" s="5">
        <v>11712748</v>
      </c>
      <c r="BC119" s="5">
        <v>43669247</v>
      </c>
      <c r="BD119" s="5">
        <v>49054469</v>
      </c>
    </row>
    <row r="120" spans="1:56" ht="34" x14ac:dyDescent="0.2">
      <c r="A120" s="9" t="s">
        <v>169</v>
      </c>
      <c r="B120" s="11" t="s">
        <v>233</v>
      </c>
      <c r="C120" s="8"/>
      <c r="D120" s="8"/>
      <c r="E120" s="8"/>
      <c r="F120" s="8"/>
      <c r="G120" s="11"/>
      <c r="H120" s="8"/>
      <c r="I120" s="8"/>
      <c r="J120" s="8"/>
      <c r="K120" s="11"/>
      <c r="L120" s="11">
        <v>21473</v>
      </c>
      <c r="M120" s="8">
        <v>106776</v>
      </c>
      <c r="N120" s="8">
        <f>1000000+500000</f>
        <v>1500000</v>
      </c>
      <c r="O120" s="5">
        <f>L120+M120+N120</f>
        <v>1628249</v>
      </c>
      <c r="P120" s="8"/>
      <c r="Q120" s="11"/>
      <c r="R120" s="8"/>
      <c r="S120" s="5">
        <f>P120+Q120+R120</f>
        <v>0</v>
      </c>
      <c r="T120" s="5">
        <f t="shared" si="24"/>
        <v>1628249</v>
      </c>
      <c r="U120" s="34"/>
      <c r="V120" s="8"/>
      <c r="W120" s="8"/>
      <c r="X120" s="5"/>
      <c r="Y120" s="8"/>
      <c r="Z120" s="8"/>
      <c r="AA120" s="8"/>
      <c r="AB120" s="5"/>
      <c r="AC120" s="5"/>
      <c r="AD120" s="50">
        <v>270438</v>
      </c>
      <c r="AE120" s="50">
        <v>1580650</v>
      </c>
      <c r="AF120" s="50">
        <v>52000</v>
      </c>
      <c r="AG120" s="55">
        <f>SUM(AD120:AF120)</f>
        <v>1903088</v>
      </c>
      <c r="AH120" s="50">
        <v>250000</v>
      </c>
      <c r="AI120" s="50">
        <v>0</v>
      </c>
      <c r="AJ120" s="50">
        <v>0</v>
      </c>
      <c r="AK120" s="5">
        <f>AH120+AI120+AJ120</f>
        <v>250000</v>
      </c>
      <c r="AL120" s="5">
        <f>AG120+AJ120</f>
        <v>1903088</v>
      </c>
      <c r="AM120" s="50">
        <v>270438</v>
      </c>
      <c r="AN120" s="24">
        <v>1314352</v>
      </c>
      <c r="AO120" s="24">
        <v>43956</v>
      </c>
      <c r="AP120" s="5">
        <f>AM120+AN120+AO120</f>
        <v>1628746</v>
      </c>
      <c r="AQ120" s="24">
        <v>260000</v>
      </c>
      <c r="AR120" s="8">
        <v>0</v>
      </c>
      <c r="AS120" s="8"/>
      <c r="AT120" s="5">
        <f>AQ120+AR120+AS120</f>
        <v>260000</v>
      </c>
      <c r="AU120" s="5">
        <f>AP120+AT120</f>
        <v>1888746</v>
      </c>
      <c r="AV120" s="50">
        <v>270438</v>
      </c>
      <c r="AW120" s="24">
        <v>1639984</v>
      </c>
      <c r="AX120" s="24">
        <v>46141</v>
      </c>
      <c r="AY120" s="5">
        <f>AV120+AW120+AX120</f>
        <v>1956563</v>
      </c>
      <c r="AZ120" s="24">
        <v>270400</v>
      </c>
      <c r="BA120" s="8">
        <v>0</v>
      </c>
      <c r="BB120" s="8"/>
      <c r="BC120" s="5">
        <f>AZ120+BA120+BB120</f>
        <v>270400</v>
      </c>
      <c r="BD120" s="5">
        <f>AY120+BC120</f>
        <v>2226963</v>
      </c>
    </row>
    <row r="121" spans="1:56" ht="17" x14ac:dyDescent="0.2">
      <c r="A121" s="6" t="s">
        <v>234</v>
      </c>
      <c r="B121" s="11" t="s">
        <v>161</v>
      </c>
      <c r="C121" s="8"/>
      <c r="D121" s="8"/>
      <c r="E121" s="8"/>
      <c r="F121" s="8"/>
      <c r="G121" s="11"/>
      <c r="H121" s="8"/>
      <c r="I121" s="8"/>
      <c r="J121" s="8"/>
      <c r="K121" s="11"/>
      <c r="L121" s="11">
        <f>82931+20577</f>
        <v>103508</v>
      </c>
      <c r="M121" s="8">
        <v>617084</v>
      </c>
      <c r="N121" s="8">
        <v>1522540</v>
      </c>
      <c r="O121" s="5">
        <f>L121+M121+N121</f>
        <v>2243132</v>
      </c>
      <c r="P121" s="8">
        <v>6342000</v>
      </c>
      <c r="Q121" s="11">
        <v>0</v>
      </c>
      <c r="R121" s="8">
        <v>15791494</v>
      </c>
      <c r="S121" s="5">
        <f>P121+Q121+R121</f>
        <v>22133494</v>
      </c>
      <c r="T121" s="5">
        <f t="shared" si="24"/>
        <v>24376626</v>
      </c>
      <c r="U121" s="34"/>
      <c r="V121" s="8"/>
      <c r="W121" s="8"/>
      <c r="X121" s="5"/>
      <c r="Y121" s="65"/>
      <c r="Z121" s="65"/>
      <c r="AA121" s="8"/>
      <c r="AB121" s="5"/>
      <c r="AC121" s="5"/>
      <c r="AD121" s="51">
        <v>67914</v>
      </c>
      <c r="AE121" s="51">
        <v>92280</v>
      </c>
      <c r="AF121" s="51">
        <v>100000</v>
      </c>
      <c r="AG121" s="52">
        <f>SUM(AD121:AF121)</f>
        <v>260194</v>
      </c>
      <c r="AH121" s="51">
        <f>528000+22093086</f>
        <v>22621086</v>
      </c>
      <c r="AI121" s="51">
        <v>1967871</v>
      </c>
      <c r="AJ121" s="51">
        <v>11712748</v>
      </c>
      <c r="AK121" s="5">
        <f>AH121+AI121+AJ121</f>
        <v>36301705</v>
      </c>
      <c r="AL121" s="5">
        <f>AG121+AJ121</f>
        <v>11972942</v>
      </c>
      <c r="AM121" s="51">
        <v>67914</v>
      </c>
      <c r="AN121" s="24">
        <v>78005</v>
      </c>
      <c r="AO121" s="24">
        <v>84530</v>
      </c>
      <c r="AP121" s="5">
        <f>AM121+AN121+AO121</f>
        <v>230449</v>
      </c>
      <c r="AQ121" s="8">
        <v>23525929</v>
      </c>
      <c r="AR121" s="8">
        <v>655957</v>
      </c>
      <c r="AS121" s="8">
        <v>11712748</v>
      </c>
      <c r="AT121" s="5">
        <f>AQ121+AR121+AS121</f>
        <v>35894634</v>
      </c>
      <c r="AU121" s="5">
        <f>AP121+AT121</f>
        <v>36125083</v>
      </c>
      <c r="AV121" s="51">
        <v>67914</v>
      </c>
      <c r="AW121" s="24">
        <v>81882</v>
      </c>
      <c r="AX121" s="24">
        <v>88732</v>
      </c>
      <c r="AY121" s="5">
        <f>AV121+AW121+AX121</f>
        <v>238528</v>
      </c>
      <c r="AZ121" s="8">
        <v>24466966</v>
      </c>
      <c r="BA121" s="8">
        <v>655957</v>
      </c>
      <c r="BB121" s="8">
        <v>11712748</v>
      </c>
      <c r="BC121" s="5">
        <f>AZ121+BA121+BB121</f>
        <v>36835671</v>
      </c>
      <c r="BD121" s="5">
        <f>AY121+BC121</f>
        <v>37074199</v>
      </c>
    </row>
    <row r="122" spans="1:56" ht="17" x14ac:dyDescent="0.2">
      <c r="A122" s="6" t="s">
        <v>165</v>
      </c>
      <c r="B122" s="11" t="s">
        <v>235</v>
      </c>
      <c r="C122" s="8"/>
      <c r="D122" s="8"/>
      <c r="E122" s="8"/>
      <c r="F122" s="8"/>
      <c r="G122" s="11"/>
      <c r="H122" s="8"/>
      <c r="I122" s="8"/>
      <c r="J122" s="8"/>
      <c r="K122" s="11"/>
      <c r="L122" s="11">
        <v>465719</v>
      </c>
      <c r="M122" s="8">
        <f>187850</f>
        <v>187850</v>
      </c>
      <c r="N122" s="8">
        <v>500000</v>
      </c>
      <c r="O122" s="5">
        <f>L122+M122+N122</f>
        <v>1153569</v>
      </c>
      <c r="P122" s="8">
        <v>3163000</v>
      </c>
      <c r="Q122" s="11"/>
      <c r="R122" s="8"/>
      <c r="S122" s="5">
        <f>P122+Q122+R122</f>
        <v>3163000</v>
      </c>
      <c r="T122" s="8"/>
      <c r="U122" s="34"/>
      <c r="V122" s="8"/>
      <c r="W122" s="8"/>
      <c r="X122" s="5"/>
      <c r="Y122" s="8"/>
      <c r="Z122" s="8"/>
      <c r="AA122" s="8"/>
      <c r="AB122" s="5"/>
      <c r="AC122" s="5"/>
      <c r="AD122" s="53">
        <v>361949</v>
      </c>
      <c r="AE122" s="53">
        <v>693210</v>
      </c>
      <c r="AF122" s="53">
        <v>2761695</v>
      </c>
      <c r="AG122" s="54">
        <f>SUM(AD122:AF122)</f>
        <v>3816854</v>
      </c>
      <c r="AH122" s="53">
        <f>1970000+4098025</f>
        <v>6068025</v>
      </c>
      <c r="AI122" s="53">
        <v>0</v>
      </c>
      <c r="AJ122" s="53">
        <v>0</v>
      </c>
      <c r="AK122" s="5">
        <f>AH122+AI122+AJ122</f>
        <v>6068025</v>
      </c>
      <c r="AL122" s="5">
        <f>AG122+AJ122</f>
        <v>3816854</v>
      </c>
      <c r="AM122" s="53">
        <v>361949</v>
      </c>
      <c r="AN122" s="24">
        <v>585976</v>
      </c>
      <c r="AO122" s="24">
        <v>2356268</v>
      </c>
      <c r="AP122" s="5">
        <f>AM122+AN122+AO122</f>
        <v>3304193</v>
      </c>
      <c r="AQ122" s="8">
        <f>2048800+4261946</f>
        <v>6310746</v>
      </c>
      <c r="AR122" s="8">
        <v>0</v>
      </c>
      <c r="AS122" s="8">
        <v>0</v>
      </c>
      <c r="AT122" s="5">
        <f>AQ122+AR122+AS122</f>
        <v>6310746</v>
      </c>
      <c r="AU122" s="5">
        <f>AP122+AT122</f>
        <v>9614939</v>
      </c>
      <c r="AV122" s="53">
        <v>361949</v>
      </c>
      <c r="AW122" s="24">
        <v>615101</v>
      </c>
      <c r="AX122" s="24">
        <v>2213081</v>
      </c>
      <c r="AY122" s="5">
        <f>AV122+AW122+AX122</f>
        <v>3190131</v>
      </c>
      <c r="AZ122" s="8">
        <f>2130752+4432424</f>
        <v>6563176</v>
      </c>
      <c r="BA122" s="8">
        <v>0</v>
      </c>
      <c r="BB122" s="8">
        <v>0</v>
      </c>
      <c r="BC122" s="5">
        <f>AZ122+BA122+BB122</f>
        <v>6563176</v>
      </c>
      <c r="BD122" s="5">
        <f>AY122+BC122</f>
        <v>9753307</v>
      </c>
    </row>
    <row r="123" spans="1:56" ht="16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8">
        <f>G123+H123+I123</f>
        <v>0</v>
      </c>
      <c r="K123" s="5">
        <f>F123+J123</f>
        <v>0</v>
      </c>
      <c r="L123" s="16"/>
      <c r="M123" s="16"/>
      <c r="N123" s="16"/>
      <c r="O123" s="16"/>
      <c r="P123" s="16"/>
      <c r="Q123" s="16"/>
      <c r="R123" s="16"/>
      <c r="S123" s="16"/>
      <c r="T123" s="5">
        <f>O123+S123</f>
        <v>0</v>
      </c>
      <c r="U123" s="16"/>
      <c r="V123" s="16"/>
      <c r="W123" s="16"/>
      <c r="X123" s="16"/>
      <c r="Y123" s="16"/>
      <c r="Z123" s="16"/>
      <c r="AA123" s="16"/>
      <c r="AB123" s="16"/>
      <c r="AC123" s="5"/>
      <c r="AD123" s="16"/>
      <c r="AE123" s="16"/>
      <c r="AF123" s="16"/>
      <c r="AG123" s="16"/>
      <c r="AH123" s="16"/>
      <c r="AI123" s="16"/>
      <c r="AJ123" s="16"/>
      <c r="AK123" s="5">
        <f>AH123+AI123+AJ123</f>
        <v>0</v>
      </c>
      <c r="AL123" s="5">
        <f>AG123+AK123</f>
        <v>0</v>
      </c>
      <c r="AM123" s="16"/>
      <c r="AN123" s="16"/>
      <c r="AO123" s="16"/>
      <c r="AP123" s="16"/>
      <c r="AQ123" s="16"/>
      <c r="AR123" s="16"/>
      <c r="AS123" s="16"/>
      <c r="AT123" s="5">
        <f>AQ123+AR123+AS123</f>
        <v>0</v>
      </c>
      <c r="AU123" s="5">
        <f>AP123+AT123</f>
        <v>0</v>
      </c>
      <c r="AV123" s="16"/>
      <c r="AW123" s="16"/>
      <c r="AX123" s="16"/>
      <c r="AY123" s="16"/>
      <c r="AZ123" s="16"/>
      <c r="BA123" s="16"/>
      <c r="BB123" s="16"/>
      <c r="BC123" s="5">
        <f t="shared" si="28"/>
        <v>0</v>
      </c>
      <c r="BD123" s="5">
        <f t="shared" si="25"/>
        <v>0</v>
      </c>
    </row>
    <row r="124" spans="1:56" ht="16" x14ac:dyDescent="0.2">
      <c r="A124" s="112" t="s">
        <v>196</v>
      </c>
      <c r="B124" s="112"/>
      <c r="C124" s="17">
        <f t="shared" ref="C124:I124" si="35">C7+C11+C17+C22+C28+C34+C39+C44+C48+C52+C57+C62+C66+C75+C81+C86+C89+C95+C101+C106+C110+C115</f>
        <v>304101503</v>
      </c>
      <c r="D124" s="17">
        <f t="shared" si="35"/>
        <v>60797779</v>
      </c>
      <c r="E124" s="17">
        <f t="shared" si="35"/>
        <v>136506597</v>
      </c>
      <c r="F124" s="17">
        <f t="shared" si="35"/>
        <v>501405879</v>
      </c>
      <c r="G124" s="17">
        <f t="shared" si="35"/>
        <v>194787647</v>
      </c>
      <c r="H124" s="17">
        <f t="shared" si="35"/>
        <v>67522162</v>
      </c>
      <c r="I124" s="17">
        <f t="shared" si="35"/>
        <v>159754111</v>
      </c>
      <c r="J124" s="17">
        <f>G124+H124+I124</f>
        <v>422063920</v>
      </c>
      <c r="K124" s="17">
        <f>F124+J124</f>
        <v>923469799</v>
      </c>
      <c r="L124" s="17">
        <f t="shared" ref="L124:S124" si="36">L7+L11+L17+L22+L28+L34+L39+L44+L48+L52+L57+L62+L66+L75+L81+L86+L89+L95+L101+L106+L110+L115+L119+L72</f>
        <v>321893920</v>
      </c>
      <c r="M124" s="17">
        <f t="shared" si="36"/>
        <v>84637524</v>
      </c>
      <c r="N124" s="17">
        <f t="shared" si="36"/>
        <v>121138330</v>
      </c>
      <c r="O124" s="17">
        <f t="shared" si="36"/>
        <v>527669774</v>
      </c>
      <c r="P124" s="17">
        <f t="shared" si="36"/>
        <v>314506000</v>
      </c>
      <c r="Q124" s="17">
        <f t="shared" si="36"/>
        <v>67900000</v>
      </c>
      <c r="R124" s="17">
        <f t="shared" si="36"/>
        <v>158980690</v>
      </c>
      <c r="S124" s="17">
        <f t="shared" si="36"/>
        <v>541386690</v>
      </c>
      <c r="T124" s="17">
        <f>O124+S124</f>
        <v>1069056464</v>
      </c>
      <c r="U124" s="17">
        <f t="shared" ref="U124:AB124" si="37">U7+U11+U17+U22+U28+U34+U39+U44+U48+U52+U57+U62+U66+U75+U81+U86+U89+U95+U101+U106+U110+U115+U119+U72</f>
        <v>329475702</v>
      </c>
      <c r="V124" s="17">
        <f t="shared" si="37"/>
        <v>120395724</v>
      </c>
      <c r="W124" s="17">
        <f t="shared" si="37"/>
        <v>121841664</v>
      </c>
      <c r="X124" s="17">
        <f t="shared" si="37"/>
        <v>571713090</v>
      </c>
      <c r="Y124" s="17">
        <f t="shared" si="37"/>
        <v>478251553</v>
      </c>
      <c r="Z124" s="17">
        <f t="shared" si="37"/>
        <v>113318821</v>
      </c>
      <c r="AA124" s="17">
        <f t="shared" si="37"/>
        <v>184115857</v>
      </c>
      <c r="AB124" s="17">
        <f t="shared" si="37"/>
        <v>775686231</v>
      </c>
      <c r="AC124" s="5">
        <f t="shared" ref="AC124:AC131" si="38">X124+AB124</f>
        <v>1347399321</v>
      </c>
      <c r="AD124" s="17">
        <f t="shared" ref="AD124:BD124" si="39">AD7+AD11+AD17+AD22+AD28+AD34+AD39+AD44+AD48+AD52+AD57+AD62+AD66+AD75+AD81+AD86+AD89+AD95+AD101+AD106+AD110+AD115+AD119+AD72</f>
        <v>347509520.02399999</v>
      </c>
      <c r="AE124" s="17">
        <f t="shared" si="39"/>
        <v>122479573</v>
      </c>
      <c r="AF124" s="17">
        <f t="shared" si="39"/>
        <v>134143354</v>
      </c>
      <c r="AG124" s="17">
        <f t="shared" si="39"/>
        <v>604132447.02399993</v>
      </c>
      <c r="AH124" s="17">
        <f t="shared" si="39"/>
        <v>512389000</v>
      </c>
      <c r="AI124" s="17">
        <f t="shared" si="39"/>
        <v>72600000</v>
      </c>
      <c r="AJ124" s="17">
        <f t="shared" si="39"/>
        <v>217745960</v>
      </c>
      <c r="AK124" s="17">
        <f t="shared" si="39"/>
        <v>802734960</v>
      </c>
      <c r="AL124" s="17">
        <f t="shared" si="39"/>
        <v>1406867407.0239999</v>
      </c>
      <c r="AM124" s="17">
        <f t="shared" si="39"/>
        <v>347509519</v>
      </c>
      <c r="AN124" s="17">
        <f t="shared" si="39"/>
        <v>99117334</v>
      </c>
      <c r="AO124" s="17">
        <f t="shared" si="39"/>
        <v>105380524</v>
      </c>
      <c r="AP124" s="17">
        <f t="shared" si="39"/>
        <v>553558936</v>
      </c>
      <c r="AQ124" s="17">
        <f t="shared" si="39"/>
        <v>505714392</v>
      </c>
      <c r="AR124" s="17">
        <f t="shared" si="39"/>
        <v>64076442</v>
      </c>
      <c r="AS124" s="17">
        <f t="shared" si="39"/>
        <v>121740179</v>
      </c>
      <c r="AT124" s="17">
        <f t="shared" si="39"/>
        <v>691531013</v>
      </c>
      <c r="AU124" s="17">
        <f t="shared" si="39"/>
        <v>1243538393</v>
      </c>
      <c r="AV124" s="17">
        <f t="shared" si="39"/>
        <v>347509520</v>
      </c>
      <c r="AW124" s="17">
        <f t="shared" si="39"/>
        <v>105579511</v>
      </c>
      <c r="AX124" s="17">
        <f t="shared" si="39"/>
        <v>105980698</v>
      </c>
      <c r="AY124" s="17">
        <f t="shared" si="39"/>
        <v>559069729</v>
      </c>
      <c r="AZ124" s="17">
        <f t="shared" si="39"/>
        <v>518716434</v>
      </c>
      <c r="BA124" s="17">
        <f t="shared" si="39"/>
        <v>62846505</v>
      </c>
      <c r="BB124" s="17">
        <f t="shared" si="39"/>
        <v>121747504</v>
      </c>
      <c r="BC124" s="17">
        <f t="shared" si="39"/>
        <v>703310443</v>
      </c>
      <c r="BD124" s="17">
        <f t="shared" si="39"/>
        <v>1262380172</v>
      </c>
    </row>
    <row r="125" spans="1:56" ht="16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5"/>
      <c r="L125" s="18"/>
      <c r="M125" s="18"/>
      <c r="N125" s="18"/>
      <c r="O125" s="18"/>
      <c r="P125" s="18"/>
      <c r="Q125" s="18"/>
      <c r="R125" s="18"/>
      <c r="S125" s="18"/>
      <c r="T125" s="5">
        <f>O125+S125</f>
        <v>0</v>
      </c>
      <c r="U125" s="18"/>
      <c r="V125" s="18"/>
      <c r="W125" s="18"/>
      <c r="X125" s="18"/>
      <c r="Y125" s="18"/>
      <c r="Z125" s="18"/>
      <c r="AA125" s="18"/>
      <c r="AB125" s="18"/>
      <c r="AC125" s="5">
        <f t="shared" si="38"/>
        <v>0</v>
      </c>
      <c r="AD125" s="18"/>
      <c r="AE125" s="18"/>
      <c r="AF125" s="18"/>
      <c r="AG125" s="74">
        <f>AG124+AG126-AG137-AG141</f>
        <v>1099058215.0239999</v>
      </c>
      <c r="AH125" s="74">
        <f t="shared" ref="AH125:AK125" si="40">AH124+AH126-AH137-AH141</f>
        <v>517500000</v>
      </c>
      <c r="AI125" s="74">
        <f t="shared" si="40"/>
        <v>72600000</v>
      </c>
      <c r="AJ125" s="74">
        <f t="shared" si="40"/>
        <v>222745960</v>
      </c>
      <c r="AK125" s="74">
        <f t="shared" si="40"/>
        <v>812845960</v>
      </c>
      <c r="AL125" s="5">
        <f>AG125+AK125</f>
        <v>1911904175.0239999</v>
      </c>
      <c r="AM125" s="18"/>
      <c r="AN125" s="18"/>
      <c r="AO125" s="18"/>
      <c r="AP125" s="18"/>
      <c r="AQ125" s="18"/>
      <c r="AR125" s="18"/>
      <c r="AS125" s="18"/>
      <c r="AT125" s="5">
        <f>AQ125+AR125+AS125</f>
        <v>0</v>
      </c>
      <c r="AU125" s="5">
        <f>AP125+AT125</f>
        <v>0</v>
      </c>
      <c r="AV125" s="18"/>
      <c r="AW125" s="18"/>
      <c r="AX125" s="18"/>
      <c r="AY125" s="18"/>
      <c r="AZ125" s="18"/>
      <c r="BA125" s="18"/>
      <c r="BB125" s="18"/>
      <c r="BC125" s="5">
        <f t="shared" si="28"/>
        <v>0</v>
      </c>
      <c r="BD125" s="5">
        <f t="shared" si="25"/>
        <v>0</v>
      </c>
    </row>
    <row r="126" spans="1:56" ht="16" x14ac:dyDescent="0.2">
      <c r="A126" s="113" t="s">
        <v>197</v>
      </c>
      <c r="B126" s="114"/>
      <c r="C126" s="19">
        <v>70798497</v>
      </c>
      <c r="D126" s="19">
        <v>34924221</v>
      </c>
      <c r="E126" s="19">
        <v>154212403</v>
      </c>
      <c r="F126" s="19">
        <v>413835121</v>
      </c>
      <c r="G126" s="19">
        <v>16012353</v>
      </c>
      <c r="H126" s="19">
        <v>3723727</v>
      </c>
      <c r="I126" s="19">
        <v>16000000</v>
      </c>
      <c r="J126" s="19">
        <v>35736080</v>
      </c>
      <c r="K126" s="5">
        <v>449571201</v>
      </c>
      <c r="L126" s="19">
        <v>72056080</v>
      </c>
      <c r="M126" s="19">
        <v>104192476</v>
      </c>
      <c r="N126" s="19">
        <v>233505670</v>
      </c>
      <c r="O126" s="19">
        <v>599054226</v>
      </c>
      <c r="P126" s="19">
        <v>10300000</v>
      </c>
      <c r="Q126" s="19">
        <v>8078310</v>
      </c>
      <c r="R126" s="19">
        <v>12000000</v>
      </c>
      <c r="S126" s="19">
        <v>30378310</v>
      </c>
      <c r="T126" s="5">
        <v>629432536</v>
      </c>
      <c r="U126" s="19">
        <v>81451298</v>
      </c>
      <c r="V126" s="19">
        <v>53882050</v>
      </c>
      <c r="W126" s="19">
        <v>281648008</v>
      </c>
      <c r="X126" s="19">
        <v>638695985</v>
      </c>
      <c r="Y126" s="19">
        <v>54392988</v>
      </c>
      <c r="Z126" s="19">
        <v>7710000</v>
      </c>
      <c r="AA126" s="19">
        <v>8000000</v>
      </c>
      <c r="AB126" s="19">
        <v>70102988</v>
      </c>
      <c r="AC126" s="5">
        <v>708798973</v>
      </c>
      <c r="AD126" s="19">
        <v>78590481</v>
      </c>
      <c r="AE126" s="19">
        <v>66665427</v>
      </c>
      <c r="AF126" s="19">
        <v>246739646</v>
      </c>
      <c r="AG126" s="19">
        <v>596925768</v>
      </c>
      <c r="AH126" s="19">
        <v>8111000</v>
      </c>
      <c r="AI126" s="19">
        <v>2850000</v>
      </c>
      <c r="AJ126" s="19">
        <v>13000000</v>
      </c>
      <c r="AK126" s="5">
        <v>23961000</v>
      </c>
      <c r="AL126" s="5">
        <v>620886768</v>
      </c>
      <c r="AM126" s="19">
        <v>75975628</v>
      </c>
      <c r="AN126" s="19">
        <v>57861081</v>
      </c>
      <c r="AO126" s="19">
        <v>263073155</v>
      </c>
      <c r="AP126" s="19">
        <v>601840078.26699996</v>
      </c>
      <c r="AQ126" s="19">
        <v>9100000</v>
      </c>
      <c r="AR126" s="19">
        <v>2850000</v>
      </c>
      <c r="AS126" s="19">
        <v>8000000</v>
      </c>
      <c r="AT126" s="5">
        <v>19950000</v>
      </c>
      <c r="AU126" s="5">
        <v>621790078</v>
      </c>
      <c r="AV126" s="19">
        <v>75975628</v>
      </c>
      <c r="AW126" s="19">
        <v>57886838</v>
      </c>
      <c r="AX126" s="19">
        <v>262756657</v>
      </c>
      <c r="AY126" s="19">
        <v>601549337.26699996</v>
      </c>
      <c r="AZ126" s="19">
        <v>9100000</v>
      </c>
      <c r="BA126" s="19">
        <v>2850000</v>
      </c>
      <c r="BB126" s="19">
        <v>8000000</v>
      </c>
      <c r="BC126" s="5">
        <v>19950000</v>
      </c>
      <c r="BD126" s="5">
        <v>621499337</v>
      </c>
    </row>
    <row r="127" spans="1:56" ht="17" x14ac:dyDescent="0.2">
      <c r="A127" s="20" t="s">
        <v>198</v>
      </c>
      <c r="B127" s="21" t="s">
        <v>199</v>
      </c>
      <c r="C127" s="22">
        <v>8436552</v>
      </c>
      <c r="D127" s="22">
        <v>7070437</v>
      </c>
      <c r="E127" s="22">
        <v>245000</v>
      </c>
      <c r="F127" s="8">
        <f>SUM(C127:E127)</f>
        <v>15751989</v>
      </c>
      <c r="G127" s="22"/>
      <c r="H127" s="22"/>
      <c r="I127" s="22"/>
      <c r="J127" s="8">
        <f t="shared" ref="J127:J134" si="41">SUM(G127:I127)</f>
        <v>0</v>
      </c>
      <c r="K127" s="5">
        <f t="shared" ref="K127:K134" si="42">F127+J127</f>
        <v>15751989</v>
      </c>
      <c r="L127" s="22">
        <v>10068300</v>
      </c>
      <c r="M127" s="22">
        <v>3623666</v>
      </c>
      <c r="N127" s="22">
        <v>265000</v>
      </c>
      <c r="O127" s="8">
        <f>SUM(L127:N127)</f>
        <v>13956966</v>
      </c>
      <c r="P127" s="22"/>
      <c r="Q127" s="22"/>
      <c r="R127" s="22"/>
      <c r="S127" s="8">
        <f t="shared" ref="S127:S134" si="43">SUM(P127:R127)</f>
        <v>0</v>
      </c>
      <c r="T127" s="5">
        <f t="shared" ref="T127:T142" si="44">O127+S127</f>
        <v>13956966</v>
      </c>
      <c r="U127" s="22">
        <v>10634166</v>
      </c>
      <c r="V127" s="22">
        <v>3712584</v>
      </c>
      <c r="W127" s="22">
        <v>232000</v>
      </c>
      <c r="X127" s="8">
        <f>SUM(U127:W127)</f>
        <v>14578750</v>
      </c>
      <c r="Y127" s="22">
        <v>2500000</v>
      </c>
      <c r="Z127" s="22">
        <v>0</v>
      </c>
      <c r="AA127" s="22">
        <v>0</v>
      </c>
      <c r="AB127" s="8">
        <f t="shared" ref="AB127:AB140" si="45">SUM(Y127:AA127)</f>
        <v>2500000</v>
      </c>
      <c r="AC127" s="5">
        <f t="shared" si="38"/>
        <v>17078750</v>
      </c>
      <c r="AD127" s="50">
        <v>10609028</v>
      </c>
      <c r="AE127" s="50">
        <v>4114478</v>
      </c>
      <c r="AF127" s="50">
        <v>242000</v>
      </c>
      <c r="AG127" s="63">
        <f t="shared" ref="AG127:AG136" si="46">SUM(AD127:AF127)</f>
        <v>14965506</v>
      </c>
      <c r="AH127" s="50">
        <v>4211000</v>
      </c>
      <c r="AI127" s="47"/>
      <c r="AJ127" s="47"/>
      <c r="AK127" s="55">
        <f t="shared" ref="AK127:AK134" si="47">SUM(AH127:AJ127)</f>
        <v>4211000</v>
      </c>
      <c r="AL127" s="5">
        <f t="shared" ref="AL127:AL142" si="48">AG127+AK127</f>
        <v>19176506</v>
      </c>
      <c r="AM127" s="22">
        <v>10609028</v>
      </c>
      <c r="AN127" s="22">
        <v>4015799</v>
      </c>
      <c r="AO127" s="22">
        <v>230981</v>
      </c>
      <c r="AP127" s="8">
        <f>SUM(AM127:AO127)</f>
        <v>14855808</v>
      </c>
      <c r="AQ127" s="22">
        <v>5600000</v>
      </c>
      <c r="AR127" s="22">
        <v>0</v>
      </c>
      <c r="AS127" s="22">
        <v>0</v>
      </c>
      <c r="AT127" s="5">
        <f t="shared" ref="AT127:AT134" si="49">AQ127+AR127+AS127</f>
        <v>5600000</v>
      </c>
      <c r="AU127" s="5">
        <f t="shared" ref="AU127:AU141" si="50">AP127+AT127</f>
        <v>20455808</v>
      </c>
      <c r="AV127" s="22">
        <v>10609028</v>
      </c>
      <c r="AW127" s="22">
        <v>3701948</v>
      </c>
      <c r="AX127" s="22">
        <v>219642</v>
      </c>
      <c r="AY127" s="8">
        <f>SUM(AV127:AX127)</f>
        <v>14530618</v>
      </c>
      <c r="AZ127" s="22">
        <v>5600000</v>
      </c>
      <c r="BA127" s="22">
        <v>0</v>
      </c>
      <c r="BB127" s="22">
        <v>0</v>
      </c>
      <c r="BC127" s="5">
        <f t="shared" si="28"/>
        <v>5600000</v>
      </c>
      <c r="BD127" s="5">
        <f t="shared" si="25"/>
        <v>20130618</v>
      </c>
    </row>
    <row r="128" spans="1:56" ht="17" x14ac:dyDescent="0.2">
      <c r="A128" s="6" t="s">
        <v>200</v>
      </c>
      <c r="B128" s="11" t="s">
        <v>201</v>
      </c>
      <c r="C128" s="22">
        <v>841101</v>
      </c>
      <c r="D128" s="22">
        <f>349997+81403+25000</f>
        <v>456400</v>
      </c>
      <c r="E128" s="22">
        <v>3600</v>
      </c>
      <c r="F128" s="8">
        <f t="shared" ref="F128:F134" si="51">SUM(C128:E128)</f>
        <v>1301101</v>
      </c>
      <c r="G128" s="22"/>
      <c r="H128" s="22">
        <f>15751989-K127</f>
        <v>0</v>
      </c>
      <c r="I128" s="22"/>
      <c r="J128" s="8">
        <f t="shared" si="41"/>
        <v>0</v>
      </c>
      <c r="K128" s="5">
        <f t="shared" si="42"/>
        <v>1301101</v>
      </c>
      <c r="L128" s="22">
        <v>1139545</v>
      </c>
      <c r="M128" s="22">
        <v>556400</v>
      </c>
      <c r="N128" s="22">
        <v>3600</v>
      </c>
      <c r="O128" s="8">
        <f t="shared" ref="O128:O135" si="52">SUM(L128:N128)</f>
        <v>1699545</v>
      </c>
      <c r="P128" s="22"/>
      <c r="Q128" s="22"/>
      <c r="R128" s="22"/>
      <c r="S128" s="8">
        <f t="shared" si="43"/>
        <v>0</v>
      </c>
      <c r="T128" s="5">
        <f t="shared" si="44"/>
        <v>1699545</v>
      </c>
      <c r="U128" s="22">
        <v>1103844</v>
      </c>
      <c r="V128" s="22">
        <v>663235</v>
      </c>
      <c r="W128" s="22">
        <v>3600</v>
      </c>
      <c r="X128" s="8">
        <f t="shared" ref="X128:X136" si="53">SUM(U128:W128)</f>
        <v>1770679</v>
      </c>
      <c r="Y128" s="22"/>
      <c r="Z128" s="22">
        <v>0</v>
      </c>
      <c r="AA128" s="22">
        <v>0</v>
      </c>
      <c r="AB128" s="8">
        <f t="shared" si="45"/>
        <v>0</v>
      </c>
      <c r="AC128" s="5">
        <f t="shared" si="38"/>
        <v>1770679</v>
      </c>
      <c r="AD128" s="59">
        <v>1194501</v>
      </c>
      <c r="AE128" s="59">
        <v>703235</v>
      </c>
      <c r="AF128" s="59">
        <v>3600</v>
      </c>
      <c r="AG128" s="52">
        <f t="shared" si="46"/>
        <v>1901336</v>
      </c>
      <c r="AH128" s="59"/>
      <c r="AI128" s="59"/>
      <c r="AJ128" s="59"/>
      <c r="AK128" s="52">
        <f t="shared" si="47"/>
        <v>0</v>
      </c>
      <c r="AL128" s="5">
        <f t="shared" si="48"/>
        <v>1901336</v>
      </c>
      <c r="AM128" s="22">
        <v>1194501</v>
      </c>
      <c r="AN128" s="22">
        <v>550113</v>
      </c>
      <c r="AO128" s="22">
        <v>3147</v>
      </c>
      <c r="AP128" s="8">
        <f t="shared" ref="AP128:AP136" si="54">SUM(AM128:AO128)</f>
        <v>1747761</v>
      </c>
      <c r="AQ128" s="22"/>
      <c r="AR128" s="22">
        <v>0</v>
      </c>
      <c r="AS128" s="22">
        <v>0</v>
      </c>
      <c r="AT128" s="5">
        <f t="shared" si="49"/>
        <v>0</v>
      </c>
      <c r="AU128" s="5">
        <f t="shared" si="50"/>
        <v>1747761</v>
      </c>
      <c r="AV128" s="22">
        <v>1194501</v>
      </c>
      <c r="AW128" s="22">
        <v>576271</v>
      </c>
      <c r="AX128" s="22">
        <v>3211</v>
      </c>
      <c r="AY128" s="8">
        <f t="shared" ref="AY128:AY136" si="55">SUM(AV128:AX128)</f>
        <v>1773983</v>
      </c>
      <c r="AZ128" s="22"/>
      <c r="BA128" s="22">
        <v>0</v>
      </c>
      <c r="BB128" s="22">
        <v>0</v>
      </c>
      <c r="BC128" s="5">
        <f t="shared" si="28"/>
        <v>0</v>
      </c>
      <c r="BD128" s="5">
        <f t="shared" si="25"/>
        <v>1773983</v>
      </c>
    </row>
    <row r="129" spans="1:56" ht="19.5" customHeight="1" x14ac:dyDescent="0.2">
      <c r="A129" s="6" t="s">
        <v>202</v>
      </c>
      <c r="B129" s="11" t="s">
        <v>203</v>
      </c>
      <c r="C129" s="22">
        <f>1653756+66400</f>
        <v>1720156</v>
      </c>
      <c r="D129" s="22">
        <f>462358+173779+75372</f>
        <v>711509</v>
      </c>
      <c r="E129" s="22">
        <f>361941+118059</f>
        <v>480000</v>
      </c>
      <c r="F129" s="8">
        <f t="shared" si="51"/>
        <v>2911665</v>
      </c>
      <c r="G129" s="22"/>
      <c r="H129" s="22"/>
      <c r="I129" s="22"/>
      <c r="J129" s="8">
        <f t="shared" si="41"/>
        <v>0</v>
      </c>
      <c r="K129" s="5">
        <f t="shared" si="42"/>
        <v>2911665</v>
      </c>
      <c r="L129" s="22">
        <v>1819700</v>
      </c>
      <c r="M129" s="22">
        <v>750252</v>
      </c>
      <c r="N129" s="22">
        <v>528000</v>
      </c>
      <c r="O129" s="8">
        <f t="shared" si="52"/>
        <v>3097952</v>
      </c>
      <c r="P129" s="22"/>
      <c r="Q129" s="22"/>
      <c r="R129" s="22"/>
      <c r="S129" s="8">
        <f t="shared" si="43"/>
        <v>0</v>
      </c>
      <c r="T129" s="5">
        <f t="shared" si="44"/>
        <v>3097952</v>
      </c>
      <c r="U129" s="22">
        <v>1910366</v>
      </c>
      <c r="V129" s="22">
        <v>750252</v>
      </c>
      <c r="W129" s="22">
        <v>528000</v>
      </c>
      <c r="X129" s="8">
        <f t="shared" si="53"/>
        <v>3188618</v>
      </c>
      <c r="Y129" s="22"/>
      <c r="Z129" s="22">
        <v>0</v>
      </c>
      <c r="AA129" s="22">
        <v>0</v>
      </c>
      <c r="AB129" s="8">
        <f t="shared" si="45"/>
        <v>0</v>
      </c>
      <c r="AC129" s="5">
        <f t="shared" si="38"/>
        <v>3188618</v>
      </c>
      <c r="AD129" s="59">
        <v>1109172</v>
      </c>
      <c r="AE129" s="59">
        <v>792037</v>
      </c>
      <c r="AF129" s="59">
        <v>57387</v>
      </c>
      <c r="AG129" s="52">
        <f t="shared" si="46"/>
        <v>1958596</v>
      </c>
      <c r="AH129" s="59"/>
      <c r="AI129" s="59"/>
      <c r="AJ129" s="59"/>
      <c r="AK129" s="52">
        <f t="shared" si="47"/>
        <v>0</v>
      </c>
      <c r="AL129" s="5">
        <f t="shared" si="48"/>
        <v>1958596</v>
      </c>
      <c r="AM129" s="22">
        <v>1109172</v>
      </c>
      <c r="AN129" s="22">
        <v>677851</v>
      </c>
      <c r="AO129" s="22">
        <v>150000</v>
      </c>
      <c r="AP129" s="8">
        <f t="shared" si="54"/>
        <v>1937023</v>
      </c>
      <c r="AQ129" s="22"/>
      <c r="AR129" s="22">
        <v>0</v>
      </c>
      <c r="AS129" s="22">
        <v>0</v>
      </c>
      <c r="AT129" s="5">
        <f t="shared" si="49"/>
        <v>0</v>
      </c>
      <c r="AU129" s="5">
        <f t="shared" si="50"/>
        <v>1937023</v>
      </c>
      <c r="AV129" s="22">
        <v>1109172</v>
      </c>
      <c r="AW129" s="22">
        <v>659529</v>
      </c>
      <c r="AX129" s="22">
        <v>241061</v>
      </c>
      <c r="AY129" s="8">
        <f t="shared" si="55"/>
        <v>2009762</v>
      </c>
      <c r="AZ129" s="22"/>
      <c r="BA129" s="22">
        <v>0</v>
      </c>
      <c r="BB129" s="22">
        <v>0</v>
      </c>
      <c r="BC129" s="5">
        <f t="shared" si="28"/>
        <v>0</v>
      </c>
      <c r="BD129" s="5">
        <f t="shared" si="25"/>
        <v>2009762</v>
      </c>
    </row>
    <row r="130" spans="1:56" ht="34" x14ac:dyDescent="0.2">
      <c r="A130" s="6" t="s">
        <v>204</v>
      </c>
      <c r="B130" s="11" t="s">
        <v>205</v>
      </c>
      <c r="C130" s="22">
        <v>1267523</v>
      </c>
      <c r="D130" s="22">
        <f>281831+209457+55000</f>
        <v>546288</v>
      </c>
      <c r="E130" s="22">
        <v>45000</v>
      </c>
      <c r="F130" s="8">
        <f t="shared" si="51"/>
        <v>1858811</v>
      </c>
      <c r="G130" s="22"/>
      <c r="H130" s="22"/>
      <c r="I130" s="22"/>
      <c r="J130" s="8">
        <f t="shared" si="41"/>
        <v>0</v>
      </c>
      <c r="K130" s="5">
        <f t="shared" si="42"/>
        <v>1858811</v>
      </c>
      <c r="L130" s="22">
        <v>1345993</v>
      </c>
      <c r="M130" s="22">
        <v>546288</v>
      </c>
      <c r="N130" s="22">
        <v>45000</v>
      </c>
      <c r="O130" s="8">
        <f t="shared" si="52"/>
        <v>1937281</v>
      </c>
      <c r="P130" s="22"/>
      <c r="Q130" s="22"/>
      <c r="R130" s="22"/>
      <c r="S130" s="8">
        <f t="shared" si="43"/>
        <v>0</v>
      </c>
      <c r="T130" s="5">
        <f t="shared" si="44"/>
        <v>1937281</v>
      </c>
      <c r="U130" s="22">
        <v>1459688</v>
      </c>
      <c r="V130" s="22">
        <v>543767</v>
      </c>
      <c r="W130" s="22">
        <v>47521</v>
      </c>
      <c r="X130" s="8">
        <f t="shared" si="53"/>
        <v>2050976</v>
      </c>
      <c r="Y130" s="22"/>
      <c r="Z130" s="22">
        <v>0</v>
      </c>
      <c r="AA130" s="22">
        <v>0</v>
      </c>
      <c r="AB130" s="8">
        <f t="shared" si="45"/>
        <v>0</v>
      </c>
      <c r="AC130" s="5">
        <f t="shared" si="38"/>
        <v>2050976</v>
      </c>
      <c r="AD130" s="59">
        <v>1402623</v>
      </c>
      <c r="AE130" s="59">
        <v>564288</v>
      </c>
      <c r="AF130" s="59">
        <v>27000</v>
      </c>
      <c r="AG130" s="52">
        <f t="shared" si="46"/>
        <v>1993911</v>
      </c>
      <c r="AH130" s="59"/>
      <c r="AI130" s="59"/>
      <c r="AJ130" s="59"/>
      <c r="AK130" s="52">
        <f t="shared" si="47"/>
        <v>0</v>
      </c>
      <c r="AL130" s="5">
        <f t="shared" si="48"/>
        <v>1993911</v>
      </c>
      <c r="AM130" s="22">
        <v>1402623</v>
      </c>
      <c r="AN130" s="22">
        <v>479890</v>
      </c>
      <c r="AO130" s="22">
        <v>40441</v>
      </c>
      <c r="AP130" s="8">
        <f t="shared" si="54"/>
        <v>1922954</v>
      </c>
      <c r="AQ130" s="22"/>
      <c r="AR130" s="22">
        <v>0</v>
      </c>
      <c r="AS130" s="22">
        <v>0</v>
      </c>
      <c r="AT130" s="5">
        <f t="shared" si="49"/>
        <v>0</v>
      </c>
      <c r="AU130" s="5">
        <f t="shared" si="50"/>
        <v>1922954</v>
      </c>
      <c r="AV130" s="22">
        <v>1402623</v>
      </c>
      <c r="AW130" s="22">
        <v>486492</v>
      </c>
      <c r="AX130" s="22">
        <v>42016</v>
      </c>
      <c r="AY130" s="8">
        <f t="shared" si="55"/>
        <v>1931131</v>
      </c>
      <c r="AZ130" s="22"/>
      <c r="BA130" s="22">
        <v>0</v>
      </c>
      <c r="BB130" s="22">
        <v>0</v>
      </c>
      <c r="BC130" s="5">
        <f t="shared" si="28"/>
        <v>0</v>
      </c>
      <c r="BD130" s="5">
        <f t="shared" si="25"/>
        <v>1931131</v>
      </c>
    </row>
    <row r="131" spans="1:56" ht="40.5" customHeight="1" x14ac:dyDescent="0.2">
      <c r="A131" s="6" t="s">
        <v>206</v>
      </c>
      <c r="B131" s="11" t="s">
        <v>207</v>
      </c>
      <c r="C131" s="22">
        <v>902179</v>
      </c>
      <c r="D131" s="22">
        <f>391764+257665+196245</f>
        <v>845674</v>
      </c>
      <c r="E131" s="22">
        <v>100000</v>
      </c>
      <c r="F131" s="8">
        <f t="shared" si="51"/>
        <v>1847853</v>
      </c>
      <c r="G131" s="22"/>
      <c r="H131" s="22"/>
      <c r="I131" s="22"/>
      <c r="J131" s="8">
        <f t="shared" si="41"/>
        <v>0</v>
      </c>
      <c r="K131" s="5">
        <f t="shared" si="42"/>
        <v>1847853</v>
      </c>
      <c r="L131" s="22">
        <v>1097931</v>
      </c>
      <c r="M131" s="22">
        <v>845674</v>
      </c>
      <c r="N131" s="22">
        <v>100000</v>
      </c>
      <c r="O131" s="8">
        <f t="shared" si="52"/>
        <v>2043605</v>
      </c>
      <c r="P131" s="22"/>
      <c r="Q131" s="22"/>
      <c r="R131" s="22"/>
      <c r="S131" s="8">
        <f t="shared" si="43"/>
        <v>0</v>
      </c>
      <c r="T131" s="5">
        <f t="shared" si="44"/>
        <v>2043605</v>
      </c>
      <c r="U131" s="22">
        <v>1277730</v>
      </c>
      <c r="V131" s="22">
        <v>845674</v>
      </c>
      <c r="W131" s="22">
        <v>100000</v>
      </c>
      <c r="X131" s="8">
        <f t="shared" si="53"/>
        <v>2223404</v>
      </c>
      <c r="Y131" s="22"/>
      <c r="Z131" s="22">
        <v>0</v>
      </c>
      <c r="AA131" s="22">
        <v>0</v>
      </c>
      <c r="AB131" s="8">
        <f t="shared" si="45"/>
        <v>0</v>
      </c>
      <c r="AC131" s="5">
        <f t="shared" si="38"/>
        <v>2223404</v>
      </c>
      <c r="AD131" s="59">
        <v>1277730</v>
      </c>
      <c r="AE131" s="59">
        <v>942674</v>
      </c>
      <c r="AF131" s="59">
        <v>3000</v>
      </c>
      <c r="AG131" s="52">
        <f t="shared" si="46"/>
        <v>2223404</v>
      </c>
      <c r="AH131" s="59"/>
      <c r="AI131" s="59"/>
      <c r="AJ131" s="59"/>
      <c r="AK131" s="52">
        <f t="shared" si="47"/>
        <v>0</v>
      </c>
      <c r="AL131" s="5">
        <f t="shared" si="48"/>
        <v>2223404</v>
      </c>
      <c r="AM131" s="22">
        <v>1277730</v>
      </c>
      <c r="AN131" s="22">
        <v>733356</v>
      </c>
      <c r="AO131" s="22">
        <v>93372</v>
      </c>
      <c r="AP131" s="8">
        <f t="shared" si="54"/>
        <v>2104458</v>
      </c>
      <c r="AQ131" s="22"/>
      <c r="AR131" s="22">
        <v>0</v>
      </c>
      <c r="AS131" s="22">
        <v>0</v>
      </c>
      <c r="AT131" s="5">
        <f t="shared" si="49"/>
        <v>0</v>
      </c>
      <c r="AU131" s="5">
        <f t="shared" si="50"/>
        <v>2104458</v>
      </c>
      <c r="AV131" s="22">
        <v>1277730</v>
      </c>
      <c r="AW131" s="22">
        <v>752274</v>
      </c>
      <c r="AX131" s="22">
        <v>91173</v>
      </c>
      <c r="AY131" s="8">
        <f t="shared" si="55"/>
        <v>2121177</v>
      </c>
      <c r="AZ131" s="22"/>
      <c r="BA131" s="22">
        <v>0</v>
      </c>
      <c r="BB131" s="22">
        <v>0</v>
      </c>
      <c r="BC131" s="5">
        <f t="shared" si="28"/>
        <v>0</v>
      </c>
      <c r="BD131" s="5">
        <f t="shared" si="25"/>
        <v>2121177</v>
      </c>
    </row>
    <row r="132" spans="1:56" ht="17" x14ac:dyDescent="0.2">
      <c r="A132" s="6" t="s">
        <v>208</v>
      </c>
      <c r="B132" s="11" t="s">
        <v>209</v>
      </c>
      <c r="C132" s="22">
        <v>271400</v>
      </c>
      <c r="D132" s="22">
        <f>153600+24000</f>
        <v>177600</v>
      </c>
      <c r="E132" s="22">
        <v>1000</v>
      </c>
      <c r="F132" s="8">
        <f t="shared" si="51"/>
        <v>450000</v>
      </c>
      <c r="G132" s="22"/>
      <c r="H132" s="22"/>
      <c r="I132" s="22"/>
      <c r="J132" s="8">
        <f t="shared" si="41"/>
        <v>0</v>
      </c>
      <c r="K132" s="5">
        <f t="shared" si="42"/>
        <v>450000</v>
      </c>
      <c r="L132" s="22">
        <v>287800</v>
      </c>
      <c r="M132" s="22">
        <v>215600</v>
      </c>
      <c r="N132" s="22">
        <v>1000</v>
      </c>
      <c r="O132" s="8">
        <f t="shared" si="52"/>
        <v>504400</v>
      </c>
      <c r="P132" s="22"/>
      <c r="Q132" s="22"/>
      <c r="R132" s="22"/>
      <c r="S132" s="8">
        <f t="shared" si="43"/>
        <v>0</v>
      </c>
      <c r="T132" s="5">
        <f t="shared" si="44"/>
        <v>504400</v>
      </c>
      <c r="U132" s="22">
        <v>328808</v>
      </c>
      <c r="V132" s="22">
        <v>223685</v>
      </c>
      <c r="W132" s="22">
        <v>1000</v>
      </c>
      <c r="X132" s="8">
        <f t="shared" si="53"/>
        <v>553493</v>
      </c>
      <c r="Y132" s="22"/>
      <c r="Z132" s="22">
        <v>0</v>
      </c>
      <c r="AA132" s="22">
        <v>0</v>
      </c>
      <c r="AB132" s="8">
        <f t="shared" si="45"/>
        <v>0</v>
      </c>
      <c r="AC132" s="5">
        <f t="shared" ref="AC132:AC147" si="56">X132+AB132</f>
        <v>553493</v>
      </c>
      <c r="AD132" s="59">
        <v>328808</v>
      </c>
      <c r="AE132" s="59">
        <v>223685</v>
      </c>
      <c r="AF132" s="59">
        <v>1000</v>
      </c>
      <c r="AG132" s="52">
        <f t="shared" si="46"/>
        <v>553493</v>
      </c>
      <c r="AH132" s="59"/>
      <c r="AI132" s="59"/>
      <c r="AJ132" s="59"/>
      <c r="AK132" s="52">
        <f t="shared" si="47"/>
        <v>0</v>
      </c>
      <c r="AL132" s="5">
        <f t="shared" si="48"/>
        <v>553493</v>
      </c>
      <c r="AM132" s="22">
        <v>328808</v>
      </c>
      <c r="AN132" s="22">
        <v>205548</v>
      </c>
      <c r="AO132" s="22">
        <v>934</v>
      </c>
      <c r="AP132" s="8">
        <f t="shared" si="54"/>
        <v>535290</v>
      </c>
      <c r="AQ132" s="22"/>
      <c r="AR132" s="22">
        <v>0</v>
      </c>
      <c r="AS132" s="22">
        <v>0</v>
      </c>
      <c r="AT132" s="5">
        <f t="shared" si="49"/>
        <v>0</v>
      </c>
      <c r="AU132" s="5">
        <f t="shared" si="50"/>
        <v>535290</v>
      </c>
      <c r="AV132" s="22">
        <v>328808</v>
      </c>
      <c r="AW132" s="22">
        <v>202838</v>
      </c>
      <c r="AX132" s="22">
        <v>912</v>
      </c>
      <c r="AY132" s="8">
        <f t="shared" si="55"/>
        <v>532558</v>
      </c>
      <c r="AZ132" s="22"/>
      <c r="BA132" s="22">
        <v>0</v>
      </c>
      <c r="BB132" s="22">
        <v>0</v>
      </c>
      <c r="BC132" s="5">
        <f t="shared" si="28"/>
        <v>0</v>
      </c>
      <c r="BD132" s="5">
        <f t="shared" si="25"/>
        <v>532558</v>
      </c>
    </row>
    <row r="133" spans="1:56" ht="34" x14ac:dyDescent="0.2">
      <c r="A133" s="6" t="s">
        <v>210</v>
      </c>
      <c r="B133" s="11" t="s">
        <v>211</v>
      </c>
      <c r="C133" s="22">
        <v>121212</v>
      </c>
      <c r="D133" s="22">
        <f>136155+75000</f>
        <v>211155</v>
      </c>
      <c r="E133" s="22">
        <v>80000</v>
      </c>
      <c r="F133" s="8">
        <f t="shared" si="51"/>
        <v>412367</v>
      </c>
      <c r="G133" s="22"/>
      <c r="H133" s="22"/>
      <c r="I133" s="22"/>
      <c r="J133" s="8">
        <f t="shared" si="41"/>
        <v>0</v>
      </c>
      <c r="K133" s="5">
        <f t="shared" si="42"/>
        <v>412367</v>
      </c>
      <c r="L133" s="22">
        <v>109393</v>
      </c>
      <c r="M133" s="22">
        <f>136155+75000</f>
        <v>211155</v>
      </c>
      <c r="N133" s="22">
        <v>80000</v>
      </c>
      <c r="O133" s="8">
        <f t="shared" si="52"/>
        <v>400548</v>
      </c>
      <c r="P133" s="22"/>
      <c r="Q133" s="22"/>
      <c r="R133" s="22"/>
      <c r="S133" s="8">
        <f t="shared" si="43"/>
        <v>0</v>
      </c>
      <c r="T133" s="5">
        <f t="shared" si="44"/>
        <v>400548</v>
      </c>
      <c r="U133" s="22">
        <v>109648</v>
      </c>
      <c r="V133" s="22">
        <v>251155</v>
      </c>
      <c r="W133" s="22">
        <v>40000</v>
      </c>
      <c r="X133" s="8">
        <f t="shared" si="53"/>
        <v>400803</v>
      </c>
      <c r="Y133" s="22"/>
      <c r="Z133" s="22">
        <v>0</v>
      </c>
      <c r="AA133" s="22">
        <v>0</v>
      </c>
      <c r="AB133" s="8">
        <f t="shared" si="45"/>
        <v>0</v>
      </c>
      <c r="AC133" s="5">
        <f t="shared" si="56"/>
        <v>400803</v>
      </c>
      <c r="AD133" s="59">
        <v>119238</v>
      </c>
      <c r="AE133" s="59">
        <v>337755</v>
      </c>
      <c r="AF133" s="59">
        <v>3400</v>
      </c>
      <c r="AG133" s="52">
        <f t="shared" si="46"/>
        <v>460393</v>
      </c>
      <c r="AH133" s="59"/>
      <c r="AI133" s="59"/>
      <c r="AJ133" s="59"/>
      <c r="AK133" s="52">
        <f t="shared" si="47"/>
        <v>0</v>
      </c>
      <c r="AL133" s="5">
        <f t="shared" si="48"/>
        <v>460393</v>
      </c>
      <c r="AM133" s="22">
        <v>119238</v>
      </c>
      <c r="AN133" s="22">
        <v>217050</v>
      </c>
      <c r="AO133" s="22">
        <v>66154</v>
      </c>
      <c r="AP133" s="8">
        <f t="shared" si="54"/>
        <v>402442</v>
      </c>
      <c r="AQ133" s="22"/>
      <c r="AR133" s="22">
        <v>0</v>
      </c>
      <c r="AS133" s="22">
        <v>0</v>
      </c>
      <c r="AT133" s="5">
        <f t="shared" si="49"/>
        <v>0</v>
      </c>
      <c r="AU133" s="5">
        <f t="shared" si="50"/>
        <v>402442</v>
      </c>
      <c r="AV133" s="22">
        <v>119238</v>
      </c>
      <c r="AW133" s="22">
        <v>223167</v>
      </c>
      <c r="AX133" s="22">
        <v>62738</v>
      </c>
      <c r="AY133" s="8">
        <f t="shared" si="55"/>
        <v>405143</v>
      </c>
      <c r="AZ133" s="22"/>
      <c r="BA133" s="22">
        <v>0</v>
      </c>
      <c r="BB133" s="22">
        <v>0</v>
      </c>
      <c r="BC133" s="5">
        <f t="shared" si="28"/>
        <v>0</v>
      </c>
      <c r="BD133" s="5">
        <f t="shared" si="25"/>
        <v>405143</v>
      </c>
    </row>
    <row r="134" spans="1:56" ht="34" x14ac:dyDescent="0.2">
      <c r="A134" s="6" t="s">
        <v>212</v>
      </c>
      <c r="B134" s="11" t="s">
        <v>213</v>
      </c>
      <c r="C134" s="22"/>
      <c r="D134" s="22"/>
      <c r="E134" s="22">
        <v>800000</v>
      </c>
      <c r="F134" s="8">
        <f t="shared" si="51"/>
        <v>800000</v>
      </c>
      <c r="G134" s="22"/>
      <c r="H134" s="22"/>
      <c r="I134" s="22"/>
      <c r="J134" s="8">
        <f t="shared" si="41"/>
        <v>0</v>
      </c>
      <c r="K134" s="5">
        <f t="shared" si="42"/>
        <v>800000</v>
      </c>
      <c r="L134" s="22"/>
      <c r="M134" s="22"/>
      <c r="N134" s="22">
        <v>890000</v>
      </c>
      <c r="O134" s="8">
        <f t="shared" si="52"/>
        <v>890000</v>
      </c>
      <c r="P134" s="22"/>
      <c r="Q134" s="22"/>
      <c r="R134" s="22"/>
      <c r="S134" s="8">
        <f t="shared" si="43"/>
        <v>0</v>
      </c>
      <c r="T134" s="5">
        <f t="shared" si="44"/>
        <v>890000</v>
      </c>
      <c r="U134" s="22"/>
      <c r="V134" s="22">
        <v>0</v>
      </c>
      <c r="W134" s="22">
        <v>890000</v>
      </c>
      <c r="X134" s="8">
        <f t="shared" si="53"/>
        <v>890000</v>
      </c>
      <c r="Y134" s="22"/>
      <c r="Z134" s="22">
        <v>0</v>
      </c>
      <c r="AA134" s="22">
        <v>0</v>
      </c>
      <c r="AB134" s="8">
        <f t="shared" si="45"/>
        <v>0</v>
      </c>
      <c r="AC134" s="5">
        <f t="shared" si="56"/>
        <v>890000</v>
      </c>
      <c r="AD134" s="59">
        <v>581722</v>
      </c>
      <c r="AE134" s="59">
        <v>311778</v>
      </c>
      <c r="AF134" s="59">
        <v>106500</v>
      </c>
      <c r="AG134" s="52">
        <f t="shared" si="46"/>
        <v>1000000</v>
      </c>
      <c r="AH134" s="59"/>
      <c r="AI134" s="59"/>
      <c r="AJ134" s="59"/>
      <c r="AK134" s="52">
        <f t="shared" si="47"/>
        <v>0</v>
      </c>
      <c r="AL134" s="5">
        <f t="shared" si="48"/>
        <v>1000000</v>
      </c>
      <c r="AM134" s="22"/>
      <c r="AN134" s="22">
        <v>0</v>
      </c>
      <c r="AO134" s="22">
        <v>867773</v>
      </c>
      <c r="AP134" s="8">
        <f t="shared" si="54"/>
        <v>867773</v>
      </c>
      <c r="AQ134" s="22"/>
      <c r="AR134" s="22">
        <v>0</v>
      </c>
      <c r="AS134" s="22">
        <v>0</v>
      </c>
      <c r="AT134" s="5">
        <f t="shared" si="49"/>
        <v>0</v>
      </c>
      <c r="AU134" s="5">
        <f t="shared" si="50"/>
        <v>867773</v>
      </c>
      <c r="AV134" s="22"/>
      <c r="AW134" s="22">
        <v>0</v>
      </c>
      <c r="AX134" s="22">
        <v>860364</v>
      </c>
      <c r="AY134" s="8">
        <f t="shared" si="55"/>
        <v>860364</v>
      </c>
      <c r="AZ134" s="22"/>
      <c r="BA134" s="22">
        <v>0</v>
      </c>
      <c r="BB134" s="22">
        <v>0</v>
      </c>
      <c r="BC134" s="5">
        <f t="shared" si="28"/>
        <v>0</v>
      </c>
      <c r="BD134" s="5">
        <f t="shared" si="25"/>
        <v>860364</v>
      </c>
    </row>
    <row r="135" spans="1:56" ht="17" x14ac:dyDescent="0.2">
      <c r="A135" s="6" t="s">
        <v>214</v>
      </c>
      <c r="B135" s="11" t="s">
        <v>230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22">
        <v>0</v>
      </c>
      <c r="N135" s="22">
        <v>100000</v>
      </c>
      <c r="O135" s="8">
        <f t="shared" si="52"/>
        <v>100000</v>
      </c>
      <c r="P135" s="22">
        <v>0</v>
      </c>
      <c r="Q135" s="22">
        <v>0</v>
      </c>
      <c r="R135" s="22">
        <v>0</v>
      </c>
      <c r="S135" s="8">
        <f>P135+Q135+R135</f>
        <v>0</v>
      </c>
      <c r="T135" s="5">
        <f t="shared" si="44"/>
        <v>100000</v>
      </c>
      <c r="U135" s="11">
        <v>0</v>
      </c>
      <c r="V135" s="22">
        <v>0</v>
      </c>
      <c r="W135" s="22">
        <v>100000</v>
      </c>
      <c r="X135" s="8">
        <f t="shared" si="53"/>
        <v>100000</v>
      </c>
      <c r="Y135" s="22"/>
      <c r="Z135" s="22">
        <v>0</v>
      </c>
      <c r="AA135" s="22">
        <v>0</v>
      </c>
      <c r="AB135" s="8">
        <f t="shared" si="45"/>
        <v>0</v>
      </c>
      <c r="AC135" s="5">
        <f t="shared" si="56"/>
        <v>100000</v>
      </c>
      <c r="AD135" s="51">
        <v>2033131</v>
      </c>
      <c r="AE135" s="51">
        <v>2071600</v>
      </c>
      <c r="AF135" s="51">
        <v>10000</v>
      </c>
      <c r="AG135" s="52">
        <f t="shared" si="46"/>
        <v>4114731</v>
      </c>
      <c r="AH135" s="22"/>
      <c r="AI135" s="22">
        <v>0</v>
      </c>
      <c r="AJ135" s="22">
        <v>0</v>
      </c>
      <c r="AK135" s="64"/>
      <c r="AL135" s="5">
        <f t="shared" si="48"/>
        <v>4114731</v>
      </c>
      <c r="AM135" s="11">
        <v>0</v>
      </c>
      <c r="AN135" s="22">
        <v>0</v>
      </c>
      <c r="AO135" s="22">
        <v>100000</v>
      </c>
      <c r="AP135" s="8">
        <f t="shared" si="54"/>
        <v>100000</v>
      </c>
      <c r="AQ135" s="22"/>
      <c r="AR135" s="22">
        <v>0</v>
      </c>
      <c r="AS135" s="22">
        <v>0</v>
      </c>
      <c r="AT135" s="5"/>
      <c r="AU135" s="5">
        <f t="shared" si="50"/>
        <v>100000</v>
      </c>
      <c r="AV135" s="11">
        <v>0</v>
      </c>
      <c r="AW135" s="22">
        <v>0</v>
      </c>
      <c r="AX135" s="22">
        <v>100000</v>
      </c>
      <c r="AY135" s="8">
        <f t="shared" si="55"/>
        <v>100000</v>
      </c>
      <c r="AZ135" s="22"/>
      <c r="BA135" s="22">
        <v>0</v>
      </c>
      <c r="BB135" s="22">
        <v>0</v>
      </c>
      <c r="BC135" s="5"/>
      <c r="BD135" s="5">
        <f t="shared" si="25"/>
        <v>100000</v>
      </c>
    </row>
    <row r="136" spans="1:56" ht="35.25" customHeight="1" x14ac:dyDescent="0.2">
      <c r="A136" s="6" t="s">
        <v>216</v>
      </c>
      <c r="B136" s="11" t="s">
        <v>228</v>
      </c>
      <c r="C136" s="22"/>
      <c r="D136" s="22"/>
      <c r="E136" s="22"/>
      <c r="F136" s="8"/>
      <c r="G136" s="22"/>
      <c r="H136" s="22"/>
      <c r="I136" s="22"/>
      <c r="J136" s="8">
        <v>0</v>
      </c>
      <c r="K136" s="5"/>
      <c r="L136" s="22">
        <v>242550</v>
      </c>
      <c r="M136" s="22">
        <v>130875</v>
      </c>
      <c r="N136" s="22">
        <v>196575</v>
      </c>
      <c r="O136" s="8">
        <f>L136+M136+N136</f>
        <v>570000</v>
      </c>
      <c r="P136" s="22"/>
      <c r="Q136" s="22"/>
      <c r="R136" s="22"/>
      <c r="S136" s="8">
        <f>P136+Q136+R136</f>
        <v>0</v>
      </c>
      <c r="T136" s="5">
        <f t="shared" si="44"/>
        <v>570000</v>
      </c>
      <c r="U136" s="22">
        <v>351369</v>
      </c>
      <c r="V136" s="22">
        <v>246431</v>
      </c>
      <c r="W136" s="22">
        <v>2200</v>
      </c>
      <c r="X136" s="8">
        <f t="shared" si="53"/>
        <v>600000</v>
      </c>
      <c r="Y136" s="22"/>
      <c r="Z136" s="22">
        <v>0</v>
      </c>
      <c r="AA136" s="22">
        <v>0</v>
      </c>
      <c r="AB136" s="8">
        <f t="shared" si="45"/>
        <v>0</v>
      </c>
      <c r="AC136" s="5">
        <f t="shared" si="56"/>
        <v>600000</v>
      </c>
      <c r="AD136" s="59">
        <v>351369</v>
      </c>
      <c r="AE136" s="59">
        <v>246431</v>
      </c>
      <c r="AF136" s="59">
        <v>2200</v>
      </c>
      <c r="AG136" s="52">
        <f t="shared" si="46"/>
        <v>600000</v>
      </c>
      <c r="AH136" s="22"/>
      <c r="AI136" s="22">
        <v>0</v>
      </c>
      <c r="AJ136" s="22">
        <v>0</v>
      </c>
      <c r="AK136" s="64"/>
      <c r="AL136" s="5">
        <f t="shared" si="48"/>
        <v>600000</v>
      </c>
      <c r="AM136" s="22">
        <v>351369</v>
      </c>
      <c r="AN136" s="22">
        <v>176917</v>
      </c>
      <c r="AO136" s="22">
        <v>62665</v>
      </c>
      <c r="AP136" s="8">
        <f t="shared" si="54"/>
        <v>590951</v>
      </c>
      <c r="AQ136" s="22"/>
      <c r="AR136" s="22">
        <v>0</v>
      </c>
      <c r="AS136" s="22">
        <v>0</v>
      </c>
      <c r="AT136" s="5"/>
      <c r="AU136" s="5">
        <f t="shared" si="50"/>
        <v>590951</v>
      </c>
      <c r="AV136" s="22">
        <v>351369</v>
      </c>
      <c r="AW136" s="22">
        <v>206953</v>
      </c>
      <c r="AX136" s="22">
        <v>22209</v>
      </c>
      <c r="AY136" s="8">
        <f t="shared" si="55"/>
        <v>580531</v>
      </c>
      <c r="AZ136" s="22"/>
      <c r="BA136" s="22">
        <v>0</v>
      </c>
      <c r="BB136" s="22">
        <v>0</v>
      </c>
      <c r="BC136" s="5"/>
      <c r="BD136" s="5">
        <f t="shared" si="25"/>
        <v>580531</v>
      </c>
    </row>
    <row r="137" spans="1:56" ht="34" x14ac:dyDescent="0.2">
      <c r="A137" s="6" t="s">
        <v>218</v>
      </c>
      <c r="B137" s="11" t="s">
        <v>215</v>
      </c>
      <c r="C137" s="8">
        <f>1900000+150000</f>
        <v>2050000</v>
      </c>
      <c r="D137" s="8">
        <f>424000+780000+134000+220000</f>
        <v>1558000</v>
      </c>
      <c r="E137" s="8">
        <f>84300000+0</f>
        <v>84300000</v>
      </c>
      <c r="F137" s="8">
        <f>SUM(C137:E137)</f>
        <v>87908000</v>
      </c>
      <c r="G137" s="8"/>
      <c r="H137" s="8"/>
      <c r="I137" s="8"/>
      <c r="J137" s="8">
        <f t="shared" ref="J137:J142" si="57">SUM(G137:I137)</f>
        <v>0</v>
      </c>
      <c r="K137" s="5">
        <f t="shared" ref="K137:K142" si="58">F137+J137</f>
        <v>87908000</v>
      </c>
      <c r="L137" s="8">
        <f>2376000+150000</f>
        <v>2526000</v>
      </c>
      <c r="M137" s="8">
        <f>558000+850000</f>
        <v>1408000</v>
      </c>
      <c r="N137" s="8">
        <v>88000000</v>
      </c>
      <c r="O137" s="8">
        <f>SUM(L137:N137)</f>
        <v>91934000</v>
      </c>
      <c r="P137" s="8"/>
      <c r="Q137" s="8"/>
      <c r="R137" s="8"/>
      <c r="S137" s="8">
        <f t="shared" ref="S137:S142" si="59">SUM(P137:R137)</f>
        <v>0</v>
      </c>
      <c r="T137" s="5">
        <f t="shared" si="44"/>
        <v>91934000</v>
      </c>
      <c r="U137" s="8">
        <v>150000</v>
      </c>
      <c r="V137" s="8">
        <v>850000</v>
      </c>
      <c r="W137" s="8">
        <v>96000000</v>
      </c>
      <c r="X137" s="8">
        <f>SUM(U137:W137)</f>
        <v>97000000</v>
      </c>
      <c r="Y137" s="8"/>
      <c r="Z137" s="22">
        <v>0</v>
      </c>
      <c r="AA137" s="8">
        <v>0</v>
      </c>
      <c r="AB137" s="8">
        <f t="shared" si="45"/>
        <v>0</v>
      </c>
      <c r="AC137" s="5">
        <f t="shared" si="56"/>
        <v>97000000</v>
      </c>
      <c r="AD137" s="61">
        <v>150000</v>
      </c>
      <c r="AE137" s="61">
        <v>850000</v>
      </c>
      <c r="AF137" s="61">
        <v>98000000</v>
      </c>
      <c r="AG137" s="8">
        <f>SUM(AD137:AF137)</f>
        <v>99000000</v>
      </c>
      <c r="AH137" s="8"/>
      <c r="AI137" s="22">
        <v>0</v>
      </c>
      <c r="AJ137" s="8">
        <v>0</v>
      </c>
      <c r="AK137" s="8">
        <f>SUM(AH137:AJ137)</f>
        <v>0</v>
      </c>
      <c r="AL137" s="5">
        <f t="shared" si="48"/>
        <v>99000000</v>
      </c>
      <c r="AM137" s="61">
        <v>150000</v>
      </c>
      <c r="AN137" s="61">
        <v>850000</v>
      </c>
      <c r="AO137" s="61">
        <v>98000000</v>
      </c>
      <c r="AP137" s="8">
        <f>SUM(AM137:AO137)</f>
        <v>99000000</v>
      </c>
      <c r="AQ137" s="8"/>
      <c r="AR137" s="22">
        <v>0</v>
      </c>
      <c r="AS137" s="8">
        <v>0</v>
      </c>
      <c r="AT137" s="8">
        <f>SUM(AQ137:AS137)</f>
        <v>0</v>
      </c>
      <c r="AU137" s="5">
        <f t="shared" si="50"/>
        <v>99000000</v>
      </c>
      <c r="AV137" s="61">
        <v>150000</v>
      </c>
      <c r="AW137" s="61">
        <v>850000</v>
      </c>
      <c r="AX137" s="61">
        <v>98000000</v>
      </c>
      <c r="AY137" s="8">
        <f>SUM(AV137:AX137)</f>
        <v>99000000</v>
      </c>
      <c r="AZ137" s="8"/>
      <c r="BA137" s="22">
        <v>0</v>
      </c>
      <c r="BB137" s="8">
        <v>0</v>
      </c>
      <c r="BC137" s="8">
        <f>SUM(AZ137:BB137)</f>
        <v>0</v>
      </c>
      <c r="BD137" s="5">
        <f t="shared" si="25"/>
        <v>99000000</v>
      </c>
    </row>
    <row r="138" spans="1:56" ht="34" x14ac:dyDescent="0.2">
      <c r="A138" s="6" t="s">
        <v>216</v>
      </c>
      <c r="B138" s="11" t="s">
        <v>217</v>
      </c>
      <c r="C138" s="8">
        <v>1554150</v>
      </c>
      <c r="D138" s="8">
        <v>6934835</v>
      </c>
      <c r="E138" s="8">
        <v>7840899</v>
      </c>
      <c r="F138" s="8">
        <f>SUM(C138:E138)</f>
        <v>16329884</v>
      </c>
      <c r="G138" s="8">
        <v>0</v>
      </c>
      <c r="H138" s="8">
        <v>3723727</v>
      </c>
      <c r="I138" s="8"/>
      <c r="J138" s="8">
        <f t="shared" si="57"/>
        <v>3723727</v>
      </c>
      <c r="K138" s="5">
        <f t="shared" si="58"/>
        <v>20053611</v>
      </c>
      <c r="L138" s="8">
        <v>1905200</v>
      </c>
      <c r="M138" s="8">
        <v>7368277</v>
      </c>
      <c r="N138" s="8">
        <v>16395365</v>
      </c>
      <c r="O138" s="8">
        <f>SUM(L138:N138)</f>
        <v>25668842</v>
      </c>
      <c r="P138" s="8">
        <v>0</v>
      </c>
      <c r="Q138" s="8">
        <v>8078310</v>
      </c>
      <c r="R138" s="8"/>
      <c r="S138" s="8">
        <f t="shared" si="59"/>
        <v>8078310</v>
      </c>
      <c r="T138" s="5">
        <f t="shared" si="44"/>
        <v>33747152</v>
      </c>
      <c r="U138" s="8">
        <v>1606605</v>
      </c>
      <c r="V138" s="8">
        <v>7360289</v>
      </c>
      <c r="W138" s="8">
        <v>16212067</v>
      </c>
      <c r="X138" s="8">
        <f>SUM(U138:W138)</f>
        <v>25178961</v>
      </c>
      <c r="Y138" s="8">
        <v>100000</v>
      </c>
      <c r="Z138" s="22">
        <v>3750000</v>
      </c>
      <c r="AA138" s="8">
        <v>0</v>
      </c>
      <c r="AB138" s="8">
        <f t="shared" si="45"/>
        <v>3850000</v>
      </c>
      <c r="AC138" s="5">
        <f t="shared" si="56"/>
        <v>29028961</v>
      </c>
      <c r="AD138" s="51">
        <v>1711701</v>
      </c>
      <c r="AE138" s="51">
        <v>7771003</v>
      </c>
      <c r="AF138" s="51">
        <v>16353978</v>
      </c>
      <c r="AG138" s="52">
        <f t="shared" ref="AG138" si="60">SUM(AD138:AF138)</f>
        <v>25836682</v>
      </c>
      <c r="AH138" s="51">
        <v>900000</v>
      </c>
      <c r="AI138" s="49">
        <v>0</v>
      </c>
      <c r="AJ138" s="49">
        <v>5000000</v>
      </c>
      <c r="AK138" s="64">
        <f>AH138+AI138+AJ138</f>
        <v>5900000</v>
      </c>
      <c r="AL138" s="5">
        <f t="shared" si="48"/>
        <v>31736682</v>
      </c>
      <c r="AM138" s="8">
        <v>1711701</v>
      </c>
      <c r="AN138" s="8">
        <v>6319348</v>
      </c>
      <c r="AO138" s="8">
        <v>15392907</v>
      </c>
      <c r="AP138" s="8">
        <f>SUM(AM138:AO138)</f>
        <v>23423956</v>
      </c>
      <c r="AQ138" s="8">
        <v>500000</v>
      </c>
      <c r="AR138" s="22">
        <v>0</v>
      </c>
      <c r="AS138" s="8">
        <v>0</v>
      </c>
      <c r="AT138" s="5">
        <f>AQ138+AR138+AS138</f>
        <v>500000</v>
      </c>
      <c r="AU138" s="5">
        <f t="shared" si="50"/>
        <v>23923956</v>
      </c>
      <c r="AV138" s="8">
        <v>1711701</v>
      </c>
      <c r="AW138" s="8">
        <v>6592157</v>
      </c>
      <c r="AX138" s="8">
        <v>15031429</v>
      </c>
      <c r="AY138" s="8">
        <f>SUM(AV138:AX138)</f>
        <v>23335287</v>
      </c>
      <c r="AZ138" s="8">
        <v>500000</v>
      </c>
      <c r="BA138" s="22">
        <v>0</v>
      </c>
      <c r="BB138" s="8">
        <v>0</v>
      </c>
      <c r="BC138" s="5">
        <f t="shared" si="28"/>
        <v>500000</v>
      </c>
      <c r="BD138" s="5">
        <f t="shared" si="25"/>
        <v>23835287</v>
      </c>
    </row>
    <row r="139" spans="1:56" ht="34" x14ac:dyDescent="0.2">
      <c r="A139" s="6" t="s">
        <v>13</v>
      </c>
      <c r="B139" s="11" t="s">
        <v>229</v>
      </c>
      <c r="C139" s="8">
        <v>39271</v>
      </c>
      <c r="D139" s="8"/>
      <c r="E139" s="8">
        <v>354352</v>
      </c>
      <c r="F139" s="8">
        <f>SUM(C139:E139)</f>
        <v>393623</v>
      </c>
      <c r="G139" s="8"/>
      <c r="H139" s="8"/>
      <c r="I139" s="8"/>
      <c r="J139" s="8">
        <f t="shared" si="57"/>
        <v>0</v>
      </c>
      <c r="K139" s="5">
        <f t="shared" si="58"/>
        <v>393623</v>
      </c>
      <c r="L139" s="8">
        <v>30609</v>
      </c>
      <c r="M139" s="8"/>
      <c r="N139" s="8">
        <v>354352</v>
      </c>
      <c r="O139" s="8">
        <f>SUM(L139:N139)</f>
        <v>384961</v>
      </c>
      <c r="P139" s="8"/>
      <c r="Q139" s="8"/>
      <c r="R139" s="8"/>
      <c r="S139" s="8">
        <f t="shared" si="59"/>
        <v>0</v>
      </c>
      <c r="T139" s="5">
        <f t="shared" si="44"/>
        <v>384961</v>
      </c>
      <c r="U139" s="8">
        <v>32723</v>
      </c>
      <c r="V139" s="8">
        <v>0</v>
      </c>
      <c r="W139" s="8">
        <v>467277</v>
      </c>
      <c r="X139" s="8">
        <f>SUM(U139:W139)</f>
        <v>500000</v>
      </c>
      <c r="Y139" s="8"/>
      <c r="Z139" s="22">
        <v>0</v>
      </c>
      <c r="AA139" s="8">
        <v>0</v>
      </c>
      <c r="AB139" s="8">
        <f t="shared" si="45"/>
        <v>0</v>
      </c>
      <c r="AC139" s="5">
        <f t="shared" si="56"/>
        <v>500000</v>
      </c>
      <c r="AD139" s="59">
        <v>59400</v>
      </c>
      <c r="AE139" s="59">
        <v>0</v>
      </c>
      <c r="AF139" s="59">
        <v>488277</v>
      </c>
      <c r="AG139" s="52">
        <f t="shared" ref="AG139" si="61">SUM(AD139:AF139)</f>
        <v>547677</v>
      </c>
      <c r="AH139" s="8"/>
      <c r="AI139" s="22">
        <v>0</v>
      </c>
      <c r="AJ139" s="8">
        <v>0</v>
      </c>
      <c r="AK139" s="64">
        <f>AH139+AI139+AJ139</f>
        <v>0</v>
      </c>
      <c r="AL139" s="5">
        <f t="shared" si="48"/>
        <v>547677</v>
      </c>
      <c r="AM139" s="8">
        <v>59400</v>
      </c>
      <c r="AN139" s="8">
        <v>0</v>
      </c>
      <c r="AO139" s="8">
        <v>405714</v>
      </c>
      <c r="AP139" s="8">
        <f>SUM(AM139:AO139)</f>
        <v>465114</v>
      </c>
      <c r="AQ139" s="8"/>
      <c r="AR139" s="22">
        <v>0</v>
      </c>
      <c r="AS139" s="8">
        <v>0</v>
      </c>
      <c r="AT139" s="5">
        <f>AQ139+AR139+AS139</f>
        <v>0</v>
      </c>
      <c r="AU139" s="5">
        <f t="shared" si="50"/>
        <v>465114</v>
      </c>
      <c r="AV139" s="8">
        <v>59400</v>
      </c>
      <c r="AW139" s="8">
        <v>0</v>
      </c>
      <c r="AX139" s="8">
        <v>422835</v>
      </c>
      <c r="AY139" s="8">
        <f>SUM(AV139:AX139)</f>
        <v>482235</v>
      </c>
      <c r="AZ139" s="8"/>
      <c r="BA139" s="22">
        <v>0</v>
      </c>
      <c r="BB139" s="8">
        <v>0</v>
      </c>
      <c r="BC139" s="5">
        <f t="shared" si="28"/>
        <v>0</v>
      </c>
      <c r="BD139" s="5">
        <f t="shared" si="25"/>
        <v>482235</v>
      </c>
    </row>
    <row r="140" spans="1:56" ht="51" x14ac:dyDescent="0.2">
      <c r="A140" s="6" t="s">
        <v>218</v>
      </c>
      <c r="B140" s="11" t="s">
        <v>219</v>
      </c>
      <c r="C140" s="8">
        <v>53594953</v>
      </c>
      <c r="D140" s="8">
        <v>16412323</v>
      </c>
      <c r="E140" s="8">
        <v>54660552</v>
      </c>
      <c r="F140" s="8">
        <f>SUM(C140:E140)</f>
        <v>124667828</v>
      </c>
      <c r="G140" s="8">
        <v>14012353</v>
      </c>
      <c r="H140" s="8"/>
      <c r="I140" s="8"/>
      <c r="J140" s="8">
        <f t="shared" si="57"/>
        <v>14012353</v>
      </c>
      <c r="K140" s="5">
        <f t="shared" si="58"/>
        <v>138680181</v>
      </c>
      <c r="L140" s="8">
        <v>51483059</v>
      </c>
      <c r="M140" s="8">
        <v>88536289</v>
      </c>
      <c r="N140" s="8">
        <v>125046778</v>
      </c>
      <c r="O140" s="8">
        <f>SUM(L140:N140)</f>
        <v>265066126</v>
      </c>
      <c r="P140" s="8">
        <v>7300000</v>
      </c>
      <c r="Q140" s="8"/>
      <c r="R140" s="8"/>
      <c r="S140" s="8">
        <f t="shared" si="59"/>
        <v>7300000</v>
      </c>
      <c r="T140" s="5">
        <f t="shared" si="44"/>
        <v>272366126</v>
      </c>
      <c r="U140" s="8">
        <v>62486351</v>
      </c>
      <c r="V140" s="8">
        <v>38434978</v>
      </c>
      <c r="W140" s="8">
        <v>164024343</v>
      </c>
      <c r="X140" s="8">
        <f>SUM(U140:W140)</f>
        <v>264945672</v>
      </c>
      <c r="Y140" s="8">
        <v>48792988</v>
      </c>
      <c r="Z140" s="22">
        <v>0</v>
      </c>
      <c r="AA140" s="8">
        <v>0</v>
      </c>
      <c r="AB140" s="8">
        <f t="shared" si="45"/>
        <v>48792988</v>
      </c>
      <c r="AC140" s="5">
        <f t="shared" si="56"/>
        <v>313738660</v>
      </c>
      <c r="AD140" s="51">
        <f>426100000-368437942</f>
        <v>57662058</v>
      </c>
      <c r="AE140" s="51">
        <v>44736463</v>
      </c>
      <c r="AF140" s="51">
        <v>131441304</v>
      </c>
      <c r="AG140" s="52">
        <f>AD140+AE140+AF140</f>
        <v>233839825</v>
      </c>
      <c r="AH140" s="8">
        <v>0</v>
      </c>
      <c r="AI140" s="22">
        <v>0</v>
      </c>
      <c r="AJ140" s="8">
        <v>0</v>
      </c>
      <c r="AK140" s="8">
        <f>SUM(AH140:AJ140)</f>
        <v>0</v>
      </c>
      <c r="AL140" s="5">
        <f t="shared" si="48"/>
        <v>233839825</v>
      </c>
      <c r="AM140" s="51">
        <f>426100000-368437942</f>
        <v>57662058</v>
      </c>
      <c r="AN140" s="51">
        <f>186145000+3000000-145509791</f>
        <v>43635209</v>
      </c>
      <c r="AO140" s="51">
        <f>383883000-3000000-236223933</f>
        <v>144659067</v>
      </c>
      <c r="AP140" s="52">
        <f>SUM(AM140:AO140)</f>
        <v>245956334</v>
      </c>
      <c r="AQ140" s="8">
        <v>0</v>
      </c>
      <c r="AR140" s="22">
        <v>0</v>
      </c>
      <c r="AS140" s="8">
        <v>0</v>
      </c>
      <c r="AT140" s="8">
        <f>SUM(AQ140:AS140)</f>
        <v>0</v>
      </c>
      <c r="AU140" s="5">
        <f t="shared" si="50"/>
        <v>245956334</v>
      </c>
      <c r="AV140" s="60">
        <f>426100000-368437942</f>
        <v>57662058</v>
      </c>
      <c r="AW140" s="60">
        <f>186145000+3000000-145509791</f>
        <v>43635209</v>
      </c>
      <c r="AX140" s="60">
        <f>383883000-3000000-236223933</f>
        <v>144659067</v>
      </c>
      <c r="AY140" s="52">
        <f>SUM(AV140:AX140)</f>
        <v>245956334</v>
      </c>
      <c r="AZ140" s="8">
        <v>0</v>
      </c>
      <c r="BA140" s="22">
        <v>0</v>
      </c>
      <c r="BB140" s="8">
        <v>0</v>
      </c>
      <c r="BC140" s="8">
        <f>SUM(AZ140:BB140)</f>
        <v>0</v>
      </c>
      <c r="BD140" s="5">
        <f t="shared" si="25"/>
        <v>245956334</v>
      </c>
    </row>
    <row r="141" spans="1:56" ht="85" x14ac:dyDescent="0.2">
      <c r="A141" s="6" t="s">
        <v>220</v>
      </c>
      <c r="B141" s="11" t="s">
        <v>221</v>
      </c>
      <c r="C141" s="8"/>
      <c r="D141" s="8"/>
      <c r="E141" s="8">
        <v>5302000</v>
      </c>
      <c r="F141" s="8">
        <f>C141+D141+E141</f>
        <v>5302000</v>
      </c>
      <c r="G141" s="8">
        <v>2000000</v>
      </c>
      <c r="H141" s="8"/>
      <c r="I141" s="8">
        <v>16000000</v>
      </c>
      <c r="J141" s="8">
        <f t="shared" si="57"/>
        <v>18000000</v>
      </c>
      <c r="K141" s="5">
        <f t="shared" si="58"/>
        <v>23302000</v>
      </c>
      <c r="L141" s="8"/>
      <c r="M141" s="8"/>
      <c r="N141" s="8">
        <v>1500000</v>
      </c>
      <c r="O141" s="8">
        <f>L141+M141+N141</f>
        <v>1500000</v>
      </c>
      <c r="P141" s="8">
        <v>3000000</v>
      </c>
      <c r="Q141" s="8"/>
      <c r="R141" s="8">
        <v>12000000</v>
      </c>
      <c r="S141" s="8">
        <f t="shared" si="59"/>
        <v>15000000</v>
      </c>
      <c r="T141" s="5">
        <f t="shared" si="44"/>
        <v>16500000</v>
      </c>
      <c r="U141" s="8"/>
      <c r="V141" s="8"/>
      <c r="W141" s="8">
        <v>3000000</v>
      </c>
      <c r="X141" s="8">
        <f>U141+V141+W141</f>
        <v>3000000</v>
      </c>
      <c r="Y141" s="8">
        <v>3000000</v>
      </c>
      <c r="Z141" s="22">
        <v>3960000</v>
      </c>
      <c r="AA141" s="8">
        <v>8000000</v>
      </c>
      <c r="AB141" s="8">
        <f>SUM(Y141:AA141)</f>
        <v>14960000</v>
      </c>
      <c r="AC141" s="5">
        <f t="shared" si="56"/>
        <v>17960000</v>
      </c>
      <c r="AD141" s="8"/>
      <c r="AE141" s="8">
        <v>3000000</v>
      </c>
      <c r="AG141" s="52">
        <f>AE141</f>
        <v>3000000</v>
      </c>
      <c r="AH141" s="8">
        <v>3000000</v>
      </c>
      <c r="AI141" s="22">
        <v>2850000</v>
      </c>
      <c r="AJ141" s="8">
        <v>8000000</v>
      </c>
      <c r="AK141" s="8">
        <f>SUM(AH141:AJ141)</f>
        <v>13850000</v>
      </c>
      <c r="AL141" s="5">
        <f t="shared" si="48"/>
        <v>16850000</v>
      </c>
      <c r="AM141" s="8"/>
      <c r="AN141" s="8"/>
      <c r="AO141" s="8">
        <v>3000000</v>
      </c>
      <c r="AP141" s="52">
        <f>AO141+655195</f>
        <v>3655195</v>
      </c>
      <c r="AQ141" s="8">
        <v>3000000</v>
      </c>
      <c r="AR141" s="22">
        <v>2850000</v>
      </c>
      <c r="AS141" s="8">
        <v>8000000</v>
      </c>
      <c r="AT141" s="8">
        <f>SUM(AQ141:AS141)</f>
        <v>13850000</v>
      </c>
      <c r="AU141" s="5">
        <f t="shared" si="50"/>
        <v>17505195</v>
      </c>
      <c r="AV141" s="8"/>
      <c r="AW141" s="8"/>
      <c r="AX141" s="8">
        <v>3000000</v>
      </c>
      <c r="AY141" s="52">
        <f>AX141+655195</f>
        <v>3655195</v>
      </c>
      <c r="AZ141" s="8">
        <v>3000000</v>
      </c>
      <c r="BA141" s="22">
        <v>2850000</v>
      </c>
      <c r="BB141" s="8">
        <v>8000000</v>
      </c>
      <c r="BC141" s="8">
        <f>SUM(AZ141:BB141)</f>
        <v>13850000</v>
      </c>
      <c r="BD141" s="5">
        <f t="shared" si="25"/>
        <v>17505195</v>
      </c>
    </row>
    <row r="142" spans="1:56" ht="34" x14ac:dyDescent="0.2">
      <c r="A142" s="6" t="s">
        <v>226</v>
      </c>
      <c r="B142" s="11" t="s">
        <v>222</v>
      </c>
      <c r="C142" s="8"/>
      <c r="D142" s="8"/>
      <c r="E142" s="8"/>
      <c r="F142" s="8">
        <v>153900000</v>
      </c>
      <c r="G142" s="8"/>
      <c r="H142" s="8"/>
      <c r="I142" s="8"/>
      <c r="J142" s="8">
        <f t="shared" si="57"/>
        <v>0</v>
      </c>
      <c r="K142" s="5">
        <f t="shared" si="58"/>
        <v>153900000</v>
      </c>
      <c r="L142" s="8"/>
      <c r="M142" s="8"/>
      <c r="N142" s="8"/>
      <c r="O142" s="8">
        <v>189300000</v>
      </c>
      <c r="P142" s="8"/>
      <c r="Q142" s="8"/>
      <c r="R142" s="8"/>
      <c r="S142" s="8">
        <f t="shared" si="59"/>
        <v>0</v>
      </c>
      <c r="T142" s="5">
        <f t="shared" si="44"/>
        <v>189300000</v>
      </c>
      <c r="U142" s="8"/>
      <c r="V142" s="8"/>
      <c r="W142" s="8"/>
      <c r="X142" s="8">
        <v>221714629</v>
      </c>
      <c r="Y142" s="8"/>
      <c r="Z142" s="22">
        <v>0</v>
      </c>
      <c r="AA142" s="8">
        <v>0</v>
      </c>
      <c r="AB142" s="8">
        <f>SUM(Y142:AA142)</f>
        <v>0</v>
      </c>
      <c r="AC142" s="5">
        <f t="shared" si="56"/>
        <v>221714629</v>
      </c>
      <c r="AD142" s="8"/>
      <c r="AE142" s="8"/>
      <c r="AF142" s="8"/>
      <c r="AG142" s="54">
        <f>204930214-655195</f>
        <v>204275019</v>
      </c>
      <c r="AH142" s="8"/>
      <c r="AI142" s="22">
        <v>0</v>
      </c>
      <c r="AJ142" s="8">
        <v>0</v>
      </c>
      <c r="AK142" s="8">
        <f>SUM(AH142:AJ142)</f>
        <v>0</v>
      </c>
      <c r="AL142" s="5">
        <f t="shared" si="48"/>
        <v>204275019</v>
      </c>
      <c r="AM142" s="8"/>
      <c r="AN142" s="8"/>
      <c r="AO142" s="8"/>
      <c r="AP142" s="54">
        <f>204930214-655194.733</f>
        <v>204275019.26699999</v>
      </c>
      <c r="AQ142" s="8"/>
      <c r="AR142" s="22">
        <v>0</v>
      </c>
      <c r="AS142" s="8">
        <v>0</v>
      </c>
      <c r="AT142" s="8">
        <f>SUM(AQ142:AS142)</f>
        <v>0</v>
      </c>
      <c r="AU142" s="5">
        <v>204275019</v>
      </c>
      <c r="AV142" s="8"/>
      <c r="AW142" s="8"/>
      <c r="AX142" s="8"/>
      <c r="AY142" s="54">
        <f>204930214-655194.733</f>
        <v>204275019.26699999</v>
      </c>
      <c r="AZ142" s="8"/>
      <c r="BA142" s="22">
        <v>0</v>
      </c>
      <c r="BB142" s="8">
        <v>0</v>
      </c>
      <c r="BC142" s="8">
        <f>SUM(AZ142:BB142)</f>
        <v>0</v>
      </c>
      <c r="BD142" s="5">
        <v>204275019</v>
      </c>
    </row>
    <row r="143" spans="1:56" ht="16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5"/>
      <c r="L143" s="16"/>
      <c r="M143" s="16"/>
      <c r="N143" s="16"/>
      <c r="O143" s="16"/>
      <c r="P143" s="16"/>
      <c r="Q143" s="16"/>
      <c r="R143" s="16"/>
      <c r="S143" s="16"/>
      <c r="T143" s="5"/>
      <c r="U143" s="16"/>
      <c r="V143" s="16"/>
      <c r="W143" s="16"/>
      <c r="X143" s="16"/>
      <c r="Y143" s="16"/>
      <c r="Z143" s="16"/>
      <c r="AA143" s="16"/>
      <c r="AB143" s="16"/>
      <c r="AC143" s="5">
        <f t="shared" si="56"/>
        <v>0</v>
      </c>
      <c r="AD143" s="16"/>
      <c r="AE143" s="16"/>
      <c r="AF143" s="16"/>
      <c r="AG143" s="16"/>
      <c r="AH143" s="16"/>
      <c r="AI143" s="16"/>
      <c r="AJ143" s="16"/>
      <c r="AK143" s="5"/>
      <c r="AL143" s="5"/>
      <c r="AM143" s="16"/>
      <c r="AN143" s="16"/>
      <c r="AO143" s="16"/>
      <c r="AP143" s="16"/>
      <c r="AQ143" s="16"/>
      <c r="AR143" s="16"/>
      <c r="AS143" s="16"/>
      <c r="AT143" s="5"/>
      <c r="AU143" s="5"/>
      <c r="AV143" s="16"/>
      <c r="AW143" s="16"/>
      <c r="AX143" s="16"/>
      <c r="AY143" s="16"/>
      <c r="AZ143" s="16"/>
      <c r="BA143" s="16"/>
      <c r="BB143" s="16"/>
      <c r="BC143" s="5"/>
      <c r="BD143" s="5"/>
    </row>
    <row r="144" spans="1:56" ht="22.5" customHeight="1" x14ac:dyDescent="0.2">
      <c r="A144" s="115" t="s">
        <v>223</v>
      </c>
      <c r="B144" s="115"/>
      <c r="C144" s="23">
        <f>C124+C126</f>
        <v>374900000</v>
      </c>
      <c r="D144" s="23">
        <f t="shared" ref="D144:J144" si="62">D124+D126</f>
        <v>95722000</v>
      </c>
      <c r="E144" s="23">
        <f t="shared" si="62"/>
        <v>290719000</v>
      </c>
      <c r="F144" s="23">
        <f t="shared" si="62"/>
        <v>915241000</v>
      </c>
      <c r="G144" s="23">
        <f t="shared" si="62"/>
        <v>210800000</v>
      </c>
      <c r="H144" s="23">
        <f t="shared" si="62"/>
        <v>71245889</v>
      </c>
      <c r="I144" s="23">
        <f t="shared" si="62"/>
        <v>175754111</v>
      </c>
      <c r="J144" s="23">
        <f t="shared" si="62"/>
        <v>457800000</v>
      </c>
      <c r="K144" s="23">
        <f>F144+J144</f>
        <v>1373041000</v>
      </c>
      <c r="L144" s="23">
        <f>L124+L126</f>
        <v>393950000</v>
      </c>
      <c r="M144" s="23">
        <f t="shared" ref="M144:S144" si="63">M124+M126</f>
        <v>188830000</v>
      </c>
      <c r="N144" s="23">
        <f t="shared" si="63"/>
        <v>354644000</v>
      </c>
      <c r="O144" s="23">
        <f t="shared" si="63"/>
        <v>1126724000</v>
      </c>
      <c r="P144" s="23">
        <f t="shared" si="63"/>
        <v>324806000</v>
      </c>
      <c r="Q144" s="23">
        <f t="shared" si="63"/>
        <v>75978310</v>
      </c>
      <c r="R144" s="23">
        <f t="shared" si="63"/>
        <v>170980690</v>
      </c>
      <c r="S144" s="23">
        <f t="shared" si="63"/>
        <v>571765000</v>
      </c>
      <c r="T144" s="23">
        <f>O144+S144</f>
        <v>1698489000</v>
      </c>
      <c r="U144" s="23">
        <f>U124+U126</f>
        <v>410927000</v>
      </c>
      <c r="V144" s="23">
        <f t="shared" ref="V144:AB144" si="64">V124+V126</f>
        <v>174277774</v>
      </c>
      <c r="W144" s="23">
        <f t="shared" si="64"/>
        <v>403489672</v>
      </c>
      <c r="X144" s="23">
        <f t="shared" si="64"/>
        <v>1210409075</v>
      </c>
      <c r="Y144" s="23">
        <f t="shared" si="64"/>
        <v>532644541</v>
      </c>
      <c r="Z144" s="23">
        <f>Z124+Z126</f>
        <v>121028821</v>
      </c>
      <c r="AA144" s="23">
        <f>AA124+AA126</f>
        <v>192115857</v>
      </c>
      <c r="AB144" s="23">
        <f t="shared" si="64"/>
        <v>845789219</v>
      </c>
      <c r="AC144" s="5">
        <f t="shared" si="56"/>
        <v>2056198294</v>
      </c>
      <c r="AD144" s="23">
        <f>AD124+AD126</f>
        <v>426100001.02399999</v>
      </c>
      <c r="AE144" s="23">
        <f t="shared" ref="AE144:AJ144" si="65">AE124+AE126</f>
        <v>189145000</v>
      </c>
      <c r="AF144" s="23">
        <f t="shared" si="65"/>
        <v>380883000</v>
      </c>
      <c r="AG144" s="23">
        <f t="shared" si="65"/>
        <v>1201058215.0239999</v>
      </c>
      <c r="AH144" s="23">
        <f t="shared" si="65"/>
        <v>520500000</v>
      </c>
      <c r="AI144" s="23">
        <f t="shared" si="65"/>
        <v>75450000</v>
      </c>
      <c r="AJ144" s="23">
        <f t="shared" si="65"/>
        <v>230745960</v>
      </c>
      <c r="AK144" s="23">
        <f>AH144+AI144+AJ144</f>
        <v>826695960</v>
      </c>
      <c r="AL144" s="23">
        <f>AG144+AK144</f>
        <v>2027754175.0239999</v>
      </c>
      <c r="AM144" s="23">
        <f>AM124+AM126</f>
        <v>423485147</v>
      </c>
      <c r="AN144" s="23">
        <f t="shared" ref="AN144:AS144" si="66">AN124+AN126</f>
        <v>156978415</v>
      </c>
      <c r="AO144" s="23">
        <f t="shared" si="66"/>
        <v>368453679</v>
      </c>
      <c r="AP144" s="23">
        <f t="shared" si="66"/>
        <v>1155399014.267</v>
      </c>
      <c r="AQ144" s="23">
        <f t="shared" si="66"/>
        <v>514814392</v>
      </c>
      <c r="AR144" s="23">
        <f t="shared" si="66"/>
        <v>66926442</v>
      </c>
      <c r="AS144" s="23">
        <f t="shared" si="66"/>
        <v>129740179</v>
      </c>
      <c r="AT144" s="23">
        <f>AQ144+AR144+AS144</f>
        <v>711481013</v>
      </c>
      <c r="AU144" s="23">
        <f>AP144+AT144</f>
        <v>1866880027.267</v>
      </c>
      <c r="AV144" s="23">
        <f>AV124+AV126</f>
        <v>423485148</v>
      </c>
      <c r="AW144" s="23">
        <f t="shared" ref="AW144:BB144" si="67">AW124+AW126</f>
        <v>163466349</v>
      </c>
      <c r="AX144" s="23">
        <f t="shared" si="67"/>
        <v>368737355</v>
      </c>
      <c r="AY144" s="23">
        <f t="shared" si="67"/>
        <v>1160619066.267</v>
      </c>
      <c r="AZ144" s="23">
        <f t="shared" si="67"/>
        <v>527816434</v>
      </c>
      <c r="BA144" s="23">
        <f t="shared" si="67"/>
        <v>65696505</v>
      </c>
      <c r="BB144" s="23">
        <f t="shared" si="67"/>
        <v>129747504</v>
      </c>
      <c r="BC144" s="23">
        <f t="shared" si="28"/>
        <v>723260443</v>
      </c>
      <c r="BD144" s="23">
        <f t="shared" si="25"/>
        <v>1883879509.267</v>
      </c>
    </row>
    <row r="145" spans="1:56" ht="22.5" customHeight="1" x14ac:dyDescent="0.2">
      <c r="A145" s="30" t="s">
        <v>15</v>
      </c>
      <c r="B145" s="8" t="s">
        <v>241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504502000</v>
      </c>
      <c r="L145" s="8"/>
      <c r="M145" s="8"/>
      <c r="N145" s="8"/>
      <c r="O145" s="8"/>
      <c r="P145" s="8"/>
      <c r="Q145" s="8"/>
      <c r="R145" s="8"/>
      <c r="S145" s="8"/>
      <c r="T145" s="8">
        <v>468610000</v>
      </c>
      <c r="U145" s="8"/>
      <c r="V145" s="8"/>
      <c r="W145" s="8"/>
      <c r="X145" s="8">
        <v>928847704</v>
      </c>
      <c r="Y145" s="8"/>
      <c r="Z145" s="8"/>
      <c r="AA145" s="8"/>
      <c r="AB145" s="8"/>
      <c r="AC145" s="5">
        <f t="shared" si="56"/>
        <v>928847704</v>
      </c>
      <c r="AD145" s="8"/>
      <c r="AE145" s="8"/>
      <c r="AF145" s="8"/>
      <c r="AG145" s="8"/>
      <c r="AH145" s="8"/>
      <c r="AI145" s="8"/>
      <c r="AJ145" s="8"/>
      <c r="AK145" s="8"/>
      <c r="AL145" s="8">
        <v>513448450</v>
      </c>
      <c r="AM145" s="8"/>
      <c r="AN145" s="8"/>
      <c r="AO145" s="8"/>
      <c r="AP145" s="8">
        <v>0</v>
      </c>
      <c r="AQ145" s="8"/>
      <c r="AR145" s="8"/>
      <c r="AS145" s="8"/>
      <c r="AT145" s="8"/>
      <c r="AU145" s="8">
        <v>513448450</v>
      </c>
      <c r="AV145" s="8"/>
      <c r="AW145" s="8"/>
      <c r="AX145" s="8"/>
      <c r="AY145" s="8">
        <v>0</v>
      </c>
      <c r="AZ145" s="8"/>
      <c r="BA145" s="8"/>
      <c r="BB145" s="8"/>
      <c r="BC145" s="8"/>
      <c r="BD145" s="8">
        <v>513448450</v>
      </c>
    </row>
    <row r="146" spans="1:56" ht="16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5"/>
      <c r="L146" s="16"/>
      <c r="M146" s="16"/>
      <c r="N146" s="16"/>
      <c r="O146" s="16"/>
      <c r="P146" s="16"/>
      <c r="Q146" s="16"/>
      <c r="R146" s="16"/>
      <c r="S146" s="16"/>
      <c r="T146" s="5"/>
      <c r="U146" s="16"/>
      <c r="V146" s="16"/>
      <c r="W146" s="16"/>
      <c r="X146" s="16"/>
      <c r="Y146" s="16"/>
      <c r="Z146" s="16"/>
      <c r="AA146" s="16"/>
      <c r="AB146" s="16"/>
      <c r="AC146" s="5">
        <f t="shared" si="56"/>
        <v>0</v>
      </c>
      <c r="AD146" s="16"/>
      <c r="AE146" s="16"/>
      <c r="AF146" s="16"/>
      <c r="AG146" s="16"/>
      <c r="AH146" s="16"/>
      <c r="AI146" s="16"/>
      <c r="AJ146" s="16"/>
      <c r="AK146" s="16"/>
      <c r="AL146" s="5"/>
      <c r="AM146" s="16"/>
      <c r="AN146" s="16"/>
      <c r="AO146" s="16"/>
      <c r="AP146" s="16"/>
      <c r="AQ146" s="16"/>
      <c r="AR146" s="16"/>
      <c r="AS146" s="16"/>
      <c r="AT146" s="31"/>
      <c r="AU146" s="5"/>
      <c r="AV146" s="16"/>
      <c r="AW146" s="16"/>
      <c r="AX146" s="16"/>
      <c r="AY146" s="16"/>
      <c r="AZ146" s="16"/>
      <c r="BA146" s="16"/>
      <c r="BB146" s="16"/>
      <c r="BC146" s="31"/>
      <c r="BD146" s="5"/>
    </row>
    <row r="147" spans="1:56" ht="16" x14ac:dyDescent="0.2">
      <c r="A147" s="33"/>
      <c r="B147" s="33" t="s">
        <v>242</v>
      </c>
      <c r="C147" s="33">
        <f t="shared" ref="C147:AB147" si="68">C145+C144</f>
        <v>374900000</v>
      </c>
      <c r="D147" s="33">
        <f t="shared" si="68"/>
        <v>95722000</v>
      </c>
      <c r="E147" s="33">
        <f t="shared" si="68"/>
        <v>290719000</v>
      </c>
      <c r="F147" s="33">
        <f t="shared" si="68"/>
        <v>915241000</v>
      </c>
      <c r="G147" s="33">
        <f t="shared" si="68"/>
        <v>210800000</v>
      </c>
      <c r="H147" s="33">
        <f t="shared" si="68"/>
        <v>71245889</v>
      </c>
      <c r="I147" s="33">
        <f t="shared" si="68"/>
        <v>175754111</v>
      </c>
      <c r="J147" s="33">
        <f t="shared" si="68"/>
        <v>457800000</v>
      </c>
      <c r="K147" s="33">
        <f t="shared" si="68"/>
        <v>1877543000</v>
      </c>
      <c r="L147" s="33">
        <f t="shared" si="68"/>
        <v>393950000</v>
      </c>
      <c r="M147" s="33">
        <f t="shared" si="68"/>
        <v>188830000</v>
      </c>
      <c r="N147" s="33">
        <f t="shared" si="68"/>
        <v>354644000</v>
      </c>
      <c r="O147" s="33">
        <f t="shared" si="68"/>
        <v>1126724000</v>
      </c>
      <c r="P147" s="33">
        <f t="shared" si="68"/>
        <v>324806000</v>
      </c>
      <c r="Q147" s="33">
        <f t="shared" si="68"/>
        <v>75978310</v>
      </c>
      <c r="R147" s="33">
        <f t="shared" si="68"/>
        <v>170980690</v>
      </c>
      <c r="S147" s="33">
        <f t="shared" si="68"/>
        <v>571765000</v>
      </c>
      <c r="T147" s="33">
        <f t="shared" si="68"/>
        <v>2167099000</v>
      </c>
      <c r="U147" s="33">
        <f t="shared" si="68"/>
        <v>410927000</v>
      </c>
      <c r="V147" s="33">
        <f t="shared" si="68"/>
        <v>174277774</v>
      </c>
      <c r="W147" s="33">
        <f t="shared" si="68"/>
        <v>403489672</v>
      </c>
      <c r="X147" s="33">
        <f t="shared" si="68"/>
        <v>2139256779</v>
      </c>
      <c r="Y147" s="33">
        <f t="shared" si="68"/>
        <v>532644541</v>
      </c>
      <c r="Z147" s="33">
        <f t="shared" si="68"/>
        <v>121028821</v>
      </c>
      <c r="AA147" s="33">
        <v>184115855</v>
      </c>
      <c r="AB147" s="33">
        <f t="shared" si="68"/>
        <v>845789219</v>
      </c>
      <c r="AC147" s="5">
        <f t="shared" si="56"/>
        <v>2985045998</v>
      </c>
      <c r="AD147" s="33">
        <f t="shared" ref="AD147:AU147" si="69">AD145+AD144</f>
        <v>426100001.02399999</v>
      </c>
      <c r="AE147" s="33">
        <f t="shared" si="69"/>
        <v>189145000</v>
      </c>
      <c r="AF147" s="33">
        <f t="shared" si="69"/>
        <v>380883000</v>
      </c>
      <c r="AG147" s="33">
        <f t="shared" si="69"/>
        <v>1201058215.0239999</v>
      </c>
      <c r="AH147" s="33">
        <f t="shared" si="69"/>
        <v>520500000</v>
      </c>
      <c r="AI147" s="33">
        <f t="shared" si="69"/>
        <v>75450000</v>
      </c>
      <c r="AJ147" s="33">
        <f t="shared" si="69"/>
        <v>230745960</v>
      </c>
      <c r="AK147" s="33">
        <f t="shared" si="69"/>
        <v>826695960</v>
      </c>
      <c r="AL147" s="33">
        <f t="shared" si="69"/>
        <v>2541202625.0240002</v>
      </c>
      <c r="AM147" s="33">
        <f t="shared" si="69"/>
        <v>423485147</v>
      </c>
      <c r="AN147" s="33">
        <f t="shared" si="69"/>
        <v>156978415</v>
      </c>
      <c r="AO147" s="33">
        <f t="shared" si="69"/>
        <v>368453679</v>
      </c>
      <c r="AP147" s="33">
        <f t="shared" si="69"/>
        <v>1155399014.267</v>
      </c>
      <c r="AQ147" s="33">
        <f t="shared" si="69"/>
        <v>514814392</v>
      </c>
      <c r="AR147" s="33">
        <f t="shared" si="69"/>
        <v>66926442</v>
      </c>
      <c r="AS147" s="33">
        <f t="shared" si="69"/>
        <v>129740179</v>
      </c>
      <c r="AT147" s="33">
        <f t="shared" si="69"/>
        <v>711481013</v>
      </c>
      <c r="AU147" s="33">
        <f t="shared" si="69"/>
        <v>2380328477.2670002</v>
      </c>
      <c r="AV147" s="33">
        <f t="shared" ref="AV147:BD147" si="70">AV145+AV144</f>
        <v>423485148</v>
      </c>
      <c r="AW147" s="33">
        <f t="shared" si="70"/>
        <v>163466349</v>
      </c>
      <c r="AX147" s="33">
        <f t="shared" si="70"/>
        <v>368737355</v>
      </c>
      <c r="AY147" s="33">
        <f t="shared" si="70"/>
        <v>1160619066.267</v>
      </c>
      <c r="AZ147" s="33">
        <f t="shared" si="70"/>
        <v>527816434</v>
      </c>
      <c r="BA147" s="33">
        <f t="shared" si="70"/>
        <v>65696505</v>
      </c>
      <c r="BB147" s="33">
        <f t="shared" si="70"/>
        <v>129747504</v>
      </c>
      <c r="BC147" s="33">
        <f t="shared" si="70"/>
        <v>723260443</v>
      </c>
      <c r="BD147" s="33">
        <f t="shared" si="70"/>
        <v>2397327959.2670002</v>
      </c>
    </row>
    <row r="148" spans="1:56" x14ac:dyDescent="0.2">
      <c r="F148" s="27"/>
      <c r="G148" s="27"/>
      <c r="H148" s="27"/>
      <c r="AZ148" s="27"/>
    </row>
    <row r="149" spans="1:56" x14ac:dyDescent="0.2">
      <c r="T149" s="27">
        <f>T144-T142</f>
        <v>1509189000</v>
      </c>
      <c r="U149" s="27"/>
      <c r="V149" s="27"/>
      <c r="AE149" s="27"/>
      <c r="AF149" s="27"/>
      <c r="AW149" s="27"/>
      <c r="AX149" s="27"/>
      <c r="BA149" s="27"/>
    </row>
    <row r="150" spans="1:56" x14ac:dyDescent="0.2">
      <c r="D150" s="27"/>
      <c r="E150" s="27"/>
      <c r="H150" s="27"/>
      <c r="W150" s="27"/>
      <c r="AA150" s="27"/>
      <c r="AB150" s="27"/>
      <c r="AV150" s="27"/>
      <c r="AW150" s="27"/>
      <c r="AX150" s="27"/>
      <c r="AZ150" s="27"/>
    </row>
    <row r="151" spans="1:56" x14ac:dyDescent="0.2">
      <c r="D151" s="27"/>
      <c r="G151" s="27"/>
      <c r="U151" s="27"/>
      <c r="W151" s="27"/>
      <c r="Y151" s="27"/>
      <c r="Z151" s="27"/>
      <c r="AI151" s="27"/>
      <c r="AL151" s="27"/>
      <c r="AN151" s="27"/>
      <c r="AO151" s="27"/>
      <c r="AQ151" s="27"/>
      <c r="AZ151" s="27"/>
      <c r="BA151" s="27"/>
    </row>
    <row r="152" spans="1:56" x14ac:dyDescent="0.2">
      <c r="E152" s="27"/>
      <c r="G152" s="27"/>
      <c r="Q152" s="27"/>
      <c r="Y152" s="27"/>
      <c r="Z152" s="27"/>
      <c r="AB152" s="27"/>
      <c r="AD152" s="27"/>
      <c r="AE152" s="27"/>
      <c r="AF152" s="27"/>
      <c r="AI152" s="27"/>
      <c r="AK152" s="27"/>
      <c r="AR152" s="27"/>
      <c r="AS152" s="27"/>
      <c r="AY152" s="27"/>
    </row>
    <row r="153" spans="1:56" x14ac:dyDescent="0.2">
      <c r="H153" s="27"/>
      <c r="I153" s="27"/>
      <c r="V153" s="27"/>
      <c r="AM153" s="27"/>
      <c r="BA153" s="27"/>
    </row>
    <row r="154" spans="1:56" x14ac:dyDescent="0.2">
      <c r="H154" s="27"/>
      <c r="Z154" s="27"/>
      <c r="AI154" s="27"/>
      <c r="BA154" s="27"/>
    </row>
    <row r="157" spans="1:56" x14ac:dyDescent="0.2">
      <c r="AF157" s="27"/>
      <c r="AK157" s="27"/>
      <c r="BD157" s="27"/>
    </row>
    <row r="158" spans="1:56" x14ac:dyDescent="0.2">
      <c r="AM158" s="27"/>
      <c r="AW158" s="32"/>
    </row>
    <row r="159" spans="1:56" x14ac:dyDescent="0.2">
      <c r="AO159" s="27"/>
      <c r="AS159" s="27"/>
      <c r="BA159" s="27"/>
    </row>
    <row r="160" spans="1:56" x14ac:dyDescent="0.2">
      <c r="D160" s="24"/>
    </row>
    <row r="162" spans="23:51" x14ac:dyDescent="0.2">
      <c r="AY162" s="27"/>
    </row>
    <row r="164" spans="23:51" x14ac:dyDescent="0.2">
      <c r="AV164" s="27"/>
    </row>
    <row r="169" spans="23:51" x14ac:dyDescent="0.2">
      <c r="AM169" s="27"/>
    </row>
    <row r="170" spans="23:51" x14ac:dyDescent="0.2">
      <c r="W170" s="27">
        <f>U147-410927000</f>
        <v>0</v>
      </c>
    </row>
    <row r="171" spans="23:51" x14ac:dyDescent="0.2">
      <c r="AQ171" s="27"/>
    </row>
    <row r="173" spans="23:51" x14ac:dyDescent="0.2">
      <c r="AO173" s="27"/>
    </row>
  </sheetData>
  <mergeCells count="47">
    <mergeCell ref="A119:B119"/>
    <mergeCell ref="BA3:BC3"/>
    <mergeCell ref="V2:Z2"/>
    <mergeCell ref="A7:B7"/>
    <mergeCell ref="A11:B11"/>
    <mergeCell ref="A17:B17"/>
    <mergeCell ref="A22:B22"/>
    <mergeCell ref="A86:B86"/>
    <mergeCell ref="A28:B28"/>
    <mergeCell ref="AZ5:BD5"/>
    <mergeCell ref="A124:B124"/>
    <mergeCell ref="A126:B126"/>
    <mergeCell ref="A144:B144"/>
    <mergeCell ref="L5:O5"/>
    <mergeCell ref="P5:S5"/>
    <mergeCell ref="A89:B89"/>
    <mergeCell ref="A95:B95"/>
    <mergeCell ref="A101:B101"/>
    <mergeCell ref="A106:B106"/>
    <mergeCell ref="A110:B110"/>
    <mergeCell ref="A115:B115"/>
    <mergeCell ref="A57:B57"/>
    <mergeCell ref="A62:B62"/>
    <mergeCell ref="A66:B66"/>
    <mergeCell ref="A75:B75"/>
    <mergeCell ref="A81:B81"/>
    <mergeCell ref="AQ5:AU5"/>
    <mergeCell ref="A72:B72"/>
    <mergeCell ref="AV5:AY5"/>
    <mergeCell ref="A34:B34"/>
    <mergeCell ref="A39:B39"/>
    <mergeCell ref="A44:B44"/>
    <mergeCell ref="A48:B48"/>
    <mergeCell ref="A52:B52"/>
    <mergeCell ref="AM5:AP5"/>
    <mergeCell ref="AD5:AG5"/>
    <mergeCell ref="AH5:AK5"/>
    <mergeCell ref="U5:X5"/>
    <mergeCell ref="Y5:AB5"/>
    <mergeCell ref="C5:F5"/>
    <mergeCell ref="G5:J5"/>
    <mergeCell ref="AV4:BD4"/>
    <mergeCell ref="C4:K4"/>
    <mergeCell ref="L4:T4"/>
    <mergeCell ref="U4:AC4"/>
    <mergeCell ref="AD4:AL4"/>
    <mergeCell ref="AM4:AU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F7BF-0D82-4BD8-B391-A171B2A44B11}">
  <sheetPr>
    <pageSetUpPr fitToPage="1"/>
  </sheetPr>
  <dimension ref="A1:AW41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13" sqref="B13"/>
    </sheetView>
  </sheetViews>
  <sheetFormatPr baseColWidth="10" defaultColWidth="11.5" defaultRowHeight="21" customHeight="1" x14ac:dyDescent="0.2"/>
  <cols>
    <col min="1" max="1" width="5" style="18" customWidth="1"/>
    <col min="2" max="2" width="36" style="18" customWidth="1"/>
    <col min="3" max="6" width="45.83203125" style="18" hidden="1" customWidth="1"/>
    <col min="7" max="7" width="14.83203125" style="18" customWidth="1"/>
    <col min="8" max="8" width="15" style="18" customWidth="1"/>
    <col min="9" max="9" width="16.1640625" style="18" customWidth="1"/>
    <col min="10" max="11" width="14.5" style="18" customWidth="1"/>
    <col min="12" max="12" width="16.83203125" style="18" customWidth="1"/>
    <col min="13" max="13" width="8.6640625" style="18" customWidth="1"/>
    <col min="14" max="14" width="20.1640625" style="18" customWidth="1"/>
    <col min="15" max="15" width="21.6640625" style="105" bestFit="1" customWidth="1"/>
    <col min="16" max="16" width="24.5" style="18" customWidth="1"/>
    <col min="17" max="17" width="16.1640625" style="18" customWidth="1"/>
    <col min="18" max="18" width="14.5" style="18" customWidth="1"/>
    <col min="19" max="19" width="16.5" style="18" customWidth="1"/>
    <col min="20" max="20" width="8.5" style="18" customWidth="1"/>
    <col min="21" max="21" width="17.1640625" style="18" customWidth="1"/>
    <col min="22" max="22" width="14" style="18" customWidth="1"/>
    <col min="23" max="23" width="15.83203125" style="18" customWidth="1"/>
    <col min="24" max="24" width="13.83203125" style="18" customWidth="1"/>
    <col min="25" max="25" width="16.83203125" style="18" customWidth="1"/>
    <col min="26" max="26" width="15.6640625" style="18" customWidth="1"/>
    <col min="27" max="27" width="8.83203125" style="18" customWidth="1"/>
    <col min="28" max="28" width="14.5" style="18" customWidth="1"/>
    <col min="29" max="29" width="20.5" style="18" customWidth="1"/>
    <col min="30" max="30" width="14.33203125" style="18" customWidth="1"/>
    <col min="31" max="31" width="14.5" style="18" customWidth="1"/>
    <col min="32" max="32" width="14" style="18" customWidth="1"/>
    <col min="33" max="33" width="15.6640625" style="18" customWidth="1"/>
    <col min="34" max="34" width="8.5" style="18" customWidth="1"/>
    <col min="35" max="35" width="15.5" style="18" customWidth="1"/>
    <col min="36" max="36" width="15.33203125" style="18" customWidth="1"/>
    <col min="37" max="37" width="13.6640625" style="18" customWidth="1"/>
    <col min="38" max="38" width="15" style="18" customWidth="1"/>
    <col min="39" max="39" width="15.5" style="18" customWidth="1"/>
    <col min="40" max="40" width="17.6640625" style="18" customWidth="1"/>
    <col min="41" max="41" width="9.5" style="18" customWidth="1"/>
    <col min="42" max="42" width="18" style="18" customWidth="1"/>
    <col min="43" max="43" width="18.5" style="18" customWidth="1"/>
    <col min="44" max="44" width="14.5" style="18" customWidth="1"/>
    <col min="45" max="46" width="14" style="18" bestFit="1" customWidth="1"/>
    <col min="47" max="47" width="17.5" style="18" customWidth="1"/>
    <col min="48" max="48" width="9.6640625" style="18" customWidth="1"/>
    <col min="49" max="49" width="53.83203125" style="18" customWidth="1"/>
    <col min="50" max="16384" width="11.5" style="18"/>
  </cols>
  <sheetData>
    <row r="1" spans="1:49" ht="8.25" customHeight="1" x14ac:dyDescent="0.2">
      <c r="A1" s="139"/>
      <c r="B1" s="139"/>
      <c r="C1" s="71"/>
      <c r="D1" s="71"/>
      <c r="E1" s="71"/>
      <c r="F1" s="71"/>
      <c r="G1" s="71"/>
      <c r="H1" s="71"/>
      <c r="I1" s="71"/>
      <c r="J1" s="71"/>
      <c r="K1" s="71"/>
      <c r="O1" s="72"/>
    </row>
    <row r="2" spans="1:49" ht="8.25" customHeight="1" x14ac:dyDescent="0.2">
      <c r="A2" s="71"/>
      <c r="B2" s="73"/>
      <c r="C2" s="71"/>
      <c r="D2" s="71"/>
      <c r="E2" s="71"/>
      <c r="F2" s="71"/>
      <c r="G2" s="71"/>
      <c r="H2" s="71"/>
      <c r="I2" s="71"/>
      <c r="J2" s="71"/>
      <c r="K2" s="71"/>
      <c r="O2" s="72"/>
      <c r="AC2" s="74"/>
      <c r="AG2" s="74"/>
    </row>
    <row r="3" spans="1:49" ht="8.25" customHeight="1" thickBot="1" x14ac:dyDescent="0.25">
      <c r="A3" s="71"/>
      <c r="B3" s="73" t="s">
        <v>250</v>
      </c>
      <c r="C3" s="71"/>
      <c r="D3" s="71"/>
      <c r="E3" s="71"/>
      <c r="F3" s="71"/>
      <c r="G3" s="71"/>
      <c r="H3" s="71"/>
      <c r="I3" s="71"/>
      <c r="J3" s="71"/>
      <c r="K3" s="71"/>
      <c r="O3" s="72"/>
    </row>
    <row r="4" spans="1:49" ht="8.25" customHeight="1" x14ac:dyDescent="0.2">
      <c r="A4" s="71"/>
      <c r="B4" s="73"/>
      <c r="C4" s="71"/>
      <c r="D4" s="71"/>
      <c r="E4" s="71"/>
      <c r="F4" s="71"/>
      <c r="G4" s="130">
        <v>2019</v>
      </c>
      <c r="H4" s="131"/>
      <c r="I4" s="131"/>
      <c r="J4" s="131"/>
      <c r="K4" s="131"/>
      <c r="L4" s="131"/>
      <c r="M4" s="131"/>
      <c r="N4" s="130">
        <v>2020</v>
      </c>
      <c r="O4" s="131"/>
      <c r="P4" s="131"/>
      <c r="Q4" s="131"/>
      <c r="R4" s="131"/>
      <c r="S4" s="131"/>
      <c r="T4" s="131"/>
      <c r="U4" s="130" t="s">
        <v>251</v>
      </c>
      <c r="V4" s="131"/>
      <c r="W4" s="131"/>
      <c r="X4" s="131"/>
      <c r="Y4" s="131"/>
      <c r="Z4" s="131"/>
      <c r="AA4" s="131"/>
      <c r="AB4" s="130">
        <v>2022</v>
      </c>
      <c r="AC4" s="131"/>
      <c r="AD4" s="131"/>
      <c r="AE4" s="131"/>
      <c r="AF4" s="131"/>
      <c r="AG4" s="131"/>
      <c r="AH4" s="131"/>
      <c r="AI4" s="130">
        <v>2023</v>
      </c>
      <c r="AJ4" s="131"/>
      <c r="AK4" s="131"/>
      <c r="AL4" s="131"/>
      <c r="AM4" s="131"/>
      <c r="AN4" s="131"/>
      <c r="AO4" s="131"/>
      <c r="AP4" s="130">
        <v>2024</v>
      </c>
      <c r="AQ4" s="131"/>
      <c r="AR4" s="131"/>
      <c r="AS4" s="131"/>
      <c r="AT4" s="131"/>
      <c r="AU4" s="131"/>
      <c r="AV4" s="131"/>
      <c r="AW4" s="132"/>
    </row>
    <row r="5" spans="1:49" ht="8.25" customHeight="1" thickBot="1" x14ac:dyDescent="0.25">
      <c r="A5" s="71"/>
      <c r="B5" s="71"/>
      <c r="C5" s="71"/>
      <c r="D5" s="71"/>
      <c r="E5" s="71"/>
      <c r="F5" s="71"/>
      <c r="G5" s="133"/>
      <c r="H5" s="134"/>
      <c r="I5" s="134"/>
      <c r="J5" s="134"/>
      <c r="K5" s="134"/>
      <c r="L5" s="134"/>
      <c r="M5" s="134"/>
      <c r="N5" s="133"/>
      <c r="O5" s="134"/>
      <c r="P5" s="134"/>
      <c r="Q5" s="134"/>
      <c r="R5" s="134"/>
      <c r="S5" s="134"/>
      <c r="T5" s="134"/>
      <c r="U5" s="133"/>
      <c r="V5" s="134"/>
      <c r="W5" s="134"/>
      <c r="X5" s="134"/>
      <c r="Y5" s="134"/>
      <c r="Z5" s="134"/>
      <c r="AA5" s="134"/>
      <c r="AB5" s="133"/>
      <c r="AC5" s="134"/>
      <c r="AD5" s="134"/>
      <c r="AE5" s="134"/>
      <c r="AF5" s="134"/>
      <c r="AG5" s="134"/>
      <c r="AH5" s="134"/>
      <c r="AI5" s="133"/>
      <c r="AJ5" s="134"/>
      <c r="AK5" s="134"/>
      <c r="AL5" s="134"/>
      <c r="AM5" s="134"/>
      <c r="AN5" s="134"/>
      <c r="AO5" s="134"/>
      <c r="AP5" s="133"/>
      <c r="AQ5" s="134"/>
      <c r="AR5" s="134"/>
      <c r="AS5" s="134"/>
      <c r="AT5" s="134"/>
      <c r="AU5" s="134"/>
      <c r="AV5" s="134"/>
      <c r="AW5" s="135"/>
    </row>
    <row r="6" spans="1:49" ht="20.25" customHeight="1" x14ac:dyDescent="0.2">
      <c r="A6" s="124" t="s">
        <v>252</v>
      </c>
      <c r="B6" s="124" t="s">
        <v>253</v>
      </c>
      <c r="C6" s="71"/>
      <c r="D6" s="71"/>
      <c r="E6" s="71"/>
      <c r="F6" s="71"/>
      <c r="G6" s="136" t="s">
        <v>0</v>
      </c>
      <c r="H6" s="137"/>
      <c r="I6" s="137"/>
      <c r="J6" s="136" t="s">
        <v>1</v>
      </c>
      <c r="K6" s="138"/>
      <c r="L6" s="129" t="s">
        <v>254</v>
      </c>
      <c r="M6" s="129" t="s">
        <v>255</v>
      </c>
      <c r="N6" s="126" t="s">
        <v>0</v>
      </c>
      <c r="O6" s="127"/>
      <c r="P6" s="127"/>
      <c r="Q6" s="126" t="s">
        <v>1</v>
      </c>
      <c r="R6" s="128"/>
      <c r="S6" s="124" t="s">
        <v>254</v>
      </c>
      <c r="T6" s="124" t="s">
        <v>255</v>
      </c>
      <c r="U6" s="126" t="s">
        <v>0</v>
      </c>
      <c r="V6" s="127"/>
      <c r="W6" s="127"/>
      <c r="X6" s="126" t="s">
        <v>1</v>
      </c>
      <c r="Y6" s="128"/>
      <c r="Z6" s="124" t="s">
        <v>254</v>
      </c>
      <c r="AA6" s="124" t="s">
        <v>255</v>
      </c>
      <c r="AB6" s="126" t="s">
        <v>0</v>
      </c>
      <c r="AC6" s="127"/>
      <c r="AD6" s="127"/>
      <c r="AE6" s="126" t="s">
        <v>1</v>
      </c>
      <c r="AF6" s="128"/>
      <c r="AG6" s="124" t="s">
        <v>254</v>
      </c>
      <c r="AH6" s="124" t="s">
        <v>255</v>
      </c>
      <c r="AI6" s="126" t="s">
        <v>0</v>
      </c>
      <c r="AJ6" s="127"/>
      <c r="AK6" s="127"/>
      <c r="AL6" s="126" t="s">
        <v>1</v>
      </c>
      <c r="AM6" s="128"/>
      <c r="AN6" s="124" t="s">
        <v>254</v>
      </c>
      <c r="AO6" s="124" t="s">
        <v>255</v>
      </c>
      <c r="AP6" s="126" t="s">
        <v>0</v>
      </c>
      <c r="AQ6" s="127"/>
      <c r="AR6" s="127"/>
      <c r="AS6" s="126" t="s">
        <v>1</v>
      </c>
      <c r="AT6" s="128"/>
      <c r="AU6" s="124" t="s">
        <v>254</v>
      </c>
      <c r="AV6" s="124" t="s">
        <v>255</v>
      </c>
      <c r="AW6" s="129" t="s">
        <v>256</v>
      </c>
    </row>
    <row r="7" spans="1:49" s="77" customFormat="1" ht="44" customHeight="1" x14ac:dyDescent="0.2">
      <c r="A7" s="125"/>
      <c r="B7" s="125"/>
      <c r="C7" s="75"/>
      <c r="D7" s="2"/>
      <c r="E7" s="2"/>
      <c r="F7" s="2"/>
      <c r="G7" s="76" t="s">
        <v>257</v>
      </c>
      <c r="H7" s="76" t="s">
        <v>258</v>
      </c>
      <c r="I7" s="76" t="s">
        <v>259</v>
      </c>
      <c r="J7" s="76" t="s">
        <v>260</v>
      </c>
      <c r="K7" s="76" t="s">
        <v>261</v>
      </c>
      <c r="L7" s="125"/>
      <c r="M7" s="125"/>
      <c r="N7" s="76" t="s">
        <v>257</v>
      </c>
      <c r="O7" s="76" t="s">
        <v>258</v>
      </c>
      <c r="P7" s="76" t="s">
        <v>259</v>
      </c>
      <c r="Q7" s="76" t="s">
        <v>260</v>
      </c>
      <c r="R7" s="76" t="s">
        <v>261</v>
      </c>
      <c r="S7" s="125"/>
      <c r="T7" s="125"/>
      <c r="U7" s="76" t="s">
        <v>257</v>
      </c>
      <c r="V7" s="76" t="s">
        <v>262</v>
      </c>
      <c r="W7" s="76" t="s">
        <v>259</v>
      </c>
      <c r="X7" s="76" t="s">
        <v>260</v>
      </c>
      <c r="Y7" s="76" t="s">
        <v>261</v>
      </c>
      <c r="Z7" s="125"/>
      <c r="AA7" s="125"/>
      <c r="AB7" s="76" t="s">
        <v>257</v>
      </c>
      <c r="AC7" s="76" t="s">
        <v>258</v>
      </c>
      <c r="AD7" s="76" t="s">
        <v>259</v>
      </c>
      <c r="AE7" s="76" t="s">
        <v>260</v>
      </c>
      <c r="AF7" s="76" t="s">
        <v>261</v>
      </c>
      <c r="AG7" s="125"/>
      <c r="AH7" s="125"/>
      <c r="AI7" s="76" t="s">
        <v>257</v>
      </c>
      <c r="AJ7" s="76" t="s">
        <v>258</v>
      </c>
      <c r="AK7" s="76" t="s">
        <v>259</v>
      </c>
      <c r="AL7" s="76" t="s">
        <v>260</v>
      </c>
      <c r="AM7" s="76" t="s">
        <v>261</v>
      </c>
      <c r="AN7" s="125"/>
      <c r="AO7" s="125"/>
      <c r="AP7" s="76" t="s">
        <v>257</v>
      </c>
      <c r="AQ7" s="76" t="s">
        <v>258</v>
      </c>
      <c r="AR7" s="76" t="s">
        <v>259</v>
      </c>
      <c r="AS7" s="76" t="s">
        <v>260</v>
      </c>
      <c r="AT7" s="76" t="s">
        <v>261</v>
      </c>
      <c r="AU7" s="125"/>
      <c r="AV7" s="125"/>
      <c r="AW7" s="125"/>
    </row>
    <row r="8" spans="1:49" ht="81" customHeight="1" x14ac:dyDescent="0.2">
      <c r="A8" s="78" t="s">
        <v>263</v>
      </c>
      <c r="B8" s="79" t="s">
        <v>264</v>
      </c>
      <c r="C8" s="7"/>
      <c r="D8" s="7"/>
      <c r="E8" s="7"/>
      <c r="F8" s="7"/>
      <c r="G8" s="80">
        <v>92706332</v>
      </c>
      <c r="H8" s="80">
        <v>49620722</v>
      </c>
      <c r="I8" s="80">
        <v>58750878</v>
      </c>
      <c r="J8" s="80">
        <v>19098727</v>
      </c>
      <c r="K8" s="80">
        <v>22773727</v>
      </c>
      <c r="L8" s="81">
        <f>SUM(G8:K8)+153900000</f>
        <v>396850386</v>
      </c>
      <c r="M8" s="82">
        <f t="shared" ref="M8:M17" si="0">L8/$S$19</f>
        <v>0.23364907632607571</v>
      </c>
      <c r="N8" s="80">
        <f>[1]Feuil1!$U$7+[1]Feuil1!$U$17+[1]Feuil1!$U$39+[1]Feuil1!$U$44+[1]Feuil1!$U$126+[1]Feuil1!$U$127+[1]Feuil1!$U$128+[1]Feuil1!$U$129+[1]Feuil1!$U$130+[1]Feuil1!$U$131+[1]Feuil1!$U$132+[1]Feuil1!$U$135+[1]Feuil1!$U$137+[1]Feuil1!$U$138+[1]Feuil1!$U$139+0</f>
        <v>88812880</v>
      </c>
      <c r="O8" s="80">
        <f>[1]Feuil1!$V$7+[1]Feuil1!$V$17+[1]Feuil1!$V$39+[1]Feuil1!$V$44+[1]Feuil1!$V$126+[1]Feuil1!$V$127+[1]Feuil1!$V$128+[1]Feuil1!$V$129+[1]Feuil1!$V$130+[1]Feuil1!$V$131+[1]Feuil1!$V$132+[1]Feuil1!$V$135+[1]Feuil1!$V$137+[1]Feuil1!$V$139</f>
        <v>119092414</v>
      </c>
      <c r="P8" s="80">
        <f>[1]Feuil1!$W$7+[1]Feuil1!$W$17+[1]Feuil1!$W$39+[1]Feuil1!$W$44+[1]Feuil1!$W$126+[1]Feuil1!$W$127+[1]Feuil1!$W$128+[1]Feuil1!$W$129+[1]Feuil1!$W$130+[1]Feuil1!$W$131+[1]Feuil1!$W$132+[1]Feuil1!$W$133+[1]Feuil1!$W$134+[1]Feuil1!$W$135+[1]Feuil1!$W$137+[1]Feuil1!$W$138+[1]Feuil1!$W$139+[1]Feuil1!$W$140</f>
        <v>154630259</v>
      </c>
      <c r="Q8" s="80">
        <f>[1]Feuil1!$Y$7+[1]Feuil1!$Y$17+[1]Feuil1!$Y$39+[1]Feuil1!$Y$44+[1]Feuil1!$Y$139+[1]Feuil1!$Y$140</f>
        <v>27950000</v>
      </c>
      <c r="R8" s="80">
        <f>[1]Feuil1!$Z$7+[1]Feuil1!$AA$7+[1]Feuil1!$Z$39+[1]Feuil1!$Z$137+[1]Feuil1!$AA$140+0</f>
        <v>53483811</v>
      </c>
      <c r="S8" s="81">
        <f>N8+O8+P8+Q8+R8+189300000</f>
        <v>633269364</v>
      </c>
      <c r="T8" s="82">
        <f t="shared" ref="T8:T17" si="1">S8/$Z$19</f>
        <v>0.35572351520840467</v>
      </c>
      <c r="U8" s="83">
        <f>[1]Feuil1!$AD$7+[1]Feuil1!$AD$17+[1]Feuil1!$AD$39+[1]Feuil1!$AD$44+[1]Feuil1!$AD$126+[1]Feuil1!$AD$127+[1]Feuil1!$AD$128+[1]Feuil1!$AD$129+[1]Feuil1!$AD$130+[1]Feuil1!$AD$131+[1]Feuil1!$AD$132+[1]Feuil1!$AD$135+[1]Feuil1!$AD$137+[1]Feuil1!$AD$138+[1]Feuil1!$AD$139</f>
        <v>98410374</v>
      </c>
      <c r="V8" s="83">
        <f>[1]Feuil1!$AE$7+[1]Feuil1!$AE$17+[1]Feuil1!$AE$39+[1]Feuil1!$AE$44+[1]Feuil1!$AE$126+[1]Feuil1!$AE$127+[1]Feuil1!$AE$128+[1]Feuil1!$AE$129+[1]Feuil1!$AE$130+[1]Feuil1!$AE$131+[1]Feuil1!$AE$132+[1]Feuil1!$AE$135+[1]Feuil1!$AE$137+[1]Feuil1!$AE$139</f>
        <v>61558310</v>
      </c>
      <c r="W8" s="83">
        <f>[1]Feuil1!$AF$7+[1]Feuil1!$AF$17+[1]Feuil1!$AF$39+[1]Feuil1!$AF$44+[1]Feuil1!$AF$126+[1]Feuil1!$AF$127+[1]Feuil1!$AF$128+[1]Feuil1!$AF$129+[1]Feuil1!$AF$130+[1]Feuil1!$AF$131+[1]Feuil1!$AF$132+[1]Feuil1!$AF$133+[1]Feuil1!$AF$134+[1]Feuil1!$AF$135+[1]Feuil1!$AF$137+[1]Feuil1!$AF$138+[1]Feuil1!$AF$139+1718953</f>
        <v>161628013</v>
      </c>
      <c r="X8" s="83">
        <f>[1]Feuil1!$AH$7+[1]Feuil1!$AH$17+[1]Feuil1!$AH$39+[1]Feuil1!$AH$44+[1]Feuil1!$AH$126+[1]Feuil1!$AH$137</f>
        <v>21630000</v>
      </c>
      <c r="Y8" s="83">
        <f>[1]Feuil1!$AI$7+[1]Feuil1!$AJ$7+[1]Feuil1!$AI$39+[1]Feuil1!$AI$44+[1]Feuil1!$AI$137</f>
        <v>27777546</v>
      </c>
      <c r="Z8" s="84">
        <f>U8+V8+W8+X8+Y8+220800000</f>
        <v>591804243</v>
      </c>
      <c r="AA8" s="85">
        <f t="shared" ref="AA8:AA15" si="2">Z8/$AG$19</f>
        <v>0.29185206500282612</v>
      </c>
      <c r="AB8" s="83">
        <v>93244719</v>
      </c>
      <c r="AC8" s="83">
        <v>78622656</v>
      </c>
      <c r="AD8" s="83">
        <v>158879894</v>
      </c>
      <c r="AE8" s="83">
        <v>28211000</v>
      </c>
      <c r="AF8" s="83">
        <f>9148631+5000000</f>
        <v>14148631</v>
      </c>
      <c r="AG8" s="84">
        <f>AB8+AC8+AD8+AE8+AF8</f>
        <v>373106900</v>
      </c>
      <c r="AH8" s="85">
        <f t="shared" ref="AH8:AH17" si="3">AG8/$AN$19</f>
        <v>0.22127139840773935</v>
      </c>
      <c r="AI8" s="83">
        <v>71915037</v>
      </c>
      <c r="AJ8" s="83">
        <v>77048104</v>
      </c>
      <c r="AK8" s="86">
        <v>141527909</v>
      </c>
      <c r="AL8" s="83">
        <f>[2]Feuil1!$AQ$7+[2]Feuil1!$AQ$17+[2]Feuil1!$AQ$39+[2]Feuil1!$AQ$44+[2]Feuil1!$AQ$127+[2]Feuil1!$AQ$128+[2]Feuil1!$AQ$129+[2]Feuil1!$AQ$130+[2]Feuil1!$AQ$131+[2]Feuil1!$AQ$132+[2]Feuil1!$AQ$133+[2]Feuil1!$AQ$134+[2]Feuil1!$AQ$136+[2]Feuil1!$AQ$139+[2]Feuil1!$AQ$138+[2]Feuil1!$AQ$135</f>
        <v>37071631</v>
      </c>
      <c r="AM8" s="83">
        <f>[2]Feuil1!$AR$7+[2]Feuil1!$AR$44+[2]Feuil1!$AS$141+0</f>
        <v>13665000</v>
      </c>
      <c r="AN8" s="84">
        <f>SUM(AI8:AM8)+162300000</f>
        <v>503527681</v>
      </c>
      <c r="AO8" s="85">
        <f t="shared" ref="AO8:AO17" si="4">AN8/$AU$19</f>
        <v>0.29857146147389746</v>
      </c>
      <c r="AP8" s="83">
        <v>78327647</v>
      </c>
      <c r="AQ8" s="83">
        <v>62056772</v>
      </c>
      <c r="AR8" s="86">
        <v>138844763</v>
      </c>
      <c r="AS8" s="83">
        <f>[2]Feuil1!$AZ$7+[2]Feuil1!$AZ$17+[2]Feuil1!$AZ$39+[2]Feuil1!$AZ$44+[2]Feuil1!$AZ$127+[2]Feuil1!$AZ$128+[2]Feuil1!$AZ$129+[2]Feuil1!$AZ$130+[2]Feuil1!$AZ$131+[2]Feuil1!$AZ$132+[2]Feuil1!$AZ$133+[2]Feuil1!$AZ$134+[2]Feuil1!$AZ$135+[2]Feuil1!$AZ$136+[2]Feuil1!$AZ$138+[2]Feuil1!$AZ$139</f>
        <v>38021631</v>
      </c>
      <c r="AT8" s="83">
        <f>[2]Feuil1!$BA$7+[2]Feuil1!$BA$44+[2]Feuil1!$BB$141</f>
        <v>13465000</v>
      </c>
      <c r="AU8" s="84">
        <f>SUM(AP8:AT8)+162300000</f>
        <v>493015813</v>
      </c>
      <c r="AV8" s="85">
        <f t="shared" ref="AV8:AV17" si="5">AU8/$AU$19</f>
        <v>0.29233835074332637</v>
      </c>
      <c r="AW8" s="87" t="s">
        <v>265</v>
      </c>
    </row>
    <row r="9" spans="1:49" ht="41.25" customHeight="1" x14ac:dyDescent="0.2">
      <c r="A9" s="78" t="s">
        <v>266</v>
      </c>
      <c r="B9" s="79" t="s">
        <v>267</v>
      </c>
      <c r="C9" s="7"/>
      <c r="D9" s="7"/>
      <c r="E9" s="7"/>
      <c r="F9" s="7"/>
      <c r="G9" s="80">
        <v>32846501</v>
      </c>
      <c r="H9" s="80">
        <v>4172313</v>
      </c>
      <c r="I9" s="80">
        <v>1892251</v>
      </c>
      <c r="J9" s="80">
        <v>1000000</v>
      </c>
      <c r="K9" s="80">
        <v>16000000</v>
      </c>
      <c r="L9" s="81">
        <f t="shared" ref="L9:L12" si="6">SUM(G9:K9)</f>
        <v>55911065</v>
      </c>
      <c r="M9" s="82">
        <f t="shared" si="0"/>
        <v>3.2918120164452051E-2</v>
      </c>
      <c r="N9" s="80">
        <v>32541900</v>
      </c>
      <c r="O9" s="80">
        <v>7771912</v>
      </c>
      <c r="P9" s="80">
        <v>556364</v>
      </c>
      <c r="Q9" s="80">
        <v>1984000</v>
      </c>
      <c r="R9" s="80">
        <v>9000000</v>
      </c>
      <c r="S9" s="81">
        <f>N9+O9+P9+Q9+R9</f>
        <v>51854176</v>
      </c>
      <c r="T9" s="82">
        <f t="shared" si="1"/>
        <v>2.912781008139104E-2</v>
      </c>
      <c r="U9" s="83">
        <v>34391569</v>
      </c>
      <c r="V9" s="83">
        <f>[1]Feuil1!$AE$100</f>
        <v>7243967</v>
      </c>
      <c r="W9" s="83">
        <v>563899</v>
      </c>
      <c r="X9" s="83">
        <v>11840802</v>
      </c>
      <c r="Y9" s="83">
        <v>8000000</v>
      </c>
      <c r="Z9" s="84">
        <f>U9+V9+W9+X9+Y9</f>
        <v>62040237</v>
      </c>
      <c r="AA9" s="85">
        <f t="shared" si="2"/>
        <v>3.0595541508672046E-2</v>
      </c>
      <c r="AB9" s="83">
        <v>37864665</v>
      </c>
      <c r="AC9" s="83">
        <v>7270347</v>
      </c>
      <c r="AD9" s="83">
        <v>537519</v>
      </c>
      <c r="AE9" s="83">
        <v>14937036</v>
      </c>
      <c r="AF9" s="88">
        <f>8000000+0</f>
        <v>8000000</v>
      </c>
      <c r="AG9" s="84">
        <f t="shared" ref="AG9:AG17" si="7">AB9+AC9+AD9+AE9+AF9</f>
        <v>68609567</v>
      </c>
      <c r="AH9" s="85">
        <f t="shared" si="3"/>
        <v>4.0688968320445121E-2</v>
      </c>
      <c r="AI9" s="83">
        <f>[3]Feuil1!$AM$101+0</f>
        <v>37864665</v>
      </c>
      <c r="AJ9" s="83">
        <f>[2]Feuil1!$AW$101</f>
        <v>5068987</v>
      </c>
      <c r="AK9" s="83">
        <f>[2]Feuil1!$AO$101</f>
        <v>806649</v>
      </c>
      <c r="AL9" s="83">
        <f>[2]Feuil1!$AQ$101</f>
        <v>10000000</v>
      </c>
      <c r="AM9" s="83">
        <v>8000000</v>
      </c>
      <c r="AN9" s="84">
        <f t="shared" ref="AN9:AN10" si="8">SUM(AI9:AM9)</f>
        <v>61740301</v>
      </c>
      <c r="AO9" s="85">
        <f t="shared" si="4"/>
        <v>3.6609490594040117E-2</v>
      </c>
      <c r="AP9" s="83">
        <v>37864665</v>
      </c>
      <c r="AQ9" s="83">
        <f>[1]Feuil1!$AW$100</f>
        <v>5068987</v>
      </c>
      <c r="AR9" s="83">
        <f>[2]Feuil1!$AX$101+0</f>
        <v>806649</v>
      </c>
      <c r="AS9" s="83">
        <v>10000000</v>
      </c>
      <c r="AT9" s="83">
        <v>8000000</v>
      </c>
      <c r="AU9" s="84">
        <f t="shared" ref="AU9:AU17" si="9">SUM(AP9:AT9)</f>
        <v>61740301</v>
      </c>
      <c r="AV9" s="85">
        <f t="shared" si="5"/>
        <v>3.6609490594040117E-2</v>
      </c>
      <c r="AW9" s="89" t="s">
        <v>268</v>
      </c>
    </row>
    <row r="10" spans="1:49" ht="54" customHeight="1" x14ac:dyDescent="0.2">
      <c r="A10" s="78" t="s">
        <v>269</v>
      </c>
      <c r="B10" s="79" t="s">
        <v>270</v>
      </c>
      <c r="C10" s="7"/>
      <c r="D10" s="7"/>
      <c r="E10" s="7"/>
      <c r="F10" s="7"/>
      <c r="G10" s="80">
        <v>35200993</v>
      </c>
      <c r="H10" s="80">
        <v>6639096</v>
      </c>
      <c r="I10" s="80">
        <v>7062485</v>
      </c>
      <c r="J10" s="80">
        <v>6144071</v>
      </c>
      <c r="K10" s="80">
        <v>600000</v>
      </c>
      <c r="L10" s="81">
        <f t="shared" si="6"/>
        <v>55646645</v>
      </c>
      <c r="M10" s="82">
        <f t="shared" si="0"/>
        <v>3.2762440616336048E-2</v>
      </c>
      <c r="N10" s="80">
        <f>6901500+31109120</f>
        <v>38010620</v>
      </c>
      <c r="O10" s="80">
        <f>2801025+4759490</f>
        <v>7560515</v>
      </c>
      <c r="P10" s="80">
        <f>4019736+2258352+1500000</f>
        <v>7778088</v>
      </c>
      <c r="Q10" s="80">
        <f>3131000+3850000</f>
        <v>6981000</v>
      </c>
      <c r="R10" s="80">
        <f>450000</f>
        <v>450000</v>
      </c>
      <c r="S10" s="81">
        <f t="shared" ref="S10:S17" si="10">N10+O10+P10+Q10+R10</f>
        <v>60780223</v>
      </c>
      <c r="T10" s="82">
        <f t="shared" si="1"/>
        <v>3.4141797803297375E-2</v>
      </c>
      <c r="U10" s="83">
        <f>[1]Feuil1!$AD$28+[1]Feuil1!$AD$11</f>
        <v>39591001</v>
      </c>
      <c r="V10" s="83">
        <f>[1]Feuil1!$AE$11+[1]Feuil1!$AE$28</f>
        <v>11962030</v>
      </c>
      <c r="W10" s="83">
        <f>[1]Feuil1!$AF$28+[1]Feuil1!$AF$11+3000000</f>
        <v>7180848</v>
      </c>
      <c r="X10" s="83">
        <f>[1]Feuil1!$AH$11+[1]Feuil1!$AH$28</f>
        <v>14747229</v>
      </c>
      <c r="Y10" s="83">
        <v>0</v>
      </c>
      <c r="Z10" s="84">
        <f>U10+V10+W10+X10+Y10</f>
        <v>73481108</v>
      </c>
      <c r="AA10" s="85">
        <f t="shared" si="2"/>
        <v>3.6237680554270187E-2</v>
      </c>
      <c r="AB10" s="83">
        <v>42957054</v>
      </c>
      <c r="AC10" s="83">
        <v>11858030</v>
      </c>
      <c r="AD10" s="83">
        <v>5284848</v>
      </c>
      <c r="AE10" s="83">
        <v>19088822</v>
      </c>
      <c r="AF10" s="83">
        <f>1573438+530714</f>
        <v>2104152</v>
      </c>
      <c r="AG10" s="84">
        <f t="shared" si="7"/>
        <v>81292906</v>
      </c>
      <c r="AH10" s="85">
        <f t="shared" si="3"/>
        <v>4.8210834458566443E-2</v>
      </c>
      <c r="AI10" s="83">
        <f>[3]Feuil1!$AM$11+[3]Feuil1!$AM$28+[3]Feuil1!$AH$570</f>
        <v>42957055</v>
      </c>
      <c r="AJ10" s="83">
        <f>[2]Feuil1!$AW$11+[2]Feuil1!$AW$28</f>
        <v>10328130</v>
      </c>
      <c r="AK10" s="86">
        <f>[2]Feuil1!$AO$11+[2]Feuil1!$AO$28</f>
        <v>4270355</v>
      </c>
      <c r="AL10" s="83">
        <f>[2]Feuil1!$AQ$11+[2]Feuil1!$AQ$28</f>
        <v>18555279</v>
      </c>
      <c r="AM10" s="83">
        <f>[2]Feuil1!$AR$28+[2]Feuil1!$AS$28+[2]Feuil1!$AR$11+[2]Feuil1!$AS$11</f>
        <v>2104152</v>
      </c>
      <c r="AN10" s="84">
        <f t="shared" si="8"/>
        <v>78214971</v>
      </c>
      <c r="AO10" s="85">
        <f t="shared" si="4"/>
        <v>4.6378300700827824E-2</v>
      </c>
      <c r="AP10" s="83">
        <f>[2]Feuil1!$AV$11+[2]Feuil1!$AV$28</f>
        <v>42957055</v>
      </c>
      <c r="AQ10" s="83">
        <f>[2]Feuil1!$AW$28+[2]Feuil1!$AW$11</f>
        <v>10328130</v>
      </c>
      <c r="AR10" s="86">
        <f>[2]Feuil1!$AX$11+[2]Feuil1!$AX$28+3000000</f>
        <v>7267360</v>
      </c>
      <c r="AS10" s="83">
        <f>[2]Feuil1!$AZ$11+[2]Feuil1!$AZ$28</f>
        <v>18092289</v>
      </c>
      <c r="AT10" s="83">
        <f>[2]Feuil1!$BA$11+[2]Feuil1!$BB$11+[2]Feuil1!$BA$28+[2]Feuil1!$BB$28</f>
        <v>2104152</v>
      </c>
      <c r="AU10" s="84">
        <f t="shared" si="9"/>
        <v>80748986</v>
      </c>
      <c r="AV10" s="85">
        <f t="shared" si="5"/>
        <v>4.7880868663812914E-2</v>
      </c>
      <c r="AW10" s="89" t="s">
        <v>271</v>
      </c>
    </row>
    <row r="11" spans="1:49" ht="62.25" customHeight="1" x14ac:dyDescent="0.2">
      <c r="A11" s="78" t="s">
        <v>272</v>
      </c>
      <c r="B11" s="79" t="s">
        <v>273</v>
      </c>
      <c r="C11" s="90"/>
      <c r="D11" s="90"/>
      <c r="E11" s="90"/>
      <c r="F11" s="90"/>
      <c r="G11" s="91">
        <v>17060912</v>
      </c>
      <c r="H11" s="80">
        <v>12706129</v>
      </c>
      <c r="I11" s="80">
        <v>58268806</v>
      </c>
      <c r="J11" s="80">
        <v>95384545</v>
      </c>
      <c r="K11" s="80">
        <v>61444231</v>
      </c>
      <c r="L11" s="81">
        <f t="shared" si="6"/>
        <v>244864623</v>
      </c>
      <c r="M11" s="82">
        <f t="shared" si="0"/>
        <v>0.14416615179727393</v>
      </c>
      <c r="N11" s="80">
        <f>25470300</f>
        <v>25470300</v>
      </c>
      <c r="O11" s="80">
        <f>12332229</f>
        <v>12332229</v>
      </c>
      <c r="P11" s="80">
        <f>33363733</f>
        <v>33363733</v>
      </c>
      <c r="Q11" s="80">
        <f>139731000</f>
        <v>139731000</v>
      </c>
      <c r="R11" s="80">
        <f>62267648</f>
        <v>62267648</v>
      </c>
      <c r="S11" s="81">
        <f t="shared" si="10"/>
        <v>273164910</v>
      </c>
      <c r="T11" s="82">
        <f t="shared" si="1"/>
        <v>0.15344368058958793</v>
      </c>
      <c r="U11" s="83">
        <f>24839764</f>
        <v>24839764</v>
      </c>
      <c r="V11" s="83">
        <f>24072955</f>
        <v>24072955</v>
      </c>
      <c r="W11" s="83">
        <f>34430319</f>
        <v>34430319</v>
      </c>
      <c r="X11" s="83">
        <f>170260064</f>
        <v>170260064</v>
      </c>
      <c r="Y11" s="83">
        <f>59579835</f>
        <v>59579835</v>
      </c>
      <c r="Z11" s="84">
        <f>SUM(U11:Y11)+8000002</f>
        <v>321182939</v>
      </c>
      <c r="AA11" s="85">
        <f t="shared" si="2"/>
        <v>0.15839343009040702</v>
      </c>
      <c r="AB11" s="83">
        <v>21824573</v>
      </c>
      <c r="AC11" s="83">
        <v>23912971</v>
      </c>
      <c r="AD11" s="83">
        <v>41386865</v>
      </c>
      <c r="AE11" s="83">
        <v>192091820</v>
      </c>
      <c r="AF11" s="83">
        <f>26255178+97350636</f>
        <v>123605814</v>
      </c>
      <c r="AG11" s="84">
        <f>AB11+AC11+AD11+AE11+AF11+'[4]TMC Admin-Eco'!$F$88</f>
        <v>607752257</v>
      </c>
      <c r="AH11" s="85">
        <f t="shared" si="3"/>
        <v>0.36042804834713538</v>
      </c>
      <c r="AI11" s="83">
        <f>[3]Feuil1!$AM$22+[3]Feuil1!$AV$34+[3]Feuil1!$AV$72+[3]Feuil1!$AV$75+[3]Feuil1!$AV$81+[3]Feuil1!$AV$110+[3]Feuil1!$AV$86+[3]Feuil1!$AV$66+5206326</f>
        <v>27030899</v>
      </c>
      <c r="AJ11" s="83">
        <f>[2]Feuil1!$AW$22+[2]Feuil1!$AW$34+[2]Feuil1!$AW$72+[2]Feuil1!$AW$75+[2]Feuil1!$AW$81+[2]Feuil1!$AW$110+[2]Feuil1!$AW$86+[2]Feuil1!$AW$66</f>
        <v>20268055</v>
      </c>
      <c r="AK11" s="83">
        <f>[2]Feuil1!$AO$22+[2]Feuil1!$AO$34+[2]Feuil1!$AO$72+[2]Feuil1!$AO$75+[2]Feuil1!$AO$81+[2]Feuil1!$AO$81+[2]Feuil1!$AO$110+[2]Feuil1!$AO$86+[2]Feuil1!$AO$66</f>
        <v>33236840</v>
      </c>
      <c r="AL11" s="86">
        <v>169946102</v>
      </c>
      <c r="AM11" s="83">
        <v>61867870</v>
      </c>
      <c r="AN11" s="84">
        <f>SUM(AI11:AM11)+57032981</f>
        <v>369382747</v>
      </c>
      <c r="AO11" s="85">
        <f t="shared" si="4"/>
        <v>0.21902896459635338</v>
      </c>
      <c r="AP11" s="83">
        <v>27030899</v>
      </c>
      <c r="AQ11" s="83">
        <f>[2]Feuil1!$AW$22+[2]Feuil1!$AW$34+[2]Feuil1!$AW$72+[2]Feuil1!$AW$75+[2]Feuil1!$AW$81+[2]Feuil1!$AW$110+[2]Feuil1!$AW$86+[2]Feuil1!$AW$66</f>
        <v>20268055</v>
      </c>
      <c r="AR11" s="83">
        <f>[2]Feuil1!$AX$22+[2]Feuil1!$AX$34+[2]Feuil1!$AX$72+[2]Feuil1!$AX$75+[2]Feuil1!$AX$81+[2]Feuil1!$AX$110+[2]Feuil1!$AX$86+[2]Feuil1!$AX$66</f>
        <v>31987284</v>
      </c>
      <c r="AS11" s="86">
        <f>[2]Feuil1!$AZ$22+[2]Feuil1!$AZ$34+[2]Feuil1!$AZ$72+[2]Feuil1!$AZ$75+[2]Feuil1!$AZ$81+[2]Feuil1!$AZ$86+[2]Feuil1!$AZ$110+[2]Feuil1!$AZ$66+16606942</f>
        <v>172231135</v>
      </c>
      <c r="AT11" s="83">
        <v>58830287</v>
      </c>
      <c r="AU11" s="84">
        <f>SUM(AP11:AT11)+57032981</f>
        <v>367380641</v>
      </c>
      <c r="AV11" s="85">
        <f t="shared" si="5"/>
        <v>0.21784179706415635</v>
      </c>
      <c r="AW11" s="92" t="s">
        <v>274</v>
      </c>
    </row>
    <row r="12" spans="1:49" ht="48" customHeight="1" x14ac:dyDescent="0.2">
      <c r="A12" s="78" t="s">
        <v>275</v>
      </c>
      <c r="B12" s="79" t="s">
        <v>276</v>
      </c>
      <c r="C12" s="7"/>
      <c r="D12" s="7"/>
      <c r="E12" s="7"/>
      <c r="F12" s="7"/>
      <c r="G12" s="93">
        <v>2744149</v>
      </c>
      <c r="H12" s="80">
        <v>903914</v>
      </c>
      <c r="I12" s="80">
        <v>593384</v>
      </c>
      <c r="J12" s="80">
        <v>6706000</v>
      </c>
      <c r="K12" s="80">
        <v>14005700</v>
      </c>
      <c r="L12" s="84">
        <f t="shared" si="6"/>
        <v>24953147</v>
      </c>
      <c r="M12" s="82">
        <f t="shared" si="0"/>
        <v>1.4691379808759432E-2</v>
      </c>
      <c r="N12" s="80">
        <f>421476+255535+2686880</f>
        <v>3363891</v>
      </c>
      <c r="O12" s="80">
        <f>649176+14000+80650</f>
        <v>743826</v>
      </c>
      <c r="P12" s="80">
        <f>360376+251830+342021</f>
        <v>954227</v>
      </c>
      <c r="Q12" s="80">
        <f>5033478+13595000+13490700</f>
        <v>32119178</v>
      </c>
      <c r="R12" s="80">
        <f>3000000+2400000+17000000+3900000</f>
        <v>26300000</v>
      </c>
      <c r="S12" s="81">
        <f t="shared" si="10"/>
        <v>63481122</v>
      </c>
      <c r="T12" s="82">
        <f t="shared" si="1"/>
        <v>3.56589614955913E-2</v>
      </c>
      <c r="U12" s="83">
        <f>[1]Feuil1!$AD$89+[1]Feuil1!$AD$90+[1]Feuil1!$AD$91</f>
        <v>3431444</v>
      </c>
      <c r="V12" s="83">
        <f>[1]Feuil1!$AE$89+[1]Feuil1!$AE$90+[1]Feuil1!$AE$91</f>
        <v>977864</v>
      </c>
      <c r="W12" s="83">
        <f>[1]Feuil1!$AF$89+[1]Feuil1!$AF$90+[1]Feuil1!$AF$91</f>
        <v>1616171</v>
      </c>
      <c r="X12" s="83">
        <f>[1]Feuil1!$AH$89+[1]Feuil1!$AH$90+[1]Feuil1!$AH$91</f>
        <v>13735000</v>
      </c>
      <c r="Y12" s="83">
        <f>[1]Feuil1!$AJ$90+[1]Feuil1!$AJ$91</f>
        <v>22598204</v>
      </c>
      <c r="Z12" s="94">
        <f>U12+V12+W12+X12+Y12</f>
        <v>42358683</v>
      </c>
      <c r="AA12" s="85">
        <f t="shared" si="2"/>
        <v>2.0889456692100981E-2</v>
      </c>
      <c r="AB12" s="83">
        <v>4828584</v>
      </c>
      <c r="AC12" s="83">
        <v>1009864</v>
      </c>
      <c r="AD12" s="83">
        <v>1584171</v>
      </c>
      <c r="AE12" s="83">
        <v>26935000</v>
      </c>
      <c r="AF12" s="83">
        <f>11311974+12500000</f>
        <v>23811974</v>
      </c>
      <c r="AG12" s="84">
        <f t="shared" si="7"/>
        <v>58169593</v>
      </c>
      <c r="AH12" s="85">
        <f t="shared" si="3"/>
        <v>3.4497531908198549E-2</v>
      </c>
      <c r="AI12" s="83">
        <f>[2]Feuil1!$AM$90+[2]Feuil1!$AM$91+[2]Feuil1!$AM$92</f>
        <v>3431444</v>
      </c>
      <c r="AJ12" s="83">
        <f>[2]Feuil1!$AN$90+[2]Feuil1!$AN$91+[2]Feuil1!$AN$92</f>
        <v>909864</v>
      </c>
      <c r="AK12" s="83">
        <f>[2]Feuil1!$AO$90+[2]Feuil1!$AO$91+[2]Feuil1!$AO$92</f>
        <v>1084171</v>
      </c>
      <c r="AL12" s="83">
        <f>[2]Feuil1!$AQ$90+[2]Feuil1!$AQ$91+[2]Feuil1!$AQ$92</f>
        <v>8735000</v>
      </c>
      <c r="AM12" s="83">
        <f>[2]Feuil1!$AR$90+[2]Feuil1!$AR$91+[2]Feuil1!$AR$92+[2]Feuil1!$AS$90+[2]Feuil1!$AS$91+[2]Feuil1!$AS$92</f>
        <v>16598204</v>
      </c>
      <c r="AN12" s="84">
        <f t="shared" ref="AN12:AN17" si="11">SUM(AI12:AM12)</f>
        <v>30758683</v>
      </c>
      <c r="AO12" s="85">
        <f t="shared" si="4"/>
        <v>1.8238649597344232E-2</v>
      </c>
      <c r="AP12" s="83">
        <f>[2]Feuil1!$AV$90+[2]Feuil1!$AV$91+[2]Feuil1!$AV$92</f>
        <v>3431444</v>
      </c>
      <c r="AQ12" s="83">
        <f>[2]Feuil1!$AW$90+[2]Feuil1!$AW$91+[2]Feuil1!$AW$92</f>
        <v>909864</v>
      </c>
      <c r="AR12" s="83">
        <f>[2]Feuil1!$AX$90+[2]Feuil1!$AX$91+[2]Feuil1!$AX$92</f>
        <v>1084171</v>
      </c>
      <c r="AS12" s="83">
        <f>[2]Feuil1!$AZ$90+[2]Feuil1!$AZ$91+[2]Feuil1!$AZ$92</f>
        <v>8735000</v>
      </c>
      <c r="AT12" s="83">
        <f>[2]Feuil1!$BA$90+[2]Feuil1!$BA$91+[2]Feuil1!$BA$92+[2]Feuil1!$BB$90+[2]Feuil1!$BB$91+[2]Feuil1!$BB$92</f>
        <v>16598204</v>
      </c>
      <c r="AU12" s="84">
        <f t="shared" si="9"/>
        <v>30758683</v>
      </c>
      <c r="AV12" s="85">
        <f t="shared" si="5"/>
        <v>1.8238649597344232E-2</v>
      </c>
      <c r="AW12" s="89" t="s">
        <v>277</v>
      </c>
    </row>
    <row r="13" spans="1:49" ht="35.25" customHeight="1" x14ac:dyDescent="0.2">
      <c r="A13" s="78" t="s">
        <v>278</v>
      </c>
      <c r="B13" s="79" t="s">
        <v>279</v>
      </c>
      <c r="C13" s="7"/>
      <c r="D13" s="7"/>
      <c r="E13" s="7"/>
      <c r="F13" s="7"/>
      <c r="G13" s="95">
        <v>962373</v>
      </c>
      <c r="H13" s="80">
        <v>588233</v>
      </c>
      <c r="I13" s="80">
        <v>817700</v>
      </c>
      <c r="J13" s="80">
        <v>37794466</v>
      </c>
      <c r="K13" s="80">
        <v>92790726</v>
      </c>
      <c r="L13" s="94">
        <f>SUM(G13:K13)</f>
        <v>132953498</v>
      </c>
      <c r="M13" s="82">
        <f t="shared" si="0"/>
        <v>7.8277514897064387E-2</v>
      </c>
      <c r="N13" s="80">
        <f>185582+151227+134400</f>
        <v>471209</v>
      </c>
      <c r="O13" s="80">
        <f>23200+18000+562225</f>
        <v>603425</v>
      </c>
      <c r="P13" s="80">
        <f>515029+29750+318719</f>
        <v>863498</v>
      </c>
      <c r="Q13" s="80">
        <f>20973000+15507822+15020000</f>
        <v>51500822</v>
      </c>
      <c r="R13" s="80">
        <f>9100000+32500000</f>
        <v>41600000</v>
      </c>
      <c r="S13" s="81">
        <f t="shared" si="10"/>
        <v>95038954</v>
      </c>
      <c r="T13" s="82">
        <f t="shared" si="1"/>
        <v>5.3385798714573329E-2</v>
      </c>
      <c r="U13" s="83">
        <f>[1]Feuil1!$AD$92+[1]Feuil1!$AD$93+[1]Feuil1!$AD$114</f>
        <v>1269166</v>
      </c>
      <c r="V13" s="83">
        <f>[1]Feuil1!$AE$114+[1]Feuil1!$AE$92+[1]Feuil1!$AE$93</f>
        <v>1563347</v>
      </c>
      <c r="W13" s="83">
        <f>[1]Feuil1!$AF$92+[1]Feuil1!$AF$93+[1]Feuil1!$AF$114</f>
        <v>595618</v>
      </c>
      <c r="X13" s="83">
        <f>[1]Feuil1!$AH$114+[1]Feuil1!$AH$92+[1]Feuil1!$AH$93</f>
        <v>59558132</v>
      </c>
      <c r="Y13" s="83">
        <f>[1]Feuil1!$AI$92+[1]Feuil1!$AJ$92+[1]Feuil1!$AI$93+[1]Feuil1!$AI$114+[1]Feuil1!$AJ$114</f>
        <v>50448708</v>
      </c>
      <c r="Z13" s="84">
        <f>U13+V13+W13+X13+Y13</f>
        <v>113434971</v>
      </c>
      <c r="AA13" s="85">
        <f t="shared" si="2"/>
        <v>5.5941184811487903E-2</v>
      </c>
      <c r="AB13" s="83">
        <v>1349782</v>
      </c>
      <c r="AC13" s="83">
        <v>1574340</v>
      </c>
      <c r="AD13" s="83">
        <v>584625</v>
      </c>
      <c r="AE13" s="83">
        <v>131919650</v>
      </c>
      <c r="AF13" s="83">
        <f>11472105+39630472</f>
        <v>51102577</v>
      </c>
      <c r="AG13" s="84">
        <f t="shared" si="7"/>
        <v>186530974</v>
      </c>
      <c r="AH13" s="85">
        <f t="shared" si="3"/>
        <v>0.11062236979090355</v>
      </c>
      <c r="AI13" s="83">
        <f>[2]Feuil1!$AM$93+[2]Feuil1!$AM$94+[2]Feuil1!$AM$115</f>
        <v>1269166</v>
      </c>
      <c r="AJ13" s="83">
        <f>[2]Feuil1!$AN$93+[2]Feuil1!$AN$94+[2]Feuil1!$AN$115</f>
        <v>1394947</v>
      </c>
      <c r="AK13" s="83">
        <f>[2]Feuil1!$AO$93+[2]Feuil1!$AO$94+[2]Feuil1!$AO$115</f>
        <v>764018</v>
      </c>
      <c r="AL13" s="83">
        <f>[2]Feuil1!$AQ$115+[2]Feuil1!$AQ$93+[2]Feuil1!$AQ$94</f>
        <v>45265000</v>
      </c>
      <c r="AM13" s="83">
        <f>[2]Feuil1!$AR$93+[2]Feuil1!$AR$94+[2]Feuil1!$AS$93+[2]Feuil1!$AS$94+[2]Feuil1!$AR$115+[2]Feuil1!$AS$115</f>
        <v>40401796</v>
      </c>
      <c r="AN13" s="84">
        <f t="shared" si="11"/>
        <v>89094927</v>
      </c>
      <c r="AO13" s="85">
        <f t="shared" si="4"/>
        <v>5.2829672663617093E-2</v>
      </c>
      <c r="AP13" s="83">
        <f>[2]Feuil1!$AV$93+[2]Feuil1!$AV$94+[2]Feuil1!$AV$115</f>
        <v>1269166</v>
      </c>
      <c r="AQ13" s="83">
        <f>[2]Feuil1!$AW$93+[2]Feuil1!$AW$94+[2]Feuil1!$AW$115</f>
        <v>1394947</v>
      </c>
      <c r="AR13" s="83">
        <f>[2]Feuil1!$AX$93+[2]Feuil1!$AX$94+[2]Feuil1!$AX$115</f>
        <v>764018</v>
      </c>
      <c r="AS13" s="83">
        <f>[2]Feuil1!$AZ$115+[2]Feuil1!$AZ$93+[2]Feuil1!$AZ$94</f>
        <v>45265000</v>
      </c>
      <c r="AT13" s="83">
        <f>[2]Feuil1!$BA$93+[2]Feuil1!$BA$94+[2]Feuil1!$BB$93+[2]Feuil1!$BB$94+[2]Feuil1!$BA$115+[2]Feuil1!$BB$115</f>
        <v>40401796</v>
      </c>
      <c r="AU13" s="84">
        <f t="shared" si="9"/>
        <v>89094927</v>
      </c>
      <c r="AV13" s="85">
        <f t="shared" si="5"/>
        <v>5.2829672663617093E-2</v>
      </c>
      <c r="AW13" s="89" t="s">
        <v>280</v>
      </c>
    </row>
    <row r="14" spans="1:49" ht="31.5" customHeight="1" x14ac:dyDescent="0.2">
      <c r="A14" s="78" t="s">
        <v>281</v>
      </c>
      <c r="B14" s="79" t="s">
        <v>282</v>
      </c>
      <c r="C14" s="7"/>
      <c r="D14" s="7"/>
      <c r="E14" s="7"/>
      <c r="F14" s="7"/>
      <c r="G14" s="96">
        <v>22277315</v>
      </c>
      <c r="H14" s="80">
        <v>8304611</v>
      </c>
      <c r="I14" s="80">
        <v>20187392</v>
      </c>
      <c r="J14" s="80">
        <v>7637249</v>
      </c>
      <c r="K14" s="80">
        <v>5203237</v>
      </c>
      <c r="L14" s="94">
        <f t="shared" ref="L14" si="12">SUM(G14:K14)</f>
        <v>63609804</v>
      </c>
      <c r="M14" s="82">
        <f t="shared" si="0"/>
        <v>3.7450818933769954E-2</v>
      </c>
      <c r="N14" s="80">
        <v>24095900</v>
      </c>
      <c r="O14" s="80">
        <v>7183388</v>
      </c>
      <c r="P14" s="80">
        <v>17391842</v>
      </c>
      <c r="Q14" s="80">
        <v>32600000</v>
      </c>
      <c r="R14" s="80">
        <v>28200690</v>
      </c>
      <c r="S14" s="81">
        <f t="shared" si="10"/>
        <v>109471820</v>
      </c>
      <c r="T14" s="82">
        <f t="shared" si="1"/>
        <v>6.1493106789012042E-2</v>
      </c>
      <c r="U14" s="83">
        <v>24267045</v>
      </c>
      <c r="V14" s="83">
        <v>11606625</v>
      </c>
      <c r="W14" s="83">
        <v>17294672</v>
      </c>
      <c r="X14" s="83">
        <v>15000000</v>
      </c>
      <c r="Y14" s="83">
        <v>23694079</v>
      </c>
      <c r="Z14" s="84">
        <f>U14+V14+W14+X14+Y14</f>
        <v>91862421</v>
      </c>
      <c r="AA14" s="85">
        <f t="shared" si="2"/>
        <v>4.5302543167148226E-2</v>
      </c>
      <c r="AB14" s="64">
        <v>30679655</v>
      </c>
      <c r="AC14" s="83">
        <v>11192021</v>
      </c>
      <c r="AD14" s="83">
        <v>17709277</v>
      </c>
      <c r="AE14" s="83">
        <v>15140000</v>
      </c>
      <c r="AF14" s="83">
        <f>3983302+19395403</f>
        <v>23378705</v>
      </c>
      <c r="AG14" s="84">
        <f t="shared" si="7"/>
        <v>98099658</v>
      </c>
      <c r="AH14" s="85">
        <f t="shared" si="3"/>
        <v>5.8178094559443887E-2</v>
      </c>
      <c r="AI14" s="83">
        <f>[3]Feuil1!$AM$48</f>
        <v>30679654</v>
      </c>
      <c r="AJ14" s="83">
        <f>[2]Feuil1!$AW$48</f>
        <v>11407603</v>
      </c>
      <c r="AK14" s="83">
        <f>[2]Feuil1!$AO$48</f>
        <v>17268300</v>
      </c>
      <c r="AL14" s="83">
        <f>[2]Feuil1!$AQ$48</f>
        <v>10000000</v>
      </c>
      <c r="AM14" s="83">
        <f>[2]Feuil1!$AR$48+[2]Feuil1!$AS$48</f>
        <v>13000000</v>
      </c>
      <c r="AN14" s="84">
        <f t="shared" si="11"/>
        <v>82355557</v>
      </c>
      <c r="AO14" s="85">
        <f t="shared" si="4"/>
        <v>4.883350000769246E-2</v>
      </c>
      <c r="AP14" s="83">
        <f>[2]Feuil1!$AV$48</f>
        <v>24267045</v>
      </c>
      <c r="AQ14" s="83">
        <f>[2]Feuil1!$AW$48</f>
        <v>11407603</v>
      </c>
      <c r="AR14" s="83">
        <f>[2]Feuil1!$AX$48</f>
        <v>17268300</v>
      </c>
      <c r="AS14" s="83">
        <f>[2]Feuil1!$AZ$48</f>
        <v>10000000</v>
      </c>
      <c r="AT14" s="83">
        <f>[2]Feuil1!$BA$48+[2]Feuil1!$BB$48</f>
        <v>13000000</v>
      </c>
      <c r="AU14" s="84">
        <f t="shared" si="9"/>
        <v>75942948</v>
      </c>
      <c r="AV14" s="85">
        <f t="shared" si="5"/>
        <v>4.5031083351694021E-2</v>
      </c>
      <c r="AW14" s="89" t="s">
        <v>283</v>
      </c>
    </row>
    <row r="15" spans="1:49" ht="31.5" customHeight="1" x14ac:dyDescent="0.2">
      <c r="A15" s="78" t="s">
        <v>284</v>
      </c>
      <c r="B15" s="79" t="s">
        <v>285</v>
      </c>
      <c r="C15" s="7"/>
      <c r="D15" s="7"/>
      <c r="E15" s="7"/>
      <c r="F15" s="7"/>
      <c r="G15" s="80">
        <v>1489556</v>
      </c>
      <c r="H15" s="80">
        <v>1372380</v>
      </c>
      <c r="I15" s="80">
        <v>6973738</v>
      </c>
      <c r="J15" s="80">
        <v>24234942</v>
      </c>
      <c r="K15" s="80">
        <v>19360068</v>
      </c>
      <c r="L15" s="97">
        <f t="shared" ref="L15:L17" si="13">SUM(G15:K15)</f>
        <v>53430684</v>
      </c>
      <c r="M15" s="82">
        <f t="shared" si="0"/>
        <v>3.1457774527830322E-2</v>
      </c>
      <c r="N15" s="80">
        <f>590700+1230800</f>
        <v>1821500</v>
      </c>
      <c r="O15" s="80">
        <f>911710+901882</f>
        <v>1813592</v>
      </c>
      <c r="P15" s="80">
        <f>3522540+5468909</f>
        <v>8991449</v>
      </c>
      <c r="Q15" s="80">
        <f>9505000+14000000</f>
        <v>23505000</v>
      </c>
      <c r="R15" s="80">
        <f>15791494</f>
        <v>15791494</v>
      </c>
      <c r="S15" s="81">
        <f t="shared" si="10"/>
        <v>51923035</v>
      </c>
      <c r="T15" s="82">
        <f t="shared" si="1"/>
        <v>2.9166489933798577E-2</v>
      </c>
      <c r="U15" s="83">
        <f>687243+1324894</f>
        <v>2012137</v>
      </c>
      <c r="V15" s="83">
        <f>2793571+1785998</f>
        <v>4579569</v>
      </c>
      <c r="W15" s="83">
        <f>2586264+3359055</f>
        <v>5945319</v>
      </c>
      <c r="X15" s="83">
        <f>25449475+16000000</f>
        <v>41449475</v>
      </c>
      <c r="Y15" s="83">
        <f>12214429</f>
        <v>12214429</v>
      </c>
      <c r="Z15" s="84">
        <f>U15+V15+W15+X15+Y15</f>
        <v>66200929</v>
      </c>
      <c r="AA15" s="85">
        <f t="shared" si="2"/>
        <v>3.2647413502500819E-2</v>
      </c>
      <c r="AB15" s="64">
        <v>2091048</v>
      </c>
      <c r="AC15" s="83">
        <v>4295138</v>
      </c>
      <c r="AD15" s="83">
        <v>6621750</v>
      </c>
      <c r="AE15" s="83">
        <v>54889111</v>
      </c>
      <c r="AF15" s="83">
        <f>1967871+11712748</f>
        <v>13680619</v>
      </c>
      <c r="AG15" s="84">
        <f t="shared" si="7"/>
        <v>81577666</v>
      </c>
      <c r="AH15" s="85">
        <f t="shared" si="3"/>
        <v>4.8379711644731024E-2</v>
      </c>
      <c r="AI15" s="83">
        <f>[3]Feuil1!$AM$95+[3]Feuil1!$AM$119</f>
        <v>2091048</v>
      </c>
      <c r="AJ15" s="83">
        <f>[2]Feuil1!$AW$95+[2]Feuil1!$AW$119</f>
        <v>6327569</v>
      </c>
      <c r="AK15" s="83">
        <f>[2]Feuil1!$AO$95+[2]Feuil1!$AO$119</f>
        <v>3776055</v>
      </c>
      <c r="AL15" s="83">
        <f>[2]Feuil1!$AQ$95+[2]Feuil1!$AQ$119</f>
        <v>26200000</v>
      </c>
      <c r="AM15" s="83">
        <f>[2]Feuil1!$AR$95+[2]Feuil1!$AS$95+[2]Feuil1!$AR$119+[2]Feuil1!$AS$119</f>
        <v>10500000</v>
      </c>
      <c r="AN15" s="84">
        <f t="shared" si="11"/>
        <v>48894672</v>
      </c>
      <c r="AO15" s="85">
        <f t="shared" si="4"/>
        <v>2.8992554388140686E-2</v>
      </c>
      <c r="AP15" s="83">
        <v>2091048</v>
      </c>
      <c r="AQ15" s="83">
        <f>[2]Feuil1!$AW$119+[2]Feuil1!$AW$95</f>
        <v>6327569</v>
      </c>
      <c r="AR15" s="83">
        <f>[2]Feuil1!$AX$95+[2]Feuil1!$AX$119</f>
        <v>3776055</v>
      </c>
      <c r="AS15" s="83">
        <f>[2]Feuil1!$AZ$119+[2]Feuil1!$AZ$95</f>
        <v>26200000</v>
      </c>
      <c r="AT15" s="83">
        <f>[2]Feuil1!$BA$95+[2]Feuil1!$BB$95+[2]Feuil1!$BA$119+[2]Feuil1!$BB$119</f>
        <v>10500000</v>
      </c>
      <c r="AU15" s="84">
        <f t="shared" si="9"/>
        <v>48894672</v>
      </c>
      <c r="AV15" s="85">
        <f t="shared" si="5"/>
        <v>2.8992554388140686E-2</v>
      </c>
      <c r="AW15" s="89" t="s">
        <v>286</v>
      </c>
    </row>
    <row r="16" spans="1:49" ht="35.25" customHeight="1" x14ac:dyDescent="0.2">
      <c r="A16" s="78" t="s">
        <v>287</v>
      </c>
      <c r="B16" s="79" t="s">
        <v>288</v>
      </c>
      <c r="C16" s="7"/>
      <c r="D16" s="7"/>
      <c r="E16" s="7"/>
      <c r="F16" s="7"/>
      <c r="G16" s="80">
        <v>168158737</v>
      </c>
      <c r="H16" s="80">
        <v>9476721</v>
      </c>
      <c r="I16" s="80">
        <v>48240366</v>
      </c>
      <c r="J16" s="80">
        <v>12500000</v>
      </c>
      <c r="K16" s="80">
        <v>14822311</v>
      </c>
      <c r="L16" s="98">
        <f t="shared" si="13"/>
        <v>253198135</v>
      </c>
      <c r="M16" s="82">
        <f t="shared" si="0"/>
        <v>0.14907257862723869</v>
      </c>
      <c r="N16" s="80">
        <f>28031000+86448800+64033100</f>
        <v>178512900</v>
      </c>
      <c r="O16" s="80">
        <f>890425+10989602+17740684</f>
        <v>29620711</v>
      </c>
      <c r="P16" s="80">
        <f>14764642+16122086+8650027</f>
        <v>39536755</v>
      </c>
      <c r="Q16" s="80">
        <f>3490000+3745000</f>
        <v>7235000</v>
      </c>
      <c r="R16" s="80">
        <f>1750000+5115357+3000000</f>
        <v>9865357</v>
      </c>
      <c r="S16" s="81">
        <f t="shared" si="10"/>
        <v>264770723</v>
      </c>
      <c r="T16" s="82">
        <f t="shared" si="1"/>
        <v>0.14872845216278424</v>
      </c>
      <c r="U16" s="83">
        <v>180897291</v>
      </c>
      <c r="V16" s="83">
        <v>41923925</v>
      </c>
      <c r="W16" s="83">
        <v>40151421</v>
      </c>
      <c r="X16" s="83">
        <v>29581426</v>
      </c>
      <c r="Y16" s="18">
        <f>5732502+2921850+8072847+3960000</f>
        <v>20687199</v>
      </c>
      <c r="Z16" s="84">
        <f>U16+V16+W16+X16+Y16</f>
        <v>313241262</v>
      </c>
      <c r="AA16" s="85"/>
      <c r="AB16" s="64">
        <v>189195803</v>
      </c>
      <c r="AC16" s="83">
        <v>42598225</v>
      </c>
      <c r="AD16" s="83">
        <v>48300331</v>
      </c>
      <c r="AE16" s="83">
        <v>36287561</v>
      </c>
      <c r="AF16" s="83">
        <f>4345615+36625987</f>
        <v>40971602</v>
      </c>
      <c r="AG16" s="84">
        <f t="shared" si="7"/>
        <v>357353522</v>
      </c>
      <c r="AH16" s="85">
        <f t="shared" si="3"/>
        <v>0.21192884274954671</v>
      </c>
      <c r="AI16" s="83">
        <f>[3]Feuil1!$AM$52+[3]Feuil1!$AM$57+[3]Feuil1!$AM$62+0</f>
        <v>189195802</v>
      </c>
      <c r="AJ16" s="83">
        <f>[2]Feuil1!$AW$52+[2]Feuil1!$AW$57+[2]Feuil1!$AW$62</f>
        <v>37201756</v>
      </c>
      <c r="AK16" s="83">
        <f>[2]Feuil1!$AO$52+[2]Feuil1!$AO$57+[2]Feuil1!$AO$62</f>
        <v>43603283</v>
      </c>
      <c r="AL16" s="83">
        <f>[2]Feuil1!$AQ$52+[2]Feuil1!$AQ$57+[2]Feuil1!$AQ$62+3000000</f>
        <v>31632907</v>
      </c>
      <c r="AM16" s="83">
        <v>15106976</v>
      </c>
      <c r="AN16" s="84">
        <f t="shared" si="11"/>
        <v>316740724</v>
      </c>
      <c r="AO16" s="85">
        <f t="shared" si="4"/>
        <v>0.18781438328309183</v>
      </c>
      <c r="AP16" s="83">
        <v>189195802</v>
      </c>
      <c r="AQ16" s="83">
        <f>[2]Feuil1!$AW$62+[2]Feuil1!$AW$57+[2]Feuil1!$AX$52</f>
        <v>54920588</v>
      </c>
      <c r="AR16" s="83">
        <f>[2]Feuil1!$AX$52+[2]Feuil1!$AX$57+[2]Feuil1!$AX$62</f>
        <v>42796750</v>
      </c>
      <c r="AS16" s="83">
        <f>[2]Feuil1!$AZ$52+[2]Feuil1!$AZ$57+[2]Feuil1!$AZ$62</f>
        <v>28385230</v>
      </c>
      <c r="AT16" s="83">
        <f>[2]Feuil1!$BA$52+[2]Feuil1!$BB$52+[2]Feuil1!$BA$57+[2]Feuil1!$BB$57+[2]Feuil1!$BA$62+[2]Feuil1!$BB$62+2850000</f>
        <v>18095296</v>
      </c>
      <c r="AU16" s="84">
        <f t="shared" si="9"/>
        <v>333393666</v>
      </c>
      <c r="AV16" s="85">
        <f t="shared" si="5"/>
        <v>0.19768890144444798</v>
      </c>
      <c r="AW16" s="89" t="s">
        <v>289</v>
      </c>
    </row>
    <row r="17" spans="1:49" ht="27" customHeight="1" x14ac:dyDescent="0.2">
      <c r="A17" s="78" t="s">
        <v>290</v>
      </c>
      <c r="B17" s="79" t="s">
        <v>291</v>
      </c>
      <c r="C17" s="7"/>
      <c r="D17" s="7"/>
      <c r="E17" s="7"/>
      <c r="F17" s="7"/>
      <c r="G17" s="80">
        <v>1453132</v>
      </c>
      <c r="H17" s="80">
        <v>1937881</v>
      </c>
      <c r="I17" s="80">
        <v>87932000</v>
      </c>
      <c r="J17" s="80">
        <v>300000</v>
      </c>
      <c r="K17" s="80">
        <v>0</v>
      </c>
      <c r="L17" s="98">
        <f t="shared" si="13"/>
        <v>91623013</v>
      </c>
      <c r="M17" s="82">
        <f t="shared" si="0"/>
        <v>5.394383655119344E-2</v>
      </c>
      <c r="N17" s="80">
        <f>698900+150000</f>
        <v>848900</v>
      </c>
      <c r="O17" s="80">
        <f>1257988+850000</f>
        <v>2107988</v>
      </c>
      <c r="P17" s="80">
        <f>2577785+88000000</f>
        <v>90577785</v>
      </c>
      <c r="Q17" s="80">
        <f>1200000+0</f>
        <v>1200000</v>
      </c>
      <c r="R17" s="6">
        <v>0</v>
      </c>
      <c r="S17" s="81">
        <f t="shared" si="10"/>
        <v>94734673</v>
      </c>
      <c r="T17" s="82">
        <f t="shared" si="1"/>
        <v>5.3214876334486225E-2</v>
      </c>
      <c r="U17" s="83">
        <v>1817209</v>
      </c>
      <c r="V17" s="83">
        <v>3811408</v>
      </c>
      <c r="W17" s="83">
        <f>1993720+96000000</f>
        <v>97993720</v>
      </c>
      <c r="X17" s="83">
        <v>1000000</v>
      </c>
      <c r="Y17" s="83">
        <v>0</v>
      </c>
      <c r="Z17" s="84">
        <f>U17+V17+W17+X17</f>
        <v>104622337</v>
      </c>
      <c r="AA17" s="85">
        <f>Z17/$AG$19</f>
        <v>5.1595177729862239E-2</v>
      </c>
      <c r="AB17" s="83">
        <v>2064117</v>
      </c>
      <c r="AC17" s="83">
        <v>6811408</v>
      </c>
      <c r="AD17" s="83">
        <v>99993720</v>
      </c>
      <c r="AE17" s="83">
        <f>[1]Feuil1!$AQ$105+'[5]TMC Prog-Eco'!$G$113</f>
        <v>1000000</v>
      </c>
      <c r="AF17" s="83">
        <v>5391886</v>
      </c>
      <c r="AG17" s="84">
        <f t="shared" si="7"/>
        <v>115261131</v>
      </c>
      <c r="AH17" s="85">
        <f t="shared" si="3"/>
        <v>6.835572228341967E-2</v>
      </c>
      <c r="AI17" s="83">
        <f>[3]Feuil1!$AM$106+150000</f>
        <v>2064117</v>
      </c>
      <c r="AJ17" s="83">
        <f>[2]Feuil1!$AW$106</f>
        <v>1550073</v>
      </c>
      <c r="AK17" s="83">
        <f>[2]Feuil1!$AO$106+98000000</f>
        <v>100671335</v>
      </c>
      <c r="AL17" s="83">
        <f>[2]Feuil1!$AQ$106</f>
        <v>1000000</v>
      </c>
      <c r="AM17" s="83">
        <f>[2]Feuil1!$AR$106+[2]Feuil1!$AS$106</f>
        <v>200000</v>
      </c>
      <c r="AN17" s="84">
        <f t="shared" si="11"/>
        <v>105485525</v>
      </c>
      <c r="AO17" s="85">
        <f t="shared" si="4"/>
        <v>6.2548631489420234E-2</v>
      </c>
      <c r="AP17" s="83">
        <v>2064117</v>
      </c>
      <c r="AQ17" s="83">
        <f>[2]Feuil1!$AW$106</f>
        <v>1550073</v>
      </c>
      <c r="AR17" s="83">
        <f>[2]Feuil1!$AX$106+98000000</f>
        <v>100671335</v>
      </c>
      <c r="AS17" s="83">
        <f>[2]Feuil1!$AZ$106</f>
        <v>1000000</v>
      </c>
      <c r="AT17" s="83">
        <f>[2]Feuil1!$BA$106+[2]Feuil1!$BB$106</f>
        <v>200000</v>
      </c>
      <c r="AU17" s="84">
        <f t="shared" si="9"/>
        <v>105485525</v>
      </c>
      <c r="AV17" s="85">
        <f t="shared" si="5"/>
        <v>6.2548631489420234E-2</v>
      </c>
      <c r="AW17" s="89" t="s">
        <v>292</v>
      </c>
    </row>
    <row r="18" spans="1:49" ht="10.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</row>
    <row r="19" spans="1:49" s="104" customFormat="1" ht="36.75" customHeight="1" x14ac:dyDescent="0.2">
      <c r="A19" s="123" t="s">
        <v>293</v>
      </c>
      <c r="B19" s="123"/>
      <c r="C19" s="100"/>
      <c r="D19" s="100"/>
      <c r="E19" s="100"/>
      <c r="F19" s="100"/>
      <c r="G19" s="101">
        <f t="shared" ref="G19:L19" si="14">SUM(G8:G17)</f>
        <v>374900000</v>
      </c>
      <c r="H19" s="101">
        <f t="shared" si="14"/>
        <v>95722000</v>
      </c>
      <c r="I19" s="101">
        <f t="shared" si="14"/>
        <v>290719000</v>
      </c>
      <c r="J19" s="101">
        <f t="shared" si="14"/>
        <v>210800000</v>
      </c>
      <c r="K19" s="101">
        <f t="shared" si="14"/>
        <v>247000000</v>
      </c>
      <c r="L19" s="101">
        <f t="shared" si="14"/>
        <v>1373041000</v>
      </c>
      <c r="M19" s="101"/>
      <c r="N19" s="101">
        <f t="shared" ref="N19:S19" si="15">SUM(N8:N17)</f>
        <v>393950000</v>
      </c>
      <c r="O19" s="101">
        <f t="shared" si="15"/>
        <v>188830000</v>
      </c>
      <c r="P19" s="101">
        <f t="shared" si="15"/>
        <v>354644000</v>
      </c>
      <c r="Q19" s="101">
        <f t="shared" si="15"/>
        <v>324806000</v>
      </c>
      <c r="R19" s="101">
        <f t="shared" si="15"/>
        <v>246959000</v>
      </c>
      <c r="S19" s="101">
        <f t="shared" si="15"/>
        <v>1698489000</v>
      </c>
      <c r="T19" s="101"/>
      <c r="U19" s="101">
        <f t="shared" ref="U19:Z19" si="16">SUM(U8:U17)</f>
        <v>410927000</v>
      </c>
      <c r="V19" s="101">
        <f t="shared" si="16"/>
        <v>169300000</v>
      </c>
      <c r="W19" s="101">
        <f t="shared" si="16"/>
        <v>367400000</v>
      </c>
      <c r="X19" s="101">
        <f t="shared" si="16"/>
        <v>378802128</v>
      </c>
      <c r="Y19" s="101">
        <f t="shared" si="16"/>
        <v>225000000</v>
      </c>
      <c r="Z19" s="101">
        <f t="shared" si="16"/>
        <v>1780229130</v>
      </c>
      <c r="AA19" s="101"/>
      <c r="AB19" s="102">
        <f t="shared" ref="AB19:AG19" si="17">SUM(AB8:AB17)</f>
        <v>426100000</v>
      </c>
      <c r="AC19" s="102">
        <f t="shared" si="17"/>
        <v>189145000</v>
      </c>
      <c r="AD19" s="102">
        <f t="shared" si="17"/>
        <v>380883000</v>
      </c>
      <c r="AE19" s="102">
        <f t="shared" si="17"/>
        <v>520500000</v>
      </c>
      <c r="AF19" s="102">
        <f t="shared" si="17"/>
        <v>306195960</v>
      </c>
      <c r="AG19" s="101">
        <f t="shared" si="17"/>
        <v>2027754174</v>
      </c>
      <c r="AH19" s="101"/>
      <c r="AI19" s="102">
        <f t="shared" ref="AI19:AN19" si="18">SUM(AI8:AI17)</f>
        <v>408498887</v>
      </c>
      <c r="AJ19" s="102">
        <f t="shared" si="18"/>
        <v>171505088</v>
      </c>
      <c r="AK19" s="102">
        <f t="shared" si="18"/>
        <v>347008915</v>
      </c>
      <c r="AL19" s="102">
        <f t="shared" si="18"/>
        <v>358405919</v>
      </c>
      <c r="AM19" s="102">
        <f t="shared" si="18"/>
        <v>181443998</v>
      </c>
      <c r="AN19" s="102">
        <f t="shared" si="18"/>
        <v>1686195788</v>
      </c>
      <c r="AO19" s="102"/>
      <c r="AP19" s="102">
        <f t="shared" ref="AP19:AU19" si="19">SUM(AP8:AP17)</f>
        <v>408498888</v>
      </c>
      <c r="AQ19" s="102">
        <f t="shared" si="19"/>
        <v>174232588</v>
      </c>
      <c r="AR19" s="102">
        <f t="shared" si="19"/>
        <v>345266685</v>
      </c>
      <c r="AS19" s="102">
        <f t="shared" si="19"/>
        <v>357930285</v>
      </c>
      <c r="AT19" s="102">
        <f t="shared" si="19"/>
        <v>181194735</v>
      </c>
      <c r="AU19" s="102">
        <f t="shared" si="19"/>
        <v>1686456162</v>
      </c>
      <c r="AV19" s="102"/>
      <c r="AW19" s="103"/>
    </row>
    <row r="20" spans="1:49" ht="21" customHeight="1" x14ac:dyDescent="0.2">
      <c r="G20" s="62"/>
      <c r="H20" s="62"/>
      <c r="I20" s="62"/>
      <c r="J20" s="62"/>
      <c r="K20" s="62"/>
      <c r="N20" s="62"/>
      <c r="U20" s="62"/>
      <c r="V20" s="62"/>
      <c r="W20" s="62"/>
      <c r="X20" s="62"/>
      <c r="Y20" s="62"/>
      <c r="AP20" s="62"/>
    </row>
    <row r="21" spans="1:49" ht="21" customHeight="1" x14ac:dyDescent="0.2">
      <c r="H21" s="62"/>
      <c r="L21" s="74"/>
      <c r="N21" s="62"/>
      <c r="Q21" s="62"/>
      <c r="R21" s="62"/>
      <c r="S21" s="62"/>
      <c r="U21" s="62"/>
      <c r="AB21" s="62"/>
      <c r="AF21" s="62"/>
      <c r="AG21" s="74"/>
      <c r="AP21" s="62"/>
      <c r="AQ21" s="62"/>
      <c r="AR21" s="62"/>
      <c r="AS21" s="62"/>
      <c r="AT21" s="62"/>
    </row>
    <row r="22" spans="1:49" ht="21" customHeight="1" x14ac:dyDescent="0.2">
      <c r="G22" s="62"/>
      <c r="L22" s="62"/>
      <c r="U22" s="62"/>
      <c r="AB22" s="62"/>
      <c r="AC22" s="62"/>
      <c r="AD22" s="62"/>
      <c r="AE22" s="62"/>
      <c r="AF22" s="62"/>
      <c r="AG22" s="74"/>
      <c r="AH22" s="74"/>
      <c r="AI22" s="62"/>
      <c r="AK22" s="62"/>
      <c r="AL22" s="62"/>
      <c r="AM22" s="62"/>
      <c r="AO22" s="74"/>
      <c r="AU22" s="62"/>
    </row>
    <row r="23" spans="1:49" ht="21" customHeight="1" x14ac:dyDescent="0.2">
      <c r="V23" s="62"/>
      <c r="W23" s="62"/>
      <c r="X23" s="62"/>
      <c r="Y23" s="62"/>
      <c r="AB23" s="62"/>
      <c r="AG23" s="62"/>
      <c r="AK23" s="62"/>
      <c r="AO23" s="74"/>
      <c r="AR23" s="62"/>
      <c r="AT23" s="62"/>
    </row>
    <row r="24" spans="1:49" ht="21" customHeight="1" x14ac:dyDescent="0.2">
      <c r="U24" s="62"/>
      <c r="AI24" s="62"/>
      <c r="AJ24" s="62"/>
      <c r="AM24" s="62"/>
      <c r="AN24" s="62"/>
      <c r="AR24" s="62"/>
      <c r="AS24" s="62"/>
    </row>
    <row r="25" spans="1:49" ht="21" customHeight="1" x14ac:dyDescent="0.2">
      <c r="AC25" s="74"/>
      <c r="AE25" s="74"/>
      <c r="AF25" s="62"/>
      <c r="AG25" s="62"/>
      <c r="AQ25" s="62"/>
    </row>
    <row r="26" spans="1:49" ht="21" customHeight="1" x14ac:dyDescent="0.2">
      <c r="I26" s="62"/>
      <c r="AM26" s="62"/>
    </row>
    <row r="27" spans="1:49" ht="21" customHeight="1" x14ac:dyDescent="0.2">
      <c r="L27" s="62"/>
      <c r="AJ27" s="62"/>
      <c r="AK27" s="62"/>
      <c r="AL27" s="62"/>
      <c r="AO27" s="62"/>
      <c r="AQ27" s="62"/>
      <c r="AR27" s="62"/>
    </row>
    <row r="28" spans="1:49" ht="21" customHeight="1" x14ac:dyDescent="0.2">
      <c r="AO28" s="62"/>
      <c r="AS28" s="62"/>
    </row>
    <row r="29" spans="1:49" ht="21" customHeight="1" x14ac:dyDescent="0.2">
      <c r="U29" s="62"/>
      <c r="V29" s="62"/>
      <c r="AJ29" s="62"/>
    </row>
    <row r="30" spans="1:49" ht="21" customHeight="1" x14ac:dyDescent="0.2">
      <c r="AC30" s="62"/>
      <c r="AD30" s="62"/>
      <c r="AE30" s="62"/>
      <c r="AF30" s="62"/>
    </row>
    <row r="31" spans="1:49" ht="21" customHeight="1" x14ac:dyDescent="0.2">
      <c r="AJ31" s="62"/>
    </row>
    <row r="33" spans="21:44" ht="21" customHeight="1" x14ac:dyDescent="0.2">
      <c r="AF33" s="62"/>
      <c r="AJ33" s="62">
        <v>0</v>
      </c>
    </row>
    <row r="36" spans="21:44" ht="21" customHeight="1" x14ac:dyDescent="0.2">
      <c r="AR36" s="62"/>
    </row>
    <row r="37" spans="21:44" ht="21" customHeight="1" x14ac:dyDescent="0.2">
      <c r="AJ37" s="62">
        <f>AJ80</f>
        <v>0</v>
      </c>
    </row>
    <row r="41" spans="21:44" ht="21" customHeight="1" x14ac:dyDescent="0.2">
      <c r="U41" s="18">
        <f>SUM(U22:U40)</f>
        <v>0</v>
      </c>
    </row>
  </sheetData>
  <mergeCells count="35">
    <mergeCell ref="A1:B1"/>
    <mergeCell ref="G4:M5"/>
    <mergeCell ref="N4:T5"/>
    <mergeCell ref="U4:AA5"/>
    <mergeCell ref="AB4:AH5"/>
    <mergeCell ref="AP4:AW5"/>
    <mergeCell ref="A6:A7"/>
    <mergeCell ref="B6:B7"/>
    <mergeCell ref="G6:I6"/>
    <mergeCell ref="J6:K6"/>
    <mergeCell ref="L6:L7"/>
    <mergeCell ref="M6:M7"/>
    <mergeCell ref="N6:P6"/>
    <mergeCell ref="Q6:R6"/>
    <mergeCell ref="S6:S7"/>
    <mergeCell ref="AI4:AO5"/>
    <mergeCell ref="AV6:AV7"/>
    <mergeCell ref="AW6:AW7"/>
    <mergeCell ref="AE6:AF6"/>
    <mergeCell ref="AG6:AG7"/>
    <mergeCell ref="AH6:AH7"/>
    <mergeCell ref="AI6:AK6"/>
    <mergeCell ref="AL6:AM6"/>
    <mergeCell ref="AN6:AN7"/>
    <mergeCell ref="A19:B19"/>
    <mergeCell ref="AO6:AO7"/>
    <mergeCell ref="AP6:AR6"/>
    <mergeCell ref="AS6:AT6"/>
    <mergeCell ref="AU6:AU7"/>
    <mergeCell ref="T6:T7"/>
    <mergeCell ref="U6:W6"/>
    <mergeCell ref="X6:Y6"/>
    <mergeCell ref="Z6:Z7"/>
    <mergeCell ref="AA6:AA7"/>
    <mergeCell ref="AB6:AD6"/>
  </mergeCells>
  <pageMargins left="0.70866141732283472" right="0.70866141732283472" top="0.74803149606299213" bottom="0.74803149606299213" header="0.31496062992125984" footer="0.31496062992125984"/>
  <pageSetup paperSize="9" scale="15" orientation="landscape" r:id="rId1"/>
  <headerFooter>
    <oddHeader>&amp;C&amp;"Arial,Gras"&amp;14TABLEAU MATRICIEL CROISE DE CLASSIFICATION FONCTIONNELLE ET ECONOMIQUE 
DU PROJET DE LOI DE FINANCES 2019 &amp;"-,Normal"&amp;11
&amp;"Arial,Italique"&amp;12(en milliers de FCFA)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1E3C370-DE25-4F9A-A8EE-43D293915AC3}"/>
</file>

<file path=customXml/itemProps2.xml><?xml version="1.0" encoding="utf-8"?>
<ds:datastoreItem xmlns:ds="http://schemas.openxmlformats.org/officeDocument/2006/customXml" ds:itemID="{63BE38A4-0443-46E7-AF90-E5373A4B7BA5}"/>
</file>

<file path=customXml/itemProps3.xml><?xml version="1.0" encoding="utf-8"?>
<ds:datastoreItem xmlns:ds="http://schemas.openxmlformats.org/officeDocument/2006/customXml" ds:itemID="{95DC67B7-33C6-4F32-BAB3-1C5AA8BBF4B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Classif Prog-Admin-Eco</vt:lpstr>
      <vt:lpstr>Classif Fonctionnelle</vt:lpstr>
      <vt:lpstr>'Classif Fonctionnelle'!Print_Titles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Microsoft Office User</cp:lastModifiedBy>
  <cp:lastPrinted>2020-12-10T20:18:08Z</cp:lastPrinted>
  <dcterms:created xsi:type="dcterms:W3CDTF">2018-12-01T18:50:14Z</dcterms:created>
  <dcterms:modified xsi:type="dcterms:W3CDTF">2022-07-25T03:18:43Z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