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Elaboration LF\Docs budgets\2023\"/>
    </mc:Choice>
  </mc:AlternateContent>
  <xr:revisionPtr revIDLastSave="0" documentId="8_{80FF4F13-7F4C-446A-ABD1-E5F70680AAFB}" xr6:coauthVersionLast="47" xr6:coauthVersionMax="47" xr10:uidLastSave="{00000000-0000-0000-0000-000000000000}"/>
  <bookViews>
    <workbookView xWindow="-120" yWindow="-120" windowWidth="29040" windowHeight="15840" tabRatio="610" xr2:uid="{00000000-000D-0000-FFFF-FFFF00000000}"/>
  </bookViews>
  <sheets>
    <sheet name="Classif Prog-Admin-Eco" sheetId="1" r:id="rId1"/>
    <sheet name="Classif Fonctionnelle" sheetId="4" r:id="rId2"/>
  </sheets>
  <externalReferences>
    <externalReference r:id="rId3"/>
    <externalReference r:id="rId4"/>
    <externalReference r:id="rId5"/>
  </externalReferences>
  <definedNames>
    <definedName name="_xlnm.Print_Titles" localSheetId="1">'Classif Fonctionnelle'!$7:$7</definedName>
  </definedNames>
  <calcPr calcId="191029"/>
</workbook>
</file>

<file path=xl/calcChain.xml><?xml version="1.0" encoding="utf-8"?>
<calcChain xmlns="http://schemas.openxmlformats.org/spreadsheetml/2006/main">
  <c r="AY141" i="1" l="1"/>
  <c r="BD141" i="1" s="1"/>
  <c r="AY142" i="1"/>
  <c r="BD142" i="1" s="1"/>
  <c r="AY143" i="1"/>
  <c r="AY144" i="1"/>
  <c r="AY145" i="1"/>
  <c r="AY146" i="1"/>
  <c r="AY134" i="1"/>
  <c r="AY135" i="1"/>
  <c r="AY136" i="1"/>
  <c r="AY137" i="1"/>
  <c r="AY138" i="1"/>
  <c r="AY139" i="1"/>
  <c r="AY140" i="1"/>
  <c r="AW132" i="1"/>
  <c r="AX132" i="1"/>
  <c r="AZ132" i="1"/>
  <c r="BA132" i="1"/>
  <c r="BB132" i="1"/>
  <c r="AW124" i="1"/>
  <c r="AX124" i="1"/>
  <c r="AZ124" i="1"/>
  <c r="BA124" i="1"/>
  <c r="BB124" i="1"/>
  <c r="AW120" i="1"/>
  <c r="AX120" i="1"/>
  <c r="AZ120" i="1"/>
  <c r="BA120" i="1"/>
  <c r="BB120" i="1"/>
  <c r="AW115" i="1"/>
  <c r="AX115" i="1"/>
  <c r="AZ115" i="1"/>
  <c r="BA115" i="1"/>
  <c r="BB115" i="1"/>
  <c r="AW111" i="1"/>
  <c r="AX111" i="1"/>
  <c r="AZ111" i="1"/>
  <c r="BA111" i="1"/>
  <c r="BB111" i="1"/>
  <c r="AW105" i="1"/>
  <c r="AX105" i="1"/>
  <c r="AZ105" i="1"/>
  <c r="BA105" i="1"/>
  <c r="BB105" i="1"/>
  <c r="AW99" i="1"/>
  <c r="AX99" i="1"/>
  <c r="AZ99" i="1"/>
  <c r="BA99" i="1"/>
  <c r="BB99" i="1"/>
  <c r="BA93" i="1"/>
  <c r="BB93" i="1"/>
  <c r="AW93" i="1"/>
  <c r="AX93" i="1"/>
  <c r="AZ93" i="1"/>
  <c r="AZ90" i="1"/>
  <c r="BA90" i="1"/>
  <c r="BB90" i="1"/>
  <c r="AW90" i="1"/>
  <c r="AX90" i="1"/>
  <c r="AZ85" i="1"/>
  <c r="BA85" i="1"/>
  <c r="BB85" i="1"/>
  <c r="AW85" i="1"/>
  <c r="AX85" i="1"/>
  <c r="BB79" i="1"/>
  <c r="AZ79" i="1"/>
  <c r="BA79" i="1"/>
  <c r="AW79" i="1"/>
  <c r="AX79" i="1"/>
  <c r="AZ70" i="1"/>
  <c r="BA70" i="1"/>
  <c r="BB70" i="1"/>
  <c r="AX70" i="1"/>
  <c r="AW70" i="1"/>
  <c r="AW65" i="1"/>
  <c r="AX65" i="1"/>
  <c r="AZ65" i="1"/>
  <c r="BA65" i="1"/>
  <c r="BB65" i="1"/>
  <c r="AW60" i="1"/>
  <c r="AX60" i="1"/>
  <c r="AZ60" i="1"/>
  <c r="BA60" i="1"/>
  <c r="BB60" i="1"/>
  <c r="AW55" i="1"/>
  <c r="AX55" i="1"/>
  <c r="AZ55" i="1"/>
  <c r="BA55" i="1"/>
  <c r="BB55" i="1"/>
  <c r="AW51" i="1"/>
  <c r="AX51" i="1"/>
  <c r="AZ51" i="1"/>
  <c r="BA51" i="1"/>
  <c r="BB51" i="1"/>
  <c r="AW47" i="1"/>
  <c r="AX47" i="1"/>
  <c r="AZ47" i="1"/>
  <c r="BA47" i="1"/>
  <c r="BB47" i="1"/>
  <c r="AW42" i="1"/>
  <c r="AX42" i="1"/>
  <c r="AZ42" i="1"/>
  <c r="BA42" i="1"/>
  <c r="BB42" i="1"/>
  <c r="AW37" i="1"/>
  <c r="AX37" i="1"/>
  <c r="AZ37" i="1"/>
  <c r="BA37" i="1"/>
  <c r="BB37" i="1"/>
  <c r="AW31" i="1"/>
  <c r="AX31" i="1"/>
  <c r="AZ31" i="1"/>
  <c r="BA31" i="1"/>
  <c r="BB31" i="1"/>
  <c r="AW22" i="1"/>
  <c r="AX22" i="1"/>
  <c r="AZ22" i="1"/>
  <c r="BA22" i="1"/>
  <c r="BB22" i="1"/>
  <c r="AW17" i="1"/>
  <c r="AX17" i="1"/>
  <c r="AZ17" i="1"/>
  <c r="BA17" i="1"/>
  <c r="BB17" i="1"/>
  <c r="AW11" i="1"/>
  <c r="AX11" i="1"/>
  <c r="AZ11" i="1"/>
  <c r="AZ130" i="1" s="1"/>
  <c r="BA11" i="1"/>
  <c r="BA130" i="1" s="1"/>
  <c r="BB11" i="1"/>
  <c r="BB130" i="1" s="1"/>
  <c r="AW7" i="1"/>
  <c r="AW130" i="1" s="1"/>
  <c r="AX7" i="1"/>
  <c r="AX130" i="1" s="1"/>
  <c r="AZ7" i="1"/>
  <c r="BA7" i="1"/>
  <c r="BB7" i="1"/>
  <c r="AP146" i="1"/>
  <c r="AP143" i="1"/>
  <c r="AP144" i="1"/>
  <c r="AP145" i="1"/>
  <c r="AP138" i="1"/>
  <c r="AP139" i="1"/>
  <c r="AP140" i="1"/>
  <c r="AP141" i="1"/>
  <c r="AP142" i="1"/>
  <c r="AP135" i="1"/>
  <c r="AP136" i="1"/>
  <c r="AP137" i="1"/>
  <c r="AP134" i="1"/>
  <c r="AS132" i="1"/>
  <c r="AR132" i="1"/>
  <c r="AQ132" i="1"/>
  <c r="AO132" i="1"/>
  <c r="AN132" i="1"/>
  <c r="AN124" i="1"/>
  <c r="AO124" i="1"/>
  <c r="AQ124" i="1"/>
  <c r="AR124" i="1"/>
  <c r="AS124" i="1"/>
  <c r="AN120" i="1"/>
  <c r="AO120" i="1"/>
  <c r="AQ120" i="1"/>
  <c r="AR120" i="1"/>
  <c r="AS120" i="1"/>
  <c r="AN115" i="1"/>
  <c r="AO115" i="1"/>
  <c r="AQ115" i="1"/>
  <c r="AR115" i="1"/>
  <c r="AS115" i="1"/>
  <c r="AN111" i="1"/>
  <c r="AO111" i="1"/>
  <c r="AQ111" i="1"/>
  <c r="AR111" i="1"/>
  <c r="AS111" i="1"/>
  <c r="AQ105" i="1"/>
  <c r="AR105" i="1"/>
  <c r="AS105" i="1"/>
  <c r="AN105" i="1"/>
  <c r="AO105" i="1"/>
  <c r="AR99" i="1"/>
  <c r="AS99" i="1"/>
  <c r="AQ99" i="1"/>
  <c r="AO99" i="1"/>
  <c r="AN99" i="1"/>
  <c r="AS93" i="1"/>
  <c r="AR93" i="1"/>
  <c r="AQ93" i="1"/>
  <c r="AO93" i="1"/>
  <c r="AN93" i="1"/>
  <c r="AS90" i="1"/>
  <c r="AR90" i="1"/>
  <c r="AQ90" i="1"/>
  <c r="AO90" i="1"/>
  <c r="AN90" i="1"/>
  <c r="AN85" i="1"/>
  <c r="AO85" i="1"/>
  <c r="AQ85" i="1"/>
  <c r="AR85" i="1"/>
  <c r="AS85" i="1"/>
  <c r="AS79" i="1"/>
  <c r="AR79" i="1"/>
  <c r="AQ79" i="1"/>
  <c r="AO79" i="1"/>
  <c r="AN79" i="1"/>
  <c r="AS70" i="1"/>
  <c r="AR70" i="1"/>
  <c r="AQ70" i="1"/>
  <c r="AO70" i="1"/>
  <c r="AN70" i="1"/>
  <c r="AS65" i="1"/>
  <c r="AR65" i="1"/>
  <c r="AQ65" i="1"/>
  <c r="AO65" i="1"/>
  <c r="AN65" i="1"/>
  <c r="AS60" i="1"/>
  <c r="AR60" i="1"/>
  <c r="AQ60" i="1"/>
  <c r="AO60" i="1"/>
  <c r="AN60" i="1"/>
  <c r="AS55" i="1"/>
  <c r="AR55" i="1"/>
  <c r="AQ55" i="1"/>
  <c r="AO55" i="1"/>
  <c r="AN55" i="1"/>
  <c r="AS51" i="1"/>
  <c r="AR51" i="1"/>
  <c r="AQ51" i="1"/>
  <c r="AO51" i="1"/>
  <c r="AN51" i="1"/>
  <c r="AS47" i="1"/>
  <c r="AR47" i="1"/>
  <c r="AQ47" i="1"/>
  <c r="AO47" i="1"/>
  <c r="AN47" i="1"/>
  <c r="AS42" i="1"/>
  <c r="AR42" i="1"/>
  <c r="AQ42" i="1"/>
  <c r="AO42" i="1"/>
  <c r="AN42" i="1"/>
  <c r="AS37" i="1"/>
  <c r="AR37" i="1"/>
  <c r="AQ37" i="1"/>
  <c r="AO37" i="1"/>
  <c r="AN37" i="1"/>
  <c r="AS31" i="1"/>
  <c r="AR31" i="1"/>
  <c r="AQ31" i="1"/>
  <c r="AO31" i="1"/>
  <c r="AN31" i="1"/>
  <c r="AS22" i="1"/>
  <c r="AR22" i="1"/>
  <c r="AQ22" i="1"/>
  <c r="AO22" i="1"/>
  <c r="AN22" i="1"/>
  <c r="AS17" i="1"/>
  <c r="AR17" i="1"/>
  <c r="AQ17" i="1"/>
  <c r="AO17" i="1"/>
  <c r="AN17" i="1"/>
  <c r="AS11" i="1"/>
  <c r="AR11" i="1"/>
  <c r="AQ11" i="1"/>
  <c r="AO11" i="1"/>
  <c r="AN11" i="1"/>
  <c r="AS7" i="1"/>
  <c r="AS130" i="1" s="1"/>
  <c r="AR7" i="1"/>
  <c r="AR130" i="1" s="1"/>
  <c r="AQ7" i="1"/>
  <c r="AQ130" i="1" s="1"/>
  <c r="AO7" i="1"/>
  <c r="AO130" i="1" s="1"/>
  <c r="AN7" i="1"/>
  <c r="AN130" i="1" s="1"/>
  <c r="AN150" i="1" l="1"/>
  <c r="AQ150" i="1"/>
  <c r="AS150" i="1"/>
  <c r="AR150" i="1"/>
  <c r="AO150" i="1"/>
  <c r="AG128" i="1" l="1"/>
  <c r="AL128" i="1" s="1"/>
  <c r="AF124" i="1"/>
  <c r="AK75" i="1"/>
  <c r="AH67" i="1"/>
  <c r="AG68" i="1"/>
  <c r="AG67" i="1"/>
  <c r="AG66" i="1"/>
  <c r="X148" i="1" l="1"/>
  <c r="U146" i="1"/>
  <c r="M132" i="1" l="1"/>
  <c r="N132" i="1"/>
  <c r="P132" i="1"/>
  <c r="Q132" i="1"/>
  <c r="R132" i="1"/>
  <c r="S148" i="1"/>
  <c r="S147" i="1"/>
  <c r="O147" i="1"/>
  <c r="S146" i="1"/>
  <c r="O146" i="1"/>
  <c r="S145" i="1"/>
  <c r="O145" i="1"/>
  <c r="S144" i="1"/>
  <c r="O144" i="1"/>
  <c r="S143" i="1"/>
  <c r="O143" i="1"/>
  <c r="S142" i="1"/>
  <c r="O142" i="1"/>
  <c r="S141" i="1"/>
  <c r="O141" i="1"/>
  <c r="S140" i="1"/>
  <c r="O140" i="1"/>
  <c r="S139" i="1"/>
  <c r="O139" i="1"/>
  <c r="S138" i="1"/>
  <c r="O138" i="1"/>
  <c r="S137" i="1"/>
  <c r="O137" i="1"/>
  <c r="S136" i="1"/>
  <c r="O136" i="1"/>
  <c r="S135" i="1"/>
  <c r="O135" i="1"/>
  <c r="S134" i="1"/>
  <c r="O134" i="1"/>
  <c r="S133" i="1"/>
  <c r="O133" i="1"/>
  <c r="L132" i="1"/>
  <c r="P115" i="1"/>
  <c r="M124" i="1"/>
  <c r="N124" i="1"/>
  <c r="P124" i="1"/>
  <c r="Q124" i="1"/>
  <c r="R124" i="1"/>
  <c r="L124" i="1"/>
  <c r="N120" i="1"/>
  <c r="P120" i="1"/>
  <c r="Q120" i="1"/>
  <c r="R120" i="1"/>
  <c r="M120" i="1"/>
  <c r="L120" i="1"/>
  <c r="M115" i="1"/>
  <c r="N115" i="1"/>
  <c r="Q115" i="1"/>
  <c r="R115" i="1"/>
  <c r="L115" i="1"/>
  <c r="T110" i="1"/>
  <c r="M111" i="1"/>
  <c r="N111" i="1"/>
  <c r="P111" i="1"/>
  <c r="Q111" i="1"/>
  <c r="R111" i="1"/>
  <c r="L111" i="1"/>
  <c r="S127" i="1"/>
  <c r="O127" i="1"/>
  <c r="S126" i="1"/>
  <c r="O126" i="1"/>
  <c r="S125" i="1"/>
  <c r="O125" i="1"/>
  <c r="S123" i="1"/>
  <c r="T123" i="1" s="1"/>
  <c r="O123" i="1"/>
  <c r="S122" i="1"/>
  <c r="O122" i="1"/>
  <c r="T122" i="1" s="1"/>
  <c r="S121" i="1"/>
  <c r="S120" i="1" s="1"/>
  <c r="O121" i="1"/>
  <c r="S119" i="1"/>
  <c r="O119" i="1"/>
  <c r="S118" i="1"/>
  <c r="O118" i="1"/>
  <c r="S117" i="1"/>
  <c r="O117" i="1"/>
  <c r="S116" i="1"/>
  <c r="O116" i="1"/>
  <c r="S114" i="1"/>
  <c r="T114" i="1" s="1"/>
  <c r="O114" i="1"/>
  <c r="S113" i="1"/>
  <c r="S111" i="1" s="1"/>
  <c r="O113" i="1"/>
  <c r="S112" i="1"/>
  <c r="O112" i="1"/>
  <c r="O111" i="1" s="1"/>
  <c r="M105" i="1"/>
  <c r="N105" i="1"/>
  <c r="P105" i="1"/>
  <c r="Q105" i="1"/>
  <c r="R105" i="1"/>
  <c r="L105" i="1"/>
  <c r="S109" i="1"/>
  <c r="O109" i="1"/>
  <c r="S108" i="1"/>
  <c r="O108" i="1"/>
  <c r="S107" i="1"/>
  <c r="O107" i="1"/>
  <c r="S106" i="1"/>
  <c r="O106" i="1"/>
  <c r="T103" i="1"/>
  <c r="T104" i="1"/>
  <c r="M99" i="1"/>
  <c r="N99" i="1"/>
  <c r="P99" i="1"/>
  <c r="Q99" i="1"/>
  <c r="R99" i="1"/>
  <c r="L99" i="1"/>
  <c r="M93" i="1"/>
  <c r="N93" i="1"/>
  <c r="P93" i="1"/>
  <c r="Q93" i="1"/>
  <c r="R93" i="1"/>
  <c r="L93" i="1"/>
  <c r="M90" i="1"/>
  <c r="N90" i="1"/>
  <c r="P90" i="1"/>
  <c r="Q90" i="1"/>
  <c r="R90" i="1"/>
  <c r="L90" i="1"/>
  <c r="M85" i="1"/>
  <c r="N85" i="1"/>
  <c r="P85" i="1"/>
  <c r="Q85" i="1"/>
  <c r="R85" i="1"/>
  <c r="L85" i="1"/>
  <c r="M79" i="1"/>
  <c r="N79" i="1"/>
  <c r="P79" i="1"/>
  <c r="Q79" i="1"/>
  <c r="R79" i="1"/>
  <c r="L79" i="1"/>
  <c r="M76" i="1"/>
  <c r="N76" i="1"/>
  <c r="P76" i="1"/>
  <c r="Q76" i="1"/>
  <c r="R76" i="1"/>
  <c r="L76" i="1"/>
  <c r="T74" i="1"/>
  <c r="M70" i="1"/>
  <c r="N70" i="1"/>
  <c r="P70" i="1"/>
  <c r="Q70" i="1"/>
  <c r="R70" i="1"/>
  <c r="L70" i="1"/>
  <c r="S102" i="1"/>
  <c r="O102" i="1"/>
  <c r="S101" i="1"/>
  <c r="O101" i="1"/>
  <c r="S100" i="1"/>
  <c r="O100" i="1"/>
  <c r="O99" i="1" s="1"/>
  <c r="S98" i="1"/>
  <c r="O98" i="1"/>
  <c r="S97" i="1"/>
  <c r="O97" i="1"/>
  <c r="T97" i="1" s="1"/>
  <c r="S96" i="1"/>
  <c r="T96" i="1" s="1"/>
  <c r="O96" i="1"/>
  <c r="S95" i="1"/>
  <c r="O95" i="1"/>
  <c r="S94" i="1"/>
  <c r="O94" i="1"/>
  <c r="S92" i="1"/>
  <c r="O92" i="1"/>
  <c r="S91" i="1"/>
  <c r="O91" i="1"/>
  <c r="S89" i="1"/>
  <c r="O89" i="1"/>
  <c r="S88" i="1"/>
  <c r="O88" i="1"/>
  <c r="S87" i="1"/>
  <c r="O87" i="1"/>
  <c r="T87" i="1" s="1"/>
  <c r="S86" i="1"/>
  <c r="T86" i="1" s="1"/>
  <c r="O86" i="1"/>
  <c r="S84" i="1"/>
  <c r="T84" i="1" s="1"/>
  <c r="O84" i="1"/>
  <c r="S83" i="1"/>
  <c r="O83" i="1"/>
  <c r="S82" i="1"/>
  <c r="O82" i="1"/>
  <c r="S81" i="1"/>
  <c r="O81" i="1"/>
  <c r="S80" i="1"/>
  <c r="O80" i="1"/>
  <c r="S78" i="1"/>
  <c r="O78" i="1"/>
  <c r="S77" i="1"/>
  <c r="O77" i="1"/>
  <c r="S75" i="1"/>
  <c r="O75" i="1"/>
  <c r="S73" i="1"/>
  <c r="O73" i="1"/>
  <c r="S72" i="1"/>
  <c r="O72" i="1"/>
  <c r="S71" i="1"/>
  <c r="O71" i="1"/>
  <c r="T69" i="1"/>
  <c r="M65" i="1"/>
  <c r="N65" i="1"/>
  <c r="P65" i="1"/>
  <c r="Q65" i="1"/>
  <c r="R65" i="1"/>
  <c r="L65" i="1"/>
  <c r="M60" i="1"/>
  <c r="N60" i="1"/>
  <c r="P60" i="1"/>
  <c r="Q60" i="1"/>
  <c r="R60" i="1"/>
  <c r="L60" i="1"/>
  <c r="M55" i="1"/>
  <c r="N55" i="1"/>
  <c r="P55" i="1"/>
  <c r="Q55" i="1"/>
  <c r="R55" i="1"/>
  <c r="L55" i="1"/>
  <c r="M51" i="1"/>
  <c r="N51" i="1"/>
  <c r="P51" i="1"/>
  <c r="Q51" i="1"/>
  <c r="R51" i="1"/>
  <c r="L51" i="1"/>
  <c r="S68" i="1"/>
  <c r="O68" i="1"/>
  <c r="S67" i="1"/>
  <c r="O67" i="1"/>
  <c r="S66" i="1"/>
  <c r="O66" i="1"/>
  <c r="S64" i="1"/>
  <c r="O64" i="1"/>
  <c r="S63" i="1"/>
  <c r="O63" i="1"/>
  <c r="S62" i="1"/>
  <c r="O62" i="1"/>
  <c r="S61" i="1"/>
  <c r="O61" i="1"/>
  <c r="T61" i="1" s="1"/>
  <c r="S59" i="1"/>
  <c r="O59" i="1"/>
  <c r="S58" i="1"/>
  <c r="O58" i="1"/>
  <c r="T58" i="1" s="1"/>
  <c r="S57" i="1"/>
  <c r="T57" i="1" s="1"/>
  <c r="O57" i="1"/>
  <c r="S56" i="1"/>
  <c r="O56" i="1"/>
  <c r="T56" i="1" s="1"/>
  <c r="S54" i="1"/>
  <c r="O54" i="1"/>
  <c r="S53" i="1"/>
  <c r="O53" i="1"/>
  <c r="S52" i="1"/>
  <c r="S51" i="1" s="1"/>
  <c r="O52" i="1"/>
  <c r="M47" i="1"/>
  <c r="N47" i="1"/>
  <c r="P47" i="1"/>
  <c r="Q47" i="1"/>
  <c r="R47" i="1"/>
  <c r="L47" i="1"/>
  <c r="T45" i="1"/>
  <c r="M42" i="1"/>
  <c r="N42" i="1"/>
  <c r="P42" i="1"/>
  <c r="Q42" i="1"/>
  <c r="R42" i="1"/>
  <c r="L42" i="1"/>
  <c r="S50" i="1"/>
  <c r="O50" i="1"/>
  <c r="T50" i="1" s="1"/>
  <c r="S49" i="1"/>
  <c r="O49" i="1"/>
  <c r="S48" i="1"/>
  <c r="O48" i="1"/>
  <c r="O47" i="1" s="1"/>
  <c r="S46" i="1"/>
  <c r="O46" i="1"/>
  <c r="S44" i="1"/>
  <c r="O44" i="1"/>
  <c r="S43" i="1"/>
  <c r="O43" i="1"/>
  <c r="M37" i="1"/>
  <c r="N37" i="1"/>
  <c r="P37" i="1"/>
  <c r="Q37" i="1"/>
  <c r="R37" i="1"/>
  <c r="L37" i="1"/>
  <c r="S41" i="1"/>
  <c r="O41" i="1"/>
  <c r="S40" i="1"/>
  <c r="O40" i="1"/>
  <c r="T40" i="1" s="1"/>
  <c r="S39" i="1"/>
  <c r="O39" i="1"/>
  <c r="S38" i="1"/>
  <c r="S37" i="1" s="1"/>
  <c r="O38" i="1"/>
  <c r="M31" i="1"/>
  <c r="N31" i="1"/>
  <c r="P31" i="1"/>
  <c r="Q31" i="1"/>
  <c r="R31" i="1"/>
  <c r="L31" i="1"/>
  <c r="S36" i="1"/>
  <c r="O36" i="1"/>
  <c r="T36" i="1" s="1"/>
  <c r="S35" i="1"/>
  <c r="O35" i="1"/>
  <c r="S34" i="1"/>
  <c r="O34" i="1"/>
  <c r="S33" i="1"/>
  <c r="O33" i="1"/>
  <c r="S32" i="1"/>
  <c r="O32" i="1"/>
  <c r="M22" i="1"/>
  <c r="N22" i="1"/>
  <c r="P22" i="1"/>
  <c r="S22" i="1" s="1"/>
  <c r="Q22" i="1"/>
  <c r="R22" i="1"/>
  <c r="L22" i="1"/>
  <c r="S27" i="1"/>
  <c r="O27" i="1"/>
  <c r="S26" i="1"/>
  <c r="T26" i="1" s="1"/>
  <c r="O26" i="1"/>
  <c r="S25" i="1"/>
  <c r="O25" i="1"/>
  <c r="S24" i="1"/>
  <c r="O24" i="1"/>
  <c r="S23" i="1"/>
  <c r="O23" i="1"/>
  <c r="S21" i="1"/>
  <c r="O21" i="1"/>
  <c r="S20" i="1"/>
  <c r="O20" i="1"/>
  <c r="S19" i="1"/>
  <c r="O19" i="1"/>
  <c r="S18" i="1"/>
  <c r="S17" i="1" s="1"/>
  <c r="O18" i="1"/>
  <c r="T18" i="1" s="1"/>
  <c r="R17" i="1"/>
  <c r="Q17" i="1"/>
  <c r="P17" i="1"/>
  <c r="N17" i="1"/>
  <c r="M17" i="1"/>
  <c r="L17" i="1"/>
  <c r="S16" i="1"/>
  <c r="O16" i="1"/>
  <c r="S15" i="1"/>
  <c r="O15" i="1"/>
  <c r="S14" i="1"/>
  <c r="O14" i="1"/>
  <c r="S13" i="1"/>
  <c r="O13" i="1"/>
  <c r="S12" i="1"/>
  <c r="S11" i="1" s="1"/>
  <c r="O12" i="1"/>
  <c r="R11" i="1"/>
  <c r="Q11" i="1"/>
  <c r="P11" i="1"/>
  <c r="N11" i="1"/>
  <c r="M11" i="1"/>
  <c r="L11" i="1"/>
  <c r="S10" i="1"/>
  <c r="O10" i="1"/>
  <c r="S9" i="1"/>
  <c r="O9" i="1"/>
  <c r="T9" i="1" s="1"/>
  <c r="S8" i="1"/>
  <c r="O8" i="1"/>
  <c r="R7" i="1"/>
  <c r="Q7" i="1"/>
  <c r="P7" i="1"/>
  <c r="N7" i="1"/>
  <c r="M7" i="1"/>
  <c r="L7" i="1"/>
  <c r="T68" i="1" l="1"/>
  <c r="T118" i="1"/>
  <c r="S47" i="1"/>
  <c r="T47" i="1" s="1"/>
  <c r="T35" i="1"/>
  <c r="T41" i="1"/>
  <c r="T49" i="1"/>
  <c r="T13" i="1"/>
  <c r="T53" i="1"/>
  <c r="T63" i="1"/>
  <c r="T100" i="1"/>
  <c r="T59" i="1"/>
  <c r="O90" i="1"/>
  <c r="S31" i="1"/>
  <c r="T20" i="1"/>
  <c r="T101" i="1"/>
  <c r="P130" i="1"/>
  <c r="S105" i="1"/>
  <c r="O65" i="1"/>
  <c r="T107" i="1"/>
  <c r="S93" i="1"/>
  <c r="T32" i="1"/>
  <c r="T38" i="1"/>
  <c r="T108" i="1"/>
  <c r="S70" i="1"/>
  <c r="T27" i="1"/>
  <c r="T51" i="1"/>
  <c r="L130" i="1"/>
  <c r="L150" i="1" s="1"/>
  <c r="Q130" i="1"/>
  <c r="T15" i="1"/>
  <c r="T34" i="1"/>
  <c r="T39" i="1"/>
  <c r="T44" i="1"/>
  <c r="S79" i="1"/>
  <c r="T89" i="1"/>
  <c r="T92" i="1"/>
  <c r="T95" i="1"/>
  <c r="T102" i="1"/>
  <c r="S99" i="1"/>
  <c r="O105" i="1"/>
  <c r="T105" i="1" s="1"/>
  <c r="T111" i="1"/>
  <c r="T119" i="1"/>
  <c r="T125" i="1"/>
  <c r="T127" i="1"/>
  <c r="M130" i="1"/>
  <c r="M150" i="1" s="1"/>
  <c r="O17" i="1"/>
  <c r="T17" i="1" s="1"/>
  <c r="T33" i="1"/>
  <c r="O42" i="1"/>
  <c r="S60" i="1"/>
  <c r="T60" i="1" s="1"/>
  <c r="S65" i="1"/>
  <c r="T65" i="1" s="1"/>
  <c r="O60" i="1"/>
  <c r="O85" i="1"/>
  <c r="O93" i="1"/>
  <c r="S124" i="1"/>
  <c r="T124" i="1" s="1"/>
  <c r="S7" i="1"/>
  <c r="O79" i="1"/>
  <c r="N130" i="1"/>
  <c r="N150" i="1" s="1"/>
  <c r="T8" i="1"/>
  <c r="T10" i="1"/>
  <c r="T12" i="1"/>
  <c r="T14" i="1"/>
  <c r="T16" i="1"/>
  <c r="T21" i="1"/>
  <c r="T23" i="1"/>
  <c r="T25" i="1"/>
  <c r="T46" i="1"/>
  <c r="T52" i="1"/>
  <c r="T54" i="1"/>
  <c r="T62" i="1"/>
  <c r="T64" i="1"/>
  <c r="T67" i="1"/>
  <c r="O51" i="1"/>
  <c r="T75" i="1"/>
  <c r="T81" i="1"/>
  <c r="T83" i="1"/>
  <c r="T88" i="1"/>
  <c r="T91" i="1"/>
  <c r="T93" i="1"/>
  <c r="T98" i="1"/>
  <c r="T106" i="1"/>
  <c r="T113" i="1"/>
  <c r="O115" i="1"/>
  <c r="T121" i="1"/>
  <c r="O124" i="1"/>
  <c r="T78" i="1"/>
  <c r="T24" i="1"/>
  <c r="T71" i="1"/>
  <c r="T73" i="1"/>
  <c r="T77" i="1"/>
  <c r="O70" i="1"/>
  <c r="T70" i="1" s="1"/>
  <c r="O76" i="1"/>
  <c r="T99" i="1"/>
  <c r="T19" i="1"/>
  <c r="O37" i="1"/>
  <c r="T37" i="1" s="1"/>
  <c r="T43" i="1"/>
  <c r="T82" i="1"/>
  <c r="T94" i="1"/>
  <c r="O7" i="1"/>
  <c r="O55" i="1"/>
  <c r="T72" i="1"/>
  <c r="T126" i="1"/>
  <c r="O22" i="1"/>
  <c r="T22" i="1" s="1"/>
  <c r="O31" i="1"/>
  <c r="T66" i="1"/>
  <c r="T80" i="1"/>
  <c r="S90" i="1"/>
  <c r="T112" i="1"/>
  <c r="O120" i="1"/>
  <c r="T120" i="1" s="1"/>
  <c r="T48" i="1"/>
  <c r="T116" i="1"/>
  <c r="O11" i="1"/>
  <c r="T11" i="1" s="1"/>
  <c r="S76" i="1"/>
  <c r="T109" i="1"/>
  <c r="S42" i="1"/>
  <c r="S55" i="1"/>
  <c r="S85" i="1"/>
  <c r="T85" i="1" s="1"/>
  <c r="P150" i="1"/>
  <c r="O132" i="1"/>
  <c r="S132" i="1"/>
  <c r="R130" i="1"/>
  <c r="R150" i="1" s="1"/>
  <c r="S115" i="1"/>
  <c r="T117" i="1"/>
  <c r="T90" i="1" l="1"/>
  <c r="T31" i="1"/>
  <c r="T42" i="1"/>
  <c r="T115" i="1"/>
  <c r="T79" i="1"/>
  <c r="T76" i="1"/>
  <c r="S130" i="1"/>
  <c r="S150" i="1" s="1"/>
  <c r="T55" i="1"/>
  <c r="T7" i="1"/>
  <c r="O130" i="1"/>
  <c r="O150" i="1" s="1"/>
  <c r="AT12" i="4"/>
  <c r="AT13" i="4"/>
  <c r="AS12" i="4"/>
  <c r="AR12" i="4"/>
  <c r="AQ12" i="4"/>
  <c r="AP12" i="4"/>
  <c r="AM12" i="4"/>
  <c r="AK12" i="4"/>
  <c r="AR13" i="4"/>
  <c r="AR17" i="4"/>
  <c r="AR9" i="4"/>
  <c r="AR15" i="4"/>
  <c r="AR14" i="4"/>
  <c r="AJ17" i="4"/>
  <c r="AM22" i="1"/>
  <c r="AJ13" i="4"/>
  <c r="AJ12" i="4"/>
  <c r="AJ9" i="4" l="1"/>
  <c r="AR8" i="4"/>
  <c r="AR16" i="4"/>
  <c r="AR10" i="4"/>
  <c r="AU12" i="4"/>
  <c r="AJ15" i="4"/>
  <c r="AL12" i="4"/>
  <c r="AI12" i="4"/>
  <c r="AK16" i="4"/>
  <c r="AK14" i="4"/>
  <c r="AF12" i="4"/>
  <c r="AE12" i="4"/>
  <c r="AD12" i="4"/>
  <c r="AC12" i="4"/>
  <c r="AB12" i="4"/>
  <c r="X17" i="4"/>
  <c r="Z17" i="4" s="1"/>
  <c r="Y16" i="4"/>
  <c r="Z16" i="4" s="1"/>
  <c r="Z15" i="4"/>
  <c r="Y15" i="4"/>
  <c r="Y14" i="4"/>
  <c r="Z14" i="4" s="1"/>
  <c r="Y13" i="4"/>
  <c r="Z13" i="4" s="1"/>
  <c r="Y12" i="4"/>
  <c r="Z12" i="4" s="1"/>
  <c r="Y11" i="4"/>
  <c r="Z11" i="4" s="1"/>
  <c r="Y10" i="4"/>
  <c r="Z10" i="4" s="1"/>
  <c r="Y9" i="4"/>
  <c r="Z9" i="4" s="1"/>
  <c r="Y8" i="4"/>
  <c r="Z8" i="4" s="1"/>
  <c r="P17" i="4"/>
  <c r="S17" i="4" s="1"/>
  <c r="R16" i="4"/>
  <c r="S16" i="4" s="1"/>
  <c r="R15" i="4"/>
  <c r="Q15" i="4"/>
  <c r="P15" i="4"/>
  <c r="O15" i="4"/>
  <c r="N15" i="4"/>
  <c r="S14" i="4"/>
  <c r="R13" i="4"/>
  <c r="Q13" i="4"/>
  <c r="P13" i="4"/>
  <c r="O13" i="4"/>
  <c r="N13" i="4"/>
  <c r="R12" i="4"/>
  <c r="Q12" i="4"/>
  <c r="P12" i="4"/>
  <c r="O12" i="4"/>
  <c r="N12" i="4"/>
  <c r="R11" i="4"/>
  <c r="Q11" i="4"/>
  <c r="P11" i="4"/>
  <c r="O11" i="4"/>
  <c r="N11" i="4"/>
  <c r="Q10" i="4"/>
  <c r="P10" i="4"/>
  <c r="O10" i="4"/>
  <c r="N10" i="4"/>
  <c r="S10" i="4" s="1"/>
  <c r="O9" i="4"/>
  <c r="S9" i="4" s="1"/>
  <c r="R8" i="4"/>
  <c r="Q8" i="4"/>
  <c r="P8" i="4"/>
  <c r="O8" i="4"/>
  <c r="N8" i="4"/>
  <c r="J17" i="4"/>
  <c r="I17" i="4"/>
  <c r="H17" i="4"/>
  <c r="G17" i="4"/>
  <c r="K16" i="4"/>
  <c r="J16" i="4"/>
  <c r="I16" i="4"/>
  <c r="H16" i="4"/>
  <c r="G16" i="4"/>
  <c r="L16" i="4" s="1"/>
  <c r="K15" i="4"/>
  <c r="J15" i="4"/>
  <c r="I15" i="4"/>
  <c r="H15" i="4"/>
  <c r="G15" i="4"/>
  <c r="L14" i="4"/>
  <c r="K13" i="4"/>
  <c r="J13" i="4"/>
  <c r="I13" i="4"/>
  <c r="H13" i="4"/>
  <c r="G13" i="4"/>
  <c r="K12" i="4"/>
  <c r="J12" i="4"/>
  <c r="I12" i="4"/>
  <c r="H12" i="4"/>
  <c r="G12" i="4"/>
  <c r="L12" i="4" s="1"/>
  <c r="K11" i="4"/>
  <c r="J11" i="4"/>
  <c r="I11" i="4"/>
  <c r="H11" i="4"/>
  <c r="G11" i="4"/>
  <c r="K10" i="4"/>
  <c r="J10" i="4"/>
  <c r="I10" i="4"/>
  <c r="H10" i="4"/>
  <c r="G10" i="4"/>
  <c r="L10" i="4" s="1"/>
  <c r="L9" i="4"/>
  <c r="K8" i="4"/>
  <c r="J8" i="4"/>
  <c r="I8" i="4"/>
  <c r="H8" i="4"/>
  <c r="G8" i="4"/>
  <c r="L17" i="4" l="1"/>
  <c r="AN12" i="4"/>
  <c r="L8" i="4"/>
  <c r="S8" i="4"/>
  <c r="L11" i="4"/>
  <c r="S12" i="4"/>
  <c r="L15" i="4"/>
  <c r="L13" i="4"/>
  <c r="S11" i="4"/>
  <c r="S15" i="4"/>
  <c r="S13" i="4"/>
  <c r="BC148" i="1"/>
  <c r="BD148" i="1" s="1"/>
  <c r="AT148" i="1"/>
  <c r="AU148" i="1" s="1"/>
  <c r="BC147" i="1"/>
  <c r="BD147" i="1" s="1"/>
  <c r="AU147" i="1"/>
  <c r="BC146" i="1"/>
  <c r="BD146" i="1" s="1"/>
  <c r="AT146" i="1"/>
  <c r="BC145" i="1"/>
  <c r="BD145" i="1" s="1"/>
  <c r="AT145" i="1"/>
  <c r="BC144" i="1"/>
  <c r="BD144" i="1" s="1"/>
  <c r="AT144" i="1"/>
  <c r="AU144" i="1" s="1"/>
  <c r="BC143" i="1"/>
  <c r="BD143" i="1" s="1"/>
  <c r="AT143" i="1"/>
  <c r="AU142" i="1"/>
  <c r="AU141" i="1"/>
  <c r="BC140" i="1"/>
  <c r="BD140" i="1" s="1"/>
  <c r="AT140" i="1"/>
  <c r="BC139" i="1"/>
  <c r="BD139" i="1" s="1"/>
  <c r="AT139" i="1"/>
  <c r="BC138" i="1"/>
  <c r="BD138" i="1" s="1"/>
  <c r="AT138" i="1"/>
  <c r="BC137" i="1"/>
  <c r="BD137" i="1" s="1"/>
  <c r="AT137" i="1"/>
  <c r="BC136" i="1"/>
  <c r="BD136" i="1" s="1"/>
  <c r="AT136" i="1"/>
  <c r="BC135" i="1"/>
  <c r="BD135" i="1" s="1"/>
  <c r="AT135" i="1"/>
  <c r="BC134" i="1"/>
  <c r="BD134" i="1" s="1"/>
  <c r="AT134" i="1"/>
  <c r="BC133" i="1"/>
  <c r="AY133" i="1"/>
  <c r="AY132" i="1" s="1"/>
  <c r="AT133" i="1"/>
  <c r="AP133" i="1"/>
  <c r="AP132" i="1" s="1"/>
  <c r="AV132" i="1"/>
  <c r="AM132" i="1"/>
  <c r="BC131" i="1"/>
  <c r="BD131" i="1" s="1"/>
  <c r="AT131" i="1"/>
  <c r="AU131" i="1" s="1"/>
  <c r="BC129" i="1"/>
  <c r="BD129" i="1" s="1"/>
  <c r="AT129" i="1"/>
  <c r="AU129" i="1" s="1"/>
  <c r="BC127" i="1"/>
  <c r="AY127" i="1"/>
  <c r="AT127" i="1"/>
  <c r="AP127" i="1"/>
  <c r="AU127" i="1" s="1"/>
  <c r="BC126" i="1"/>
  <c r="AY126" i="1"/>
  <c r="AT126" i="1"/>
  <c r="AP126" i="1"/>
  <c r="AU126" i="1" s="1"/>
  <c r="BC125" i="1"/>
  <c r="BC124" i="1" s="1"/>
  <c r="AY125" i="1"/>
  <c r="AY124" i="1" s="1"/>
  <c r="AT125" i="1"/>
  <c r="AT124" i="1" s="1"/>
  <c r="AP125" i="1"/>
  <c r="AP124" i="1" s="1"/>
  <c r="AV124" i="1"/>
  <c r="AM124" i="1"/>
  <c r="BC123" i="1"/>
  <c r="AY123" i="1"/>
  <c r="AT123" i="1"/>
  <c r="AP123" i="1"/>
  <c r="BC122" i="1"/>
  <c r="AY122" i="1"/>
  <c r="BD122" i="1" s="1"/>
  <c r="AT122" i="1"/>
  <c r="AP122" i="1"/>
  <c r="BC121" i="1"/>
  <c r="AY121" i="1"/>
  <c r="AY120" i="1" s="1"/>
  <c r="AT121" i="1"/>
  <c r="AT120" i="1" s="1"/>
  <c r="AP121" i="1"/>
  <c r="AP120" i="1" s="1"/>
  <c r="AS13" i="4"/>
  <c r="AQ13" i="4"/>
  <c r="AV120" i="1"/>
  <c r="AP13" i="4" s="1"/>
  <c r="AM13" i="4"/>
  <c r="AL13" i="4"/>
  <c r="AK13" i="4"/>
  <c r="AM120" i="1"/>
  <c r="BC119" i="1"/>
  <c r="AY119" i="1"/>
  <c r="AT119" i="1"/>
  <c r="AP119" i="1"/>
  <c r="BC118" i="1"/>
  <c r="AY118" i="1"/>
  <c r="AT118" i="1"/>
  <c r="AP118" i="1"/>
  <c r="BC117" i="1"/>
  <c r="AY117" i="1"/>
  <c r="AT117" i="1"/>
  <c r="AP117" i="1"/>
  <c r="BC116" i="1"/>
  <c r="BC115" i="1" s="1"/>
  <c r="AY116" i="1"/>
  <c r="AY115" i="1" s="1"/>
  <c r="AT116" i="1"/>
  <c r="AP116" i="1"/>
  <c r="AV115" i="1"/>
  <c r="AM115" i="1"/>
  <c r="BC114" i="1"/>
  <c r="AY114" i="1"/>
  <c r="AT114" i="1"/>
  <c r="AP114" i="1"/>
  <c r="BC113" i="1"/>
  <c r="AY113" i="1"/>
  <c r="AT113" i="1"/>
  <c r="AP113" i="1"/>
  <c r="BC112" i="1"/>
  <c r="BC111" i="1" s="1"/>
  <c r="AY112" i="1"/>
  <c r="AT112" i="1"/>
  <c r="AT111" i="1" s="1"/>
  <c r="AP112" i="1"/>
  <c r="AP111" i="1" s="1"/>
  <c r="AT17" i="4"/>
  <c r="AS17" i="4"/>
  <c r="AQ17" i="4"/>
  <c r="AV111" i="1"/>
  <c r="AP17" i="4" s="1"/>
  <c r="AM17" i="4"/>
  <c r="AL17" i="4"/>
  <c r="AK17" i="4"/>
  <c r="AM111" i="1"/>
  <c r="AI17" i="4" s="1"/>
  <c r="AT110" i="1"/>
  <c r="AU110" i="1" s="1"/>
  <c r="BC109" i="1"/>
  <c r="AY109" i="1"/>
  <c r="AT109" i="1"/>
  <c r="AP109" i="1"/>
  <c r="BC108" i="1"/>
  <c r="AY108" i="1"/>
  <c r="AT108" i="1"/>
  <c r="AP108" i="1"/>
  <c r="BC107" i="1"/>
  <c r="AY107" i="1"/>
  <c r="AT107" i="1"/>
  <c r="AP107" i="1"/>
  <c r="BC106" i="1"/>
  <c r="AY106" i="1"/>
  <c r="AT106" i="1"/>
  <c r="AP106" i="1"/>
  <c r="AT9" i="4"/>
  <c r="AS9" i="4"/>
  <c r="AV105" i="1"/>
  <c r="AP9" i="4" s="1"/>
  <c r="AM9" i="4"/>
  <c r="AL9" i="4"/>
  <c r="AK9" i="4"/>
  <c r="AM105" i="1"/>
  <c r="BD103" i="1"/>
  <c r="AU103" i="1"/>
  <c r="BC102" i="1"/>
  <c r="AY102" i="1"/>
  <c r="AT102" i="1"/>
  <c r="AP102" i="1"/>
  <c r="AU102" i="1" s="1"/>
  <c r="BC101" i="1"/>
  <c r="AY101" i="1"/>
  <c r="AT101" i="1"/>
  <c r="AP101" i="1"/>
  <c r="BC100" i="1"/>
  <c r="BC99" i="1" s="1"/>
  <c r="AY100" i="1"/>
  <c r="AY99" i="1" s="1"/>
  <c r="AT100" i="1"/>
  <c r="AT99" i="1" s="1"/>
  <c r="AP100" i="1"/>
  <c r="AP99" i="1" s="1"/>
  <c r="AV99" i="1"/>
  <c r="AK15" i="4"/>
  <c r="AM99" i="1"/>
  <c r="BC98" i="1"/>
  <c r="AY98" i="1"/>
  <c r="AT98" i="1"/>
  <c r="AP98" i="1"/>
  <c r="BC97" i="1"/>
  <c r="AY97" i="1"/>
  <c r="AT97" i="1"/>
  <c r="AP97" i="1"/>
  <c r="BC96" i="1"/>
  <c r="AY96" i="1"/>
  <c r="AT96" i="1"/>
  <c r="AP96" i="1"/>
  <c r="BC95" i="1"/>
  <c r="AY95" i="1"/>
  <c r="AT95" i="1"/>
  <c r="AP95" i="1"/>
  <c r="BC94" i="1"/>
  <c r="AY94" i="1"/>
  <c r="AT94" i="1"/>
  <c r="AP94" i="1"/>
  <c r="AV93" i="1"/>
  <c r="AM93" i="1"/>
  <c r="BC92" i="1"/>
  <c r="AY92" i="1"/>
  <c r="AT92" i="1"/>
  <c r="AP92" i="1"/>
  <c r="BC91" i="1"/>
  <c r="BC90" i="1" s="1"/>
  <c r="AY91" i="1"/>
  <c r="AY90" i="1" s="1"/>
  <c r="AT91" i="1"/>
  <c r="AT90" i="1" s="1"/>
  <c r="AP91" i="1"/>
  <c r="AP90" i="1" s="1"/>
  <c r="AV90" i="1"/>
  <c r="AM90" i="1"/>
  <c r="BC89" i="1"/>
  <c r="AY89" i="1"/>
  <c r="AT89" i="1"/>
  <c r="AP89" i="1"/>
  <c r="BC88" i="1"/>
  <c r="AY88" i="1"/>
  <c r="AT88" i="1"/>
  <c r="AP88" i="1"/>
  <c r="BC87" i="1"/>
  <c r="AY87" i="1"/>
  <c r="AT87" i="1"/>
  <c r="AP87" i="1"/>
  <c r="BC86" i="1"/>
  <c r="BC85" i="1" s="1"/>
  <c r="AY86" i="1"/>
  <c r="AY85" i="1" s="1"/>
  <c r="AT86" i="1"/>
  <c r="AT85" i="1" s="1"/>
  <c r="AP86" i="1"/>
  <c r="AV85" i="1"/>
  <c r="AM85" i="1"/>
  <c r="BC84" i="1"/>
  <c r="AY84" i="1"/>
  <c r="AT84" i="1"/>
  <c r="AP84" i="1"/>
  <c r="BC83" i="1"/>
  <c r="AY83" i="1"/>
  <c r="AT83" i="1"/>
  <c r="AP83" i="1"/>
  <c r="BC82" i="1"/>
  <c r="AY82" i="1"/>
  <c r="AT82" i="1"/>
  <c r="AP82" i="1"/>
  <c r="BC81" i="1"/>
  <c r="AY81" i="1"/>
  <c r="AT81" i="1"/>
  <c r="AP81" i="1"/>
  <c r="BC80" i="1"/>
  <c r="AY80" i="1"/>
  <c r="AT80" i="1"/>
  <c r="AP80" i="1"/>
  <c r="AV79" i="1"/>
  <c r="AM79" i="1"/>
  <c r="BD77" i="1"/>
  <c r="BC75" i="1"/>
  <c r="AY75" i="1"/>
  <c r="AT75" i="1"/>
  <c r="AP75" i="1"/>
  <c r="BC74" i="1"/>
  <c r="AY74" i="1"/>
  <c r="BD74" i="1" s="1"/>
  <c r="AT74" i="1"/>
  <c r="AU74" i="1" s="1"/>
  <c r="BC73" i="1"/>
  <c r="AY73" i="1"/>
  <c r="BD73" i="1" s="1"/>
  <c r="AT73" i="1"/>
  <c r="AP73" i="1"/>
  <c r="BC72" i="1"/>
  <c r="AY72" i="1"/>
  <c r="AT72" i="1"/>
  <c r="AP72" i="1"/>
  <c r="BC71" i="1"/>
  <c r="AY71" i="1"/>
  <c r="AT71" i="1"/>
  <c r="AT70" i="1" s="1"/>
  <c r="AP71" i="1"/>
  <c r="AV70" i="1"/>
  <c r="AM70" i="1"/>
  <c r="AT69" i="1"/>
  <c r="AU69" i="1" s="1"/>
  <c r="BC68" i="1"/>
  <c r="AY68" i="1"/>
  <c r="AT68" i="1"/>
  <c r="AP68" i="1"/>
  <c r="BC67" i="1"/>
  <c r="AY67" i="1"/>
  <c r="AT67" i="1"/>
  <c r="AP67" i="1"/>
  <c r="BC66" i="1"/>
  <c r="BC65" i="1" s="1"/>
  <c r="AY66" i="1"/>
  <c r="AY65" i="1" s="1"/>
  <c r="AT66" i="1"/>
  <c r="AP66" i="1"/>
  <c r="AP65" i="1" s="1"/>
  <c r="AV65" i="1"/>
  <c r="AM65" i="1"/>
  <c r="BC64" i="1"/>
  <c r="AY64" i="1"/>
  <c r="AT64" i="1"/>
  <c r="AP64" i="1"/>
  <c r="BC63" i="1"/>
  <c r="AY63" i="1"/>
  <c r="AT63" i="1"/>
  <c r="AP63" i="1"/>
  <c r="BC62" i="1"/>
  <c r="AY62" i="1"/>
  <c r="AT62" i="1"/>
  <c r="AP62" i="1"/>
  <c r="BC61" i="1"/>
  <c r="AY61" i="1"/>
  <c r="AT61" i="1"/>
  <c r="AT60" i="1" s="1"/>
  <c r="AP61" i="1"/>
  <c r="AV60" i="1"/>
  <c r="AM60" i="1"/>
  <c r="BC59" i="1"/>
  <c r="AY59" i="1"/>
  <c r="AT59" i="1"/>
  <c r="AP59" i="1"/>
  <c r="BC58" i="1"/>
  <c r="AY58" i="1"/>
  <c r="AT58" i="1"/>
  <c r="AP58" i="1"/>
  <c r="BC57" i="1"/>
  <c r="AY57" i="1"/>
  <c r="AT57" i="1"/>
  <c r="AP57" i="1"/>
  <c r="BC56" i="1"/>
  <c r="BC55" i="1" s="1"/>
  <c r="AY56" i="1"/>
  <c r="AT56" i="1"/>
  <c r="AT55" i="1" s="1"/>
  <c r="AP56" i="1"/>
  <c r="AP55" i="1" s="1"/>
  <c r="AV55" i="1"/>
  <c r="AJ16" i="4"/>
  <c r="AM55" i="1"/>
  <c r="BC54" i="1"/>
  <c r="AY54" i="1"/>
  <c r="AT54" i="1"/>
  <c r="AP54" i="1"/>
  <c r="BC53" i="1"/>
  <c r="AY53" i="1"/>
  <c r="AT53" i="1"/>
  <c r="AP53" i="1"/>
  <c r="BC52" i="1"/>
  <c r="BC51" i="1" s="1"/>
  <c r="AY52" i="1"/>
  <c r="AY51" i="1" s="1"/>
  <c r="AT52" i="1"/>
  <c r="AT51" i="1" s="1"/>
  <c r="AP52" i="1"/>
  <c r="AP51" i="1" s="1"/>
  <c r="AQ14" i="4"/>
  <c r="AV51" i="1"/>
  <c r="AP14" i="4" s="1"/>
  <c r="AJ14" i="4"/>
  <c r="AM51" i="1"/>
  <c r="BC50" i="1"/>
  <c r="AY50" i="1"/>
  <c r="BD50" i="1" s="1"/>
  <c r="AT50" i="1"/>
  <c r="AP50" i="1"/>
  <c r="BC49" i="1"/>
  <c r="AY49" i="1"/>
  <c r="BD49" i="1" s="1"/>
  <c r="AT49" i="1"/>
  <c r="AP49" i="1"/>
  <c r="BC48" i="1"/>
  <c r="BC47" i="1" s="1"/>
  <c r="AY48" i="1"/>
  <c r="AY47" i="1" s="1"/>
  <c r="AT48" i="1"/>
  <c r="AT47" i="1" s="1"/>
  <c r="AP48" i="1"/>
  <c r="AP47" i="1" s="1"/>
  <c r="AV47" i="1"/>
  <c r="AM47" i="1"/>
  <c r="BC46" i="1"/>
  <c r="AY46" i="1"/>
  <c r="AT46" i="1"/>
  <c r="AP46" i="1"/>
  <c r="BC44" i="1"/>
  <c r="AY44" i="1"/>
  <c r="AT44" i="1"/>
  <c r="AP44" i="1"/>
  <c r="AU44" i="1" s="1"/>
  <c r="BC43" i="1"/>
  <c r="BC42" i="1" s="1"/>
  <c r="AY43" i="1"/>
  <c r="AY42" i="1" s="1"/>
  <c r="AT43" i="1"/>
  <c r="AT42" i="1" s="1"/>
  <c r="AP43" i="1"/>
  <c r="AP42" i="1" s="1"/>
  <c r="AV42" i="1"/>
  <c r="AM42" i="1"/>
  <c r="BC41" i="1"/>
  <c r="AY41" i="1"/>
  <c r="AT41" i="1"/>
  <c r="AP41" i="1"/>
  <c r="BC40" i="1"/>
  <c r="AY40" i="1"/>
  <c r="BD40" i="1" s="1"/>
  <c r="AT40" i="1"/>
  <c r="AP40" i="1"/>
  <c r="BC39" i="1"/>
  <c r="AY39" i="1"/>
  <c r="AT39" i="1"/>
  <c r="AP39" i="1"/>
  <c r="BC38" i="1"/>
  <c r="AY38" i="1"/>
  <c r="AY37" i="1" s="1"/>
  <c r="AT38" i="1"/>
  <c r="AT37" i="1" s="1"/>
  <c r="AP38" i="1"/>
  <c r="AP37" i="1" s="1"/>
  <c r="AV37" i="1"/>
  <c r="AJ11" i="4"/>
  <c r="AM37" i="1"/>
  <c r="BC36" i="1"/>
  <c r="AY36" i="1"/>
  <c r="AT36" i="1"/>
  <c r="AP36" i="1"/>
  <c r="AU36" i="1" s="1"/>
  <c r="BC35" i="1"/>
  <c r="AY35" i="1"/>
  <c r="AT35" i="1"/>
  <c r="AP35" i="1"/>
  <c r="BC34" i="1"/>
  <c r="AY34" i="1"/>
  <c r="AT34" i="1"/>
  <c r="AP34" i="1"/>
  <c r="AU34" i="1" s="1"/>
  <c r="BC33" i="1"/>
  <c r="AY33" i="1"/>
  <c r="AT33" i="1"/>
  <c r="AP33" i="1"/>
  <c r="BC32" i="1"/>
  <c r="AY32" i="1"/>
  <c r="AT32" i="1"/>
  <c r="AP32" i="1"/>
  <c r="AV31" i="1"/>
  <c r="AM31" i="1"/>
  <c r="BC30" i="1"/>
  <c r="AY30" i="1"/>
  <c r="AT30" i="1"/>
  <c r="AP30" i="1"/>
  <c r="AU30" i="1" s="1"/>
  <c r="BC29" i="1"/>
  <c r="AY29" i="1"/>
  <c r="AT29" i="1"/>
  <c r="AP29" i="1"/>
  <c r="AU29" i="1" s="1"/>
  <c r="BC28" i="1"/>
  <c r="AY28" i="1"/>
  <c r="AT28" i="1"/>
  <c r="AP28" i="1"/>
  <c r="AU28" i="1" s="1"/>
  <c r="BC27" i="1"/>
  <c r="AY27" i="1"/>
  <c r="AT27" i="1"/>
  <c r="AP27" i="1"/>
  <c r="BC26" i="1"/>
  <c r="AY26" i="1"/>
  <c r="AT26" i="1"/>
  <c r="AP26" i="1"/>
  <c r="AU26" i="1" s="1"/>
  <c r="BC25" i="1"/>
  <c r="AY25" i="1"/>
  <c r="AT25" i="1"/>
  <c r="AP25" i="1"/>
  <c r="AU25" i="1" s="1"/>
  <c r="BC24" i="1"/>
  <c r="AY24" i="1"/>
  <c r="AT24" i="1"/>
  <c r="AP24" i="1"/>
  <c r="BC23" i="1"/>
  <c r="AY23" i="1"/>
  <c r="AT23" i="1"/>
  <c r="AP23" i="1"/>
  <c r="AV22" i="1"/>
  <c r="BC21" i="1"/>
  <c r="AY21" i="1"/>
  <c r="AT21" i="1"/>
  <c r="AP21" i="1"/>
  <c r="BC20" i="1"/>
  <c r="AY20" i="1"/>
  <c r="AT20" i="1"/>
  <c r="AP20" i="1"/>
  <c r="BC19" i="1"/>
  <c r="AY19" i="1"/>
  <c r="BD19" i="1" s="1"/>
  <c r="AT19" i="1"/>
  <c r="AP19" i="1"/>
  <c r="BC18" i="1"/>
  <c r="AY18" i="1"/>
  <c r="AT18" i="1"/>
  <c r="AP18" i="1"/>
  <c r="AV17" i="1"/>
  <c r="AM17" i="1"/>
  <c r="BC16" i="1"/>
  <c r="AY16" i="1"/>
  <c r="BD16" i="1" s="1"/>
  <c r="AT16" i="1"/>
  <c r="AP16" i="1"/>
  <c r="BC15" i="1"/>
  <c r="AY15" i="1"/>
  <c r="AT15" i="1"/>
  <c r="AP15" i="1"/>
  <c r="BC14" i="1"/>
  <c r="AY14" i="1"/>
  <c r="AT14" i="1"/>
  <c r="AP14" i="1"/>
  <c r="BC13" i="1"/>
  <c r="AY13" i="1"/>
  <c r="BD13" i="1" s="1"/>
  <c r="AT13" i="1"/>
  <c r="AP13" i="1"/>
  <c r="BC12" i="1"/>
  <c r="AY12" i="1"/>
  <c r="AY11" i="1" s="1"/>
  <c r="AT12" i="1"/>
  <c r="AT11" i="1" s="1"/>
  <c r="AP12" i="1"/>
  <c r="AP11" i="1" s="1"/>
  <c r="AS10" i="4"/>
  <c r="AV11" i="1"/>
  <c r="AM11" i="1"/>
  <c r="BC10" i="1"/>
  <c r="AY10" i="1"/>
  <c r="AT10" i="1"/>
  <c r="AP10" i="1"/>
  <c r="BC9" i="1"/>
  <c r="AY9" i="1"/>
  <c r="AT9" i="1"/>
  <c r="AP9" i="1"/>
  <c r="BC8" i="1"/>
  <c r="BC7" i="1" s="1"/>
  <c r="AY8" i="1"/>
  <c r="AY7" i="1" s="1"/>
  <c r="AT8" i="1"/>
  <c r="AT7" i="1" s="1"/>
  <c r="AP8" i="1"/>
  <c r="AP7" i="1" s="1"/>
  <c r="AV7" i="1"/>
  <c r="AM7" i="1"/>
  <c r="AI8" i="4" s="1"/>
  <c r="AP70" i="1" l="1"/>
  <c r="BD33" i="1"/>
  <c r="BD56" i="1"/>
  <c r="AY55" i="1"/>
  <c r="AY60" i="1"/>
  <c r="AU53" i="1"/>
  <c r="AU57" i="1"/>
  <c r="BC60" i="1"/>
  <c r="AT65" i="1"/>
  <c r="AY70" i="1"/>
  <c r="BC70" i="1"/>
  <c r="AT132" i="1"/>
  <c r="AP105" i="1"/>
  <c r="AT105" i="1"/>
  <c r="BC120" i="1"/>
  <c r="BC132" i="1"/>
  <c r="AY17" i="1"/>
  <c r="AT22" i="1"/>
  <c r="BD72" i="1"/>
  <c r="AU80" i="1"/>
  <c r="AP79" i="1"/>
  <c r="BD97" i="1"/>
  <c r="AY105" i="1"/>
  <c r="BD112" i="1"/>
  <c r="AY111" i="1"/>
  <c r="BC17" i="1"/>
  <c r="AT79" i="1"/>
  <c r="BC105" i="1"/>
  <c r="AT17" i="1"/>
  <c r="AT130" i="1" s="1"/>
  <c r="AU32" i="1"/>
  <c r="AP31" i="1"/>
  <c r="BC22" i="1"/>
  <c r="AT31" i="1"/>
  <c r="AY79" i="1"/>
  <c r="AP93" i="1"/>
  <c r="BC11" i="1"/>
  <c r="AY22" i="1"/>
  <c r="AU19" i="1"/>
  <c r="AY31" i="1"/>
  <c r="BC79" i="1"/>
  <c r="AT93" i="1"/>
  <c r="BC37" i="1"/>
  <c r="BC31" i="1"/>
  <c r="AY93" i="1"/>
  <c r="AU61" i="1"/>
  <c r="AP60" i="1"/>
  <c r="AP22" i="1"/>
  <c r="BC93" i="1"/>
  <c r="AP115" i="1"/>
  <c r="AP17" i="1"/>
  <c r="BD15" i="1"/>
  <c r="BD41" i="1"/>
  <c r="BD81" i="1"/>
  <c r="AP85" i="1"/>
  <c r="AI15" i="4"/>
  <c r="AT115" i="1"/>
  <c r="AS14" i="4"/>
  <c r="AL14" i="4"/>
  <c r="AK11" i="4"/>
  <c r="AU112" i="1"/>
  <c r="AQ9" i="4"/>
  <c r="AU9" i="4" s="1"/>
  <c r="AU23" i="1"/>
  <c r="AU9" i="1"/>
  <c r="AU71" i="1"/>
  <c r="BD83" i="1"/>
  <c r="AU20" i="1"/>
  <c r="AU21" i="1"/>
  <c r="BD36" i="1"/>
  <c r="AU63" i="1"/>
  <c r="AU67" i="1"/>
  <c r="AU82" i="1"/>
  <c r="AM15" i="4"/>
  <c r="AU14" i="1"/>
  <c r="AU15" i="1"/>
  <c r="BD24" i="1"/>
  <c r="BD30" i="1"/>
  <c r="AK10" i="4"/>
  <c r="AP10" i="4"/>
  <c r="AU38" i="1"/>
  <c r="AU40" i="1"/>
  <c r="BD44" i="1"/>
  <c r="AU49" i="1"/>
  <c r="BD53" i="1"/>
  <c r="AU75" i="1"/>
  <c r="AU95" i="1"/>
  <c r="AU97" i="1"/>
  <c r="AU122" i="1"/>
  <c r="AU123" i="1"/>
  <c r="BD126" i="1"/>
  <c r="AU133" i="1"/>
  <c r="AU135" i="1"/>
  <c r="AU139" i="1"/>
  <c r="BD9" i="1"/>
  <c r="BD88" i="1"/>
  <c r="BD89" i="1"/>
  <c r="AU91" i="1"/>
  <c r="AU106" i="1"/>
  <c r="AU109" i="1"/>
  <c r="AU116" i="1"/>
  <c r="AU118" i="1"/>
  <c r="AU119" i="1"/>
  <c r="AU13" i="4"/>
  <c r="AU10" i="1"/>
  <c r="BD29" i="1"/>
  <c r="BD61" i="1"/>
  <c r="BD62" i="1"/>
  <c r="AU86" i="1"/>
  <c r="BD91" i="1"/>
  <c r="BD106" i="1"/>
  <c r="BD107" i="1"/>
  <c r="BD108" i="1"/>
  <c r="BD118" i="1"/>
  <c r="AU101" i="1"/>
  <c r="AL10" i="4"/>
  <c r="BD21" i="1"/>
  <c r="BD34" i="1"/>
  <c r="AU59" i="1"/>
  <c r="BD67" i="1"/>
  <c r="AU73" i="1"/>
  <c r="BD84" i="1"/>
  <c r="BD95" i="1"/>
  <c r="BD101" i="1"/>
  <c r="BD117" i="1"/>
  <c r="AU138" i="1"/>
  <c r="AU145" i="1"/>
  <c r="BD87" i="1"/>
  <c r="AU114" i="1"/>
  <c r="AL15" i="4"/>
  <c r="AM8" i="4"/>
  <c r="AQ16" i="4"/>
  <c r="AL16" i="4"/>
  <c r="BD57" i="1"/>
  <c r="BD25" i="1"/>
  <c r="AJ10" i="4"/>
  <c r="AU58" i="1"/>
  <c r="AU64" i="1"/>
  <c r="AU72" i="1"/>
  <c r="AU92" i="1"/>
  <c r="BD100" i="1"/>
  <c r="AU108" i="1"/>
  <c r="AP15" i="4"/>
  <c r="BB150" i="1"/>
  <c r="AT10" i="4"/>
  <c r="BD35" i="1"/>
  <c r="AT16" i="4"/>
  <c r="BD96" i="1"/>
  <c r="AN17" i="4"/>
  <c r="BD119" i="1"/>
  <c r="BD127" i="1"/>
  <c r="AU140" i="1"/>
  <c r="AJ8" i="4"/>
  <c r="AN8" i="4" s="1"/>
  <c r="BA150" i="1"/>
  <c r="AT8" i="4"/>
  <c r="BD123" i="1"/>
  <c r="AL8" i="4"/>
  <c r="AW150" i="1"/>
  <c r="AQ8" i="4"/>
  <c r="AU8" i="1"/>
  <c r="BD10" i="1"/>
  <c r="AU18" i="1"/>
  <c r="BD20" i="1"/>
  <c r="AL11" i="4"/>
  <c r="BD26" i="1"/>
  <c r="BD27" i="1"/>
  <c r="AQ10" i="4"/>
  <c r="AU35" i="1"/>
  <c r="AP11" i="4"/>
  <c r="AT11" i="4"/>
  <c r="AM14" i="4"/>
  <c r="AM16" i="4"/>
  <c r="BD63" i="1"/>
  <c r="BD64" i="1"/>
  <c r="BD68" i="1"/>
  <c r="BD71" i="1"/>
  <c r="BD75" i="1"/>
  <c r="AU84" i="1"/>
  <c r="AU88" i="1"/>
  <c r="AU89" i="1"/>
  <c r="AQ15" i="4"/>
  <c r="AI9" i="4"/>
  <c r="AN9" i="4" s="1"/>
  <c r="BD113" i="1"/>
  <c r="BD114" i="1"/>
  <c r="AI13" i="4"/>
  <c r="AN13" i="4" s="1"/>
  <c r="AS15" i="4"/>
  <c r="AS11" i="4"/>
  <c r="AK8" i="4"/>
  <c r="AV130" i="1"/>
  <c r="AV150" i="1" s="1"/>
  <c r="AP8" i="4"/>
  <c r="AU8" i="4" s="1"/>
  <c r="AU13" i="1"/>
  <c r="BD23" i="1"/>
  <c r="AZ150" i="1"/>
  <c r="AS8" i="4"/>
  <c r="AU12" i="1"/>
  <c r="BD14" i="1"/>
  <c r="AU16" i="1"/>
  <c r="BD28" i="1"/>
  <c r="AI10" i="4"/>
  <c r="BD32" i="1"/>
  <c r="AI11" i="4"/>
  <c r="AM11" i="4"/>
  <c r="AQ11" i="4"/>
  <c r="BD38" i="1"/>
  <c r="AU41" i="1"/>
  <c r="AU46" i="1"/>
  <c r="AU50" i="1"/>
  <c r="AI14" i="4"/>
  <c r="AT14" i="4"/>
  <c r="AU54" i="1"/>
  <c r="AI16" i="4"/>
  <c r="BD59" i="1"/>
  <c r="AP16" i="4"/>
  <c r="AU62" i="1"/>
  <c r="AS16" i="4"/>
  <c r="AU68" i="1"/>
  <c r="BD82" i="1"/>
  <c r="AX150" i="1"/>
  <c r="AY150" i="1" s="1"/>
  <c r="AR11" i="4"/>
  <c r="BD94" i="1"/>
  <c r="AU98" i="1"/>
  <c r="AU100" i="1"/>
  <c r="AU99" i="1" s="1"/>
  <c r="AU17" i="4"/>
  <c r="BD116" i="1"/>
  <c r="AT15" i="4"/>
  <c r="AU136" i="1"/>
  <c r="AU137" i="1"/>
  <c r="AU143" i="1"/>
  <c r="AU146" i="1"/>
  <c r="AU66" i="1"/>
  <c r="BD18" i="1"/>
  <c r="BD17" i="1" s="1"/>
  <c r="AU39" i="1"/>
  <c r="AU48" i="1"/>
  <c r="BD86" i="1"/>
  <c r="AU96" i="1"/>
  <c r="BD121" i="1"/>
  <c r="BD120" i="1" s="1"/>
  <c r="AU134" i="1"/>
  <c r="BD80" i="1"/>
  <c r="AU117" i="1"/>
  <c r="AU125" i="1"/>
  <c r="AU124" i="1" s="1"/>
  <c r="BD8" i="1"/>
  <c r="BD12" i="1"/>
  <c r="AM130" i="1"/>
  <c r="AM150" i="1" s="1"/>
  <c r="AP150" i="1" s="1"/>
  <c r="AU24" i="1"/>
  <c r="AU27" i="1"/>
  <c r="AU33" i="1"/>
  <c r="BD58" i="1"/>
  <c r="AU81" i="1"/>
  <c r="BD102" i="1"/>
  <c r="BD109" i="1"/>
  <c r="AU113" i="1"/>
  <c r="AU121" i="1"/>
  <c r="BD133" i="1"/>
  <c r="BD132" i="1" s="1"/>
  <c r="BD39" i="1"/>
  <c r="AU43" i="1"/>
  <c r="AU42" i="1" s="1"/>
  <c r="BD46" i="1"/>
  <c r="AU52" i="1"/>
  <c r="BD54" i="1"/>
  <c r="AU56" i="1"/>
  <c r="BD66" i="1"/>
  <c r="AU83" i="1"/>
  <c r="AU87" i="1"/>
  <c r="BD92" i="1"/>
  <c r="AU94" i="1"/>
  <c r="BD98" i="1"/>
  <c r="AU107" i="1"/>
  <c r="BD125" i="1"/>
  <c r="BD43" i="1"/>
  <c r="BD48" i="1"/>
  <c r="BD47" i="1" s="1"/>
  <c r="BD52" i="1"/>
  <c r="BC130" i="1" l="1"/>
  <c r="BD7" i="1"/>
  <c r="AY130" i="1"/>
  <c r="BD124" i="1"/>
  <c r="BD37" i="1"/>
  <c r="BD85" i="1"/>
  <c r="BD42" i="1"/>
  <c r="BD31" i="1"/>
  <c r="BD65" i="1"/>
  <c r="AU51" i="1"/>
  <c r="AU47" i="1"/>
  <c r="AP130" i="1"/>
  <c r="BD60" i="1"/>
  <c r="BD111" i="1"/>
  <c r="AU65" i="1"/>
  <c r="AN11" i="4"/>
  <c r="AU11" i="4"/>
  <c r="AU93" i="1"/>
  <c r="AU115" i="1"/>
  <c r="AU79" i="1"/>
  <c r="AU11" i="1"/>
  <c r="BD11" i="1"/>
  <c r="AU17" i="1"/>
  <c r="AN15" i="4"/>
  <c r="AU105" i="1"/>
  <c r="AU14" i="4"/>
  <c r="AU90" i="1"/>
  <c r="AU70" i="1"/>
  <c r="BD55" i="1"/>
  <c r="BD115" i="1"/>
  <c r="BD70" i="1"/>
  <c r="AU7" i="1"/>
  <c r="AU37" i="1"/>
  <c r="AU22" i="1"/>
  <c r="AU150" i="1"/>
  <c r="BD51" i="1"/>
  <c r="BD79" i="1"/>
  <c r="BD105" i="1"/>
  <c r="AU60" i="1"/>
  <c r="AU31" i="1"/>
  <c r="AU55" i="1"/>
  <c r="BD99" i="1"/>
  <c r="BD90" i="1"/>
  <c r="AU111" i="1"/>
  <c r="AU120" i="1"/>
  <c r="BD93" i="1"/>
  <c r="AU85" i="1"/>
  <c r="AU132" i="1"/>
  <c r="AT150" i="1"/>
  <c r="AU10" i="4"/>
  <c r="AN10" i="4"/>
  <c r="BC150" i="1"/>
  <c r="BD150" i="1" s="1"/>
  <c r="AU16" i="4"/>
  <c r="AU15" i="4"/>
  <c r="BD22" i="1"/>
  <c r="AN14" i="4"/>
  <c r="AN16" i="4"/>
  <c r="AE132" i="1"/>
  <c r="AF132" i="1"/>
  <c r="AH132" i="1"/>
  <c r="AI132" i="1"/>
  <c r="AJ132" i="1"/>
  <c r="AH124" i="1"/>
  <c r="AI124" i="1"/>
  <c r="AJ124" i="1"/>
  <c r="AH120" i="1"/>
  <c r="AE13" i="4" s="1"/>
  <c r="AI120" i="1"/>
  <c r="AJ120" i="1"/>
  <c r="AH115" i="1"/>
  <c r="AI115" i="1"/>
  <c r="AJ115" i="1"/>
  <c r="AH111" i="1"/>
  <c r="AE17" i="4" s="1"/>
  <c r="AI111" i="1"/>
  <c r="AF17" i="4" s="1"/>
  <c r="AJ111" i="1"/>
  <c r="AH105" i="1"/>
  <c r="AE9" i="4" s="1"/>
  <c r="AI105" i="1"/>
  <c r="AJ105" i="1"/>
  <c r="AH99" i="1"/>
  <c r="AI99" i="1"/>
  <c r="AJ99" i="1"/>
  <c r="AH93" i="1"/>
  <c r="AI93" i="1"/>
  <c r="AJ93" i="1"/>
  <c r="AH90" i="1"/>
  <c r="AI90" i="1"/>
  <c r="AJ90" i="1"/>
  <c r="AF85" i="1"/>
  <c r="AH85" i="1"/>
  <c r="AI85" i="1"/>
  <c r="AJ85" i="1"/>
  <c r="AF79" i="1"/>
  <c r="AH79" i="1"/>
  <c r="AI79" i="1"/>
  <c r="AJ79" i="1"/>
  <c r="AH70" i="1"/>
  <c r="AI70" i="1"/>
  <c r="AJ70" i="1"/>
  <c r="AH65" i="1"/>
  <c r="AI65" i="1"/>
  <c r="AJ65" i="1"/>
  <c r="AH60" i="1"/>
  <c r="AI60" i="1"/>
  <c r="AJ60" i="1"/>
  <c r="AH55" i="1"/>
  <c r="AI55" i="1"/>
  <c r="AJ55" i="1"/>
  <c r="AH51" i="1"/>
  <c r="AE14" i="4" s="1"/>
  <c r="AI51" i="1"/>
  <c r="AJ51" i="1"/>
  <c r="AH47" i="1"/>
  <c r="AI47" i="1"/>
  <c r="AJ47" i="1"/>
  <c r="AH42" i="1"/>
  <c r="AI42" i="1"/>
  <c r="AJ42" i="1"/>
  <c r="AH37" i="1"/>
  <c r="AI37" i="1"/>
  <c r="AJ37" i="1"/>
  <c r="AI31" i="1"/>
  <c r="AJ31" i="1"/>
  <c r="AI22" i="1"/>
  <c r="AJ22" i="1"/>
  <c r="AI17" i="1"/>
  <c r="AJ17" i="1"/>
  <c r="AJ11" i="1"/>
  <c r="AE7" i="1"/>
  <c r="AF7" i="1"/>
  <c r="AH7" i="1"/>
  <c r="AI7" i="1"/>
  <c r="AJ7" i="1"/>
  <c r="BD130" i="1" l="1"/>
  <c r="AU130" i="1"/>
  <c r="AN19" i="4"/>
  <c r="AK70" i="1"/>
  <c r="AF13" i="4"/>
  <c r="AF14" i="4"/>
  <c r="AJ130" i="1"/>
  <c r="AF16" i="4"/>
  <c r="AF9" i="4"/>
  <c r="AF11" i="4"/>
  <c r="AF15" i="4"/>
  <c r="AU19" i="4"/>
  <c r="AF8" i="4"/>
  <c r="AE16" i="4"/>
  <c r="AE15" i="4"/>
  <c r="AG143" i="1"/>
  <c r="AD132" i="1"/>
  <c r="AE65" i="1"/>
  <c r="AF65" i="1"/>
  <c r="AD65" i="1"/>
  <c r="AK69" i="1"/>
  <c r="AL69" i="1" s="1"/>
  <c r="AE22" i="1"/>
  <c r="AF22" i="1"/>
  <c r="AH22" i="1"/>
  <c r="AE11" i="4" s="1"/>
  <c r="AD22" i="1"/>
  <c r="AK30" i="1"/>
  <c r="AG30" i="1"/>
  <c r="AK29" i="1"/>
  <c r="AG29" i="1"/>
  <c r="AL29" i="1" s="1"/>
  <c r="AK28" i="1"/>
  <c r="AG28" i="1"/>
  <c r="AE105" i="1"/>
  <c r="AC9" i="4" s="1"/>
  <c r="AF105" i="1"/>
  <c r="AD9" i="4" s="1"/>
  <c r="AD105" i="1"/>
  <c r="AB9" i="4" s="1"/>
  <c r="AK110" i="1"/>
  <c r="AL110" i="1" s="1"/>
  <c r="D105" i="1"/>
  <c r="E105" i="1"/>
  <c r="G105" i="1"/>
  <c r="H105" i="1"/>
  <c r="I105" i="1"/>
  <c r="C105" i="1"/>
  <c r="AK72" i="1"/>
  <c r="AE70" i="1"/>
  <c r="AG74" i="1"/>
  <c r="AG71" i="1"/>
  <c r="AG75" i="1"/>
  <c r="AL75" i="1" s="1"/>
  <c r="AG73" i="1"/>
  <c r="AF70" i="1"/>
  <c r="AD70" i="1"/>
  <c r="AE124" i="1"/>
  <c r="AD124" i="1"/>
  <c r="AE120" i="1"/>
  <c r="AC13" i="4" s="1"/>
  <c r="AF120" i="1"/>
  <c r="AD13" i="4" s="1"/>
  <c r="AD120" i="1"/>
  <c r="AB13" i="4" s="1"/>
  <c r="AE99" i="1"/>
  <c r="AF99" i="1"/>
  <c r="AD15" i="4" s="1"/>
  <c r="AD99" i="1"/>
  <c r="AE115" i="1"/>
  <c r="AF115" i="1"/>
  <c r="AD115" i="1"/>
  <c r="AE93" i="1"/>
  <c r="AF93" i="1"/>
  <c r="AD93" i="1"/>
  <c r="AG94" i="1"/>
  <c r="AE85" i="1"/>
  <c r="AD85" i="1"/>
  <c r="AE79" i="1"/>
  <c r="AD79" i="1"/>
  <c r="AE60" i="1"/>
  <c r="AF60" i="1"/>
  <c r="AD60" i="1"/>
  <c r="AE55" i="1"/>
  <c r="AF55" i="1"/>
  <c r="AD55" i="1"/>
  <c r="AE47" i="1"/>
  <c r="AF47" i="1"/>
  <c r="AD47" i="1"/>
  <c r="AE11" i="1"/>
  <c r="AF11" i="1"/>
  <c r="AH11" i="1"/>
  <c r="AI11" i="1"/>
  <c r="AF10" i="4" s="1"/>
  <c r="AD11" i="1"/>
  <c r="AE17" i="1"/>
  <c r="AF17" i="1"/>
  <c r="AH17" i="1"/>
  <c r="AE8" i="4" s="1"/>
  <c r="AD17" i="1"/>
  <c r="AE31" i="1"/>
  <c r="AF31" i="1"/>
  <c r="AH31" i="1"/>
  <c r="AD31" i="1"/>
  <c r="AE42" i="1"/>
  <c r="AF42" i="1"/>
  <c r="AD42" i="1"/>
  <c r="AB15" i="4" l="1"/>
  <c r="AH130" i="1"/>
  <c r="AH150" i="1" s="1"/>
  <c r="AC8" i="4"/>
  <c r="AD8" i="4"/>
  <c r="AD16" i="4"/>
  <c r="AG31" i="1"/>
  <c r="AC10" i="4"/>
  <c r="AD10" i="4"/>
  <c r="AI130" i="1"/>
  <c r="AI150" i="1" s="1"/>
  <c r="AB10" i="4"/>
  <c r="AB16" i="4"/>
  <c r="AC15" i="4"/>
  <c r="AL28" i="1"/>
  <c r="AE10" i="4"/>
  <c r="AG70" i="1"/>
  <c r="AL70" i="1" s="1"/>
  <c r="AG9" i="4"/>
  <c r="AC16" i="4"/>
  <c r="AL30" i="1"/>
  <c r="AG91" i="1"/>
  <c r="AG92" i="1"/>
  <c r="AE90" i="1"/>
  <c r="AF90" i="1"/>
  <c r="AD90" i="1"/>
  <c r="AE37" i="1"/>
  <c r="AE130" i="1" s="1"/>
  <c r="AF37" i="1"/>
  <c r="AJ150" i="1"/>
  <c r="AD37" i="1"/>
  <c r="AK52" i="1"/>
  <c r="AE51" i="1"/>
  <c r="AC14" i="4" s="1"/>
  <c r="AF51" i="1"/>
  <c r="AD14" i="4" s="1"/>
  <c r="AD51" i="1"/>
  <c r="AB14" i="4" s="1"/>
  <c r="AE111" i="1"/>
  <c r="AC17" i="4" s="1"/>
  <c r="AF111" i="1"/>
  <c r="AD17" i="4" s="1"/>
  <c r="AD111" i="1"/>
  <c r="AB17" i="4" s="1"/>
  <c r="AD7" i="1"/>
  <c r="AB11" i="4" l="1"/>
  <c r="AG90" i="1"/>
  <c r="AE150" i="1"/>
  <c r="AD11" i="4"/>
  <c r="AF130" i="1"/>
  <c r="AF150" i="1" s="1"/>
  <c r="AK150" i="1"/>
  <c r="AC11" i="4"/>
  <c r="AD130" i="1"/>
  <c r="AD150" i="1" s="1"/>
  <c r="AB8" i="4"/>
  <c r="AG10" i="4"/>
  <c r="AK148" i="1"/>
  <c r="AK146" i="1"/>
  <c r="AG146" i="1"/>
  <c r="AK145" i="1"/>
  <c r="AG145" i="1"/>
  <c r="AL145" i="1" s="1"/>
  <c r="AK144" i="1"/>
  <c r="AG144" i="1"/>
  <c r="AK143" i="1"/>
  <c r="AG142" i="1"/>
  <c r="AL142" i="1" s="1"/>
  <c r="AG141" i="1"/>
  <c r="AL141" i="1" s="1"/>
  <c r="AK140" i="1"/>
  <c r="AG140" i="1"/>
  <c r="AK139" i="1"/>
  <c r="AG139" i="1"/>
  <c r="AK138" i="1"/>
  <c r="AG138" i="1"/>
  <c r="AK137" i="1"/>
  <c r="AG137" i="1"/>
  <c r="AK136" i="1"/>
  <c r="AG136" i="1"/>
  <c r="AK135" i="1"/>
  <c r="AG135" i="1"/>
  <c r="AK134" i="1"/>
  <c r="AG134" i="1"/>
  <c r="AK133" i="1"/>
  <c r="AG133" i="1"/>
  <c r="AK131" i="1"/>
  <c r="AL131" i="1" s="1"/>
  <c r="AK129" i="1"/>
  <c r="AL129" i="1" s="1"/>
  <c r="AK127" i="1"/>
  <c r="AG127" i="1"/>
  <c r="AK126" i="1"/>
  <c r="AG126" i="1"/>
  <c r="AK125" i="1"/>
  <c r="AG125" i="1"/>
  <c r="AK123" i="1"/>
  <c r="AG123" i="1"/>
  <c r="AK122" i="1"/>
  <c r="AG122" i="1"/>
  <c r="AK121" i="1"/>
  <c r="AG121" i="1"/>
  <c r="AK119" i="1"/>
  <c r="AG119" i="1"/>
  <c r="AK118" i="1"/>
  <c r="AG118" i="1"/>
  <c r="AK117" i="1"/>
  <c r="AG117" i="1"/>
  <c r="AK116" i="1"/>
  <c r="AG116" i="1"/>
  <c r="AK114" i="1"/>
  <c r="AG114" i="1"/>
  <c r="AK113" i="1"/>
  <c r="AG113" i="1"/>
  <c r="AK112" i="1"/>
  <c r="AG112" i="1"/>
  <c r="AK109" i="1"/>
  <c r="AG109" i="1"/>
  <c r="AK108" i="1"/>
  <c r="AG108" i="1"/>
  <c r="AK107" i="1"/>
  <c r="AG107" i="1"/>
  <c r="AK106" i="1"/>
  <c r="AG106" i="1"/>
  <c r="AL103" i="1"/>
  <c r="AK102" i="1"/>
  <c r="AG102" i="1"/>
  <c r="AK101" i="1"/>
  <c r="AG101" i="1"/>
  <c r="AK100" i="1"/>
  <c r="AG100" i="1"/>
  <c r="AK98" i="1"/>
  <c r="AG98" i="1"/>
  <c r="AK97" i="1"/>
  <c r="AG97" i="1"/>
  <c r="AK96" i="1"/>
  <c r="AG96" i="1"/>
  <c r="AK95" i="1"/>
  <c r="AG95" i="1"/>
  <c r="AK94" i="1"/>
  <c r="AK92" i="1"/>
  <c r="AK91" i="1"/>
  <c r="AK89" i="1"/>
  <c r="AG89" i="1"/>
  <c r="AK88" i="1"/>
  <c r="AG88" i="1"/>
  <c r="AK87" i="1"/>
  <c r="AG87" i="1"/>
  <c r="AK86" i="1"/>
  <c r="AG86" i="1"/>
  <c r="AK84" i="1"/>
  <c r="AG84" i="1"/>
  <c r="AK83" i="1"/>
  <c r="AG83" i="1"/>
  <c r="AK82" i="1"/>
  <c r="AG82" i="1"/>
  <c r="AK81" i="1"/>
  <c r="AG81" i="1"/>
  <c r="AK80" i="1"/>
  <c r="AG80" i="1"/>
  <c r="AK74" i="1"/>
  <c r="AL74" i="1" s="1"/>
  <c r="AK73" i="1"/>
  <c r="AK71" i="1"/>
  <c r="AK68" i="1"/>
  <c r="AK67" i="1"/>
  <c r="AK66" i="1"/>
  <c r="AK64" i="1"/>
  <c r="AG64" i="1"/>
  <c r="AK63" i="1"/>
  <c r="AG63" i="1"/>
  <c r="AK62" i="1"/>
  <c r="AG62" i="1"/>
  <c r="AK61" i="1"/>
  <c r="AG61" i="1"/>
  <c r="AK59" i="1"/>
  <c r="AG59" i="1"/>
  <c r="AL59" i="1" s="1"/>
  <c r="AK58" i="1"/>
  <c r="AG58" i="1"/>
  <c r="AK57" i="1"/>
  <c r="AG57" i="1"/>
  <c r="AK56" i="1"/>
  <c r="AG56" i="1"/>
  <c r="AK54" i="1"/>
  <c r="AG54" i="1"/>
  <c r="AK53" i="1"/>
  <c r="AK51" i="1" s="1"/>
  <c r="AG53" i="1"/>
  <c r="AG52" i="1"/>
  <c r="AK50" i="1"/>
  <c r="AG50" i="1"/>
  <c r="AK49" i="1"/>
  <c r="AG49" i="1"/>
  <c r="AK48" i="1"/>
  <c r="AG48" i="1"/>
  <c r="AK46" i="1"/>
  <c r="AG46" i="1"/>
  <c r="AK44" i="1"/>
  <c r="AG44" i="1"/>
  <c r="AK43" i="1"/>
  <c r="AG43" i="1"/>
  <c r="AK41" i="1"/>
  <c r="AG41" i="1"/>
  <c r="AK40" i="1"/>
  <c r="AG40" i="1"/>
  <c r="AK39" i="1"/>
  <c r="AG39" i="1"/>
  <c r="AK38" i="1"/>
  <c r="AG38" i="1"/>
  <c r="AK36" i="1"/>
  <c r="AG36" i="1"/>
  <c r="AK35" i="1"/>
  <c r="AG35" i="1"/>
  <c r="AK34" i="1"/>
  <c r="AG34" i="1"/>
  <c r="AK33" i="1"/>
  <c r="AG33" i="1"/>
  <c r="AK32" i="1"/>
  <c r="AG32" i="1"/>
  <c r="AK27" i="1"/>
  <c r="AG27" i="1"/>
  <c r="AK26" i="1"/>
  <c r="AG26" i="1"/>
  <c r="AK25" i="1"/>
  <c r="AG25" i="1"/>
  <c r="AK24" i="1"/>
  <c r="AG24" i="1"/>
  <c r="AK23" i="1"/>
  <c r="AG23" i="1"/>
  <c r="AK21" i="1"/>
  <c r="AG21" i="1"/>
  <c r="AK20" i="1"/>
  <c r="AG20" i="1"/>
  <c r="AK19" i="1"/>
  <c r="AG19" i="1"/>
  <c r="AK18" i="1"/>
  <c r="AG18" i="1"/>
  <c r="AK16" i="1"/>
  <c r="AG16" i="1"/>
  <c r="AK15" i="1"/>
  <c r="AG15" i="1"/>
  <c r="AK14" i="1"/>
  <c r="AG14" i="1"/>
  <c r="AK13" i="1"/>
  <c r="AG13" i="1"/>
  <c r="AK12" i="1"/>
  <c r="AG12" i="1"/>
  <c r="AK10" i="1"/>
  <c r="AG10" i="1"/>
  <c r="AK9" i="1"/>
  <c r="AG9" i="1"/>
  <c r="AK8" i="1"/>
  <c r="AG8" i="1"/>
  <c r="AB148" i="1"/>
  <c r="AB147" i="1"/>
  <c r="X147" i="1"/>
  <c r="AB146" i="1"/>
  <c r="X146" i="1"/>
  <c r="AB145" i="1"/>
  <c r="X145" i="1"/>
  <c r="AB144" i="1"/>
  <c r="X144" i="1"/>
  <c r="AB143" i="1"/>
  <c r="X143" i="1"/>
  <c r="X142" i="1"/>
  <c r="AC142" i="1" s="1"/>
  <c r="X141" i="1"/>
  <c r="AC141" i="1" s="1"/>
  <c r="AB140" i="1"/>
  <c r="X140" i="1"/>
  <c r="AB139" i="1"/>
  <c r="X139" i="1"/>
  <c r="AB138" i="1"/>
  <c r="X138" i="1"/>
  <c r="AB137" i="1"/>
  <c r="X137" i="1"/>
  <c r="AB136" i="1"/>
  <c r="X136" i="1"/>
  <c r="AB135" i="1"/>
  <c r="X135" i="1"/>
  <c r="AB134" i="1"/>
  <c r="X134" i="1"/>
  <c r="AB133" i="1"/>
  <c r="X133" i="1"/>
  <c r="AB131" i="1"/>
  <c r="AC131" i="1" s="1"/>
  <c r="AC130" i="1"/>
  <c r="AB130" i="1"/>
  <c r="AA130" i="1"/>
  <c r="AA150" i="1" s="1"/>
  <c r="Z130" i="1"/>
  <c r="Z150" i="1" s="1"/>
  <c r="Y130" i="1"/>
  <c r="Y150" i="1" s="1"/>
  <c r="X130" i="1"/>
  <c r="X150" i="1" s="1"/>
  <c r="W130" i="1"/>
  <c r="W150" i="1" s="1"/>
  <c r="V130" i="1"/>
  <c r="V150" i="1" s="1"/>
  <c r="U130" i="1"/>
  <c r="U150" i="1" s="1"/>
  <c r="AB129" i="1"/>
  <c r="AC129" i="1" s="1"/>
  <c r="Y127" i="1"/>
  <c r="AB127" i="1" s="1"/>
  <c r="X127" i="1"/>
  <c r="AC127" i="1" s="1"/>
  <c r="Y126" i="1"/>
  <c r="AB126" i="1" s="1"/>
  <c r="X126" i="1"/>
  <c r="AC126" i="1" s="1"/>
  <c r="AB125" i="1"/>
  <c r="X125" i="1"/>
  <c r="AC125" i="1" s="1"/>
  <c r="AB123" i="1"/>
  <c r="X123" i="1"/>
  <c r="AA122" i="1"/>
  <c r="Z122" i="1"/>
  <c r="Y122" i="1"/>
  <c r="X122" i="1"/>
  <c r="AB121" i="1"/>
  <c r="X121" i="1"/>
  <c r="AB119" i="1"/>
  <c r="X119" i="1"/>
  <c r="AB118" i="1"/>
  <c r="X118" i="1"/>
  <c r="AB117" i="1"/>
  <c r="X117" i="1"/>
  <c r="AB116" i="1"/>
  <c r="X116" i="1"/>
  <c r="AB114" i="1"/>
  <c r="X114" i="1"/>
  <c r="AB113" i="1"/>
  <c r="X113" i="1"/>
  <c r="AB112" i="1"/>
  <c r="X112" i="1"/>
  <c r="AB109" i="1"/>
  <c r="X109" i="1"/>
  <c r="AB108" i="1"/>
  <c r="X108" i="1"/>
  <c r="AB107" i="1"/>
  <c r="X107" i="1"/>
  <c r="AB106" i="1"/>
  <c r="V106" i="1"/>
  <c r="X106" i="1" s="1"/>
  <c r="AC104" i="1"/>
  <c r="AB102" i="1"/>
  <c r="X102" i="1"/>
  <c r="Y101" i="1"/>
  <c r="AB101" i="1" s="1"/>
  <c r="X101" i="1"/>
  <c r="AB100" i="1"/>
  <c r="X100" i="1"/>
  <c r="AB98" i="1"/>
  <c r="X98" i="1"/>
  <c r="AB97" i="1"/>
  <c r="X97" i="1"/>
  <c r="AB96" i="1"/>
  <c r="X96" i="1"/>
  <c r="AB95" i="1"/>
  <c r="X95" i="1"/>
  <c r="AB94" i="1"/>
  <c r="X94" i="1"/>
  <c r="Y92" i="1"/>
  <c r="AB92" i="1" s="1"/>
  <c r="X92" i="1"/>
  <c r="AB91" i="1"/>
  <c r="X91" i="1"/>
  <c r="AB89" i="1"/>
  <c r="X89" i="1"/>
  <c r="AB88" i="1"/>
  <c r="X88" i="1"/>
  <c r="AB87" i="1"/>
  <c r="X87" i="1"/>
  <c r="AB86" i="1"/>
  <c r="X86" i="1"/>
  <c r="AB84" i="1"/>
  <c r="X84" i="1"/>
  <c r="AB83" i="1"/>
  <c r="X83" i="1"/>
  <c r="AB82" i="1"/>
  <c r="X82" i="1"/>
  <c r="Y81" i="1"/>
  <c r="AB81" i="1" s="1"/>
  <c r="X81" i="1"/>
  <c r="AB80" i="1"/>
  <c r="X80" i="1"/>
  <c r="AB75" i="1"/>
  <c r="X75" i="1"/>
  <c r="AB74" i="1"/>
  <c r="X74" i="1"/>
  <c r="AB73" i="1"/>
  <c r="X73" i="1"/>
  <c r="AB72" i="1"/>
  <c r="X72" i="1"/>
  <c r="AB71" i="1"/>
  <c r="V71" i="1"/>
  <c r="X71" i="1" s="1"/>
  <c r="AB68" i="1"/>
  <c r="X68" i="1"/>
  <c r="Y67" i="1"/>
  <c r="AB67" i="1" s="1"/>
  <c r="X67" i="1"/>
  <c r="AB66" i="1"/>
  <c r="X66" i="1"/>
  <c r="AB64" i="1"/>
  <c r="X64" i="1"/>
  <c r="AB63" i="1"/>
  <c r="X63" i="1"/>
  <c r="Y62" i="1"/>
  <c r="AB62" i="1" s="1"/>
  <c r="X62" i="1"/>
  <c r="AB61" i="1"/>
  <c r="X61" i="1"/>
  <c r="Y59" i="1"/>
  <c r="AB59" i="1" s="1"/>
  <c r="X59" i="1"/>
  <c r="AB58" i="1"/>
  <c r="X58" i="1"/>
  <c r="AA57" i="1"/>
  <c r="Y57" i="1"/>
  <c r="X57" i="1"/>
  <c r="AB56" i="1"/>
  <c r="X56" i="1"/>
  <c r="AB54" i="1"/>
  <c r="X54" i="1"/>
  <c r="Y53" i="1"/>
  <c r="AB53" i="1" s="1"/>
  <c r="X53" i="1"/>
  <c r="Y52" i="1"/>
  <c r="AB52" i="1" s="1"/>
  <c r="X52" i="1"/>
  <c r="AB50" i="1"/>
  <c r="X50" i="1"/>
  <c r="AB49" i="1"/>
  <c r="X49" i="1"/>
  <c r="AB48" i="1"/>
  <c r="X48" i="1"/>
  <c r="AB46" i="1"/>
  <c r="X46" i="1"/>
  <c r="Y44" i="1"/>
  <c r="AB44" i="1" s="1"/>
  <c r="X44" i="1"/>
  <c r="AB43" i="1"/>
  <c r="X43" i="1"/>
  <c r="Y41" i="1"/>
  <c r="AB41" i="1" s="1"/>
  <c r="X41" i="1"/>
  <c r="AA40" i="1"/>
  <c r="Y40" i="1"/>
  <c r="X40" i="1"/>
  <c r="AA39" i="1"/>
  <c r="Z39" i="1"/>
  <c r="Y39" i="1"/>
  <c r="X39" i="1"/>
  <c r="Y38" i="1"/>
  <c r="AB38" i="1" s="1"/>
  <c r="X38" i="1"/>
  <c r="AB36" i="1"/>
  <c r="X36" i="1"/>
  <c r="AB35" i="1"/>
  <c r="X35" i="1"/>
  <c r="AB34" i="1"/>
  <c r="X34" i="1"/>
  <c r="Y33" i="1"/>
  <c r="AB33" i="1" s="1"/>
  <c r="X33" i="1"/>
  <c r="AB32" i="1"/>
  <c r="X32" i="1"/>
  <c r="AB27" i="1"/>
  <c r="X27" i="1"/>
  <c r="AB26" i="1"/>
  <c r="X26" i="1"/>
  <c r="AB25" i="1"/>
  <c r="X25" i="1"/>
  <c r="AB24" i="1"/>
  <c r="X24" i="1"/>
  <c r="AB23" i="1"/>
  <c r="X23" i="1"/>
  <c r="AB21" i="1"/>
  <c r="X21" i="1"/>
  <c r="AB20" i="1"/>
  <c r="X20" i="1"/>
  <c r="AB19" i="1"/>
  <c r="X19" i="1"/>
  <c r="Y18" i="1"/>
  <c r="AB18" i="1" s="1"/>
  <c r="X18" i="1"/>
  <c r="AB16" i="1"/>
  <c r="X16" i="1"/>
  <c r="AB15" i="1"/>
  <c r="X15" i="1"/>
  <c r="AB14" i="1"/>
  <c r="X14" i="1"/>
  <c r="AB13" i="1"/>
  <c r="X13" i="1"/>
  <c r="AB12" i="1"/>
  <c r="X12" i="1"/>
  <c r="AB10" i="1"/>
  <c r="X10" i="1"/>
  <c r="AB9" i="1"/>
  <c r="X9" i="1"/>
  <c r="AB8" i="1"/>
  <c r="X8" i="1"/>
  <c r="T149" i="1"/>
  <c r="T131" i="1"/>
  <c r="J148" i="1"/>
  <c r="K148" i="1" s="1"/>
  <c r="J147" i="1"/>
  <c r="F147" i="1"/>
  <c r="J146" i="1"/>
  <c r="F146" i="1"/>
  <c r="J145" i="1"/>
  <c r="F145" i="1"/>
  <c r="J144" i="1"/>
  <c r="F144" i="1"/>
  <c r="J143" i="1"/>
  <c r="D143" i="1"/>
  <c r="C143" i="1"/>
  <c r="J142" i="1"/>
  <c r="F142" i="1"/>
  <c r="J141" i="1"/>
  <c r="F141" i="1"/>
  <c r="J140" i="1"/>
  <c r="F140" i="1"/>
  <c r="J139" i="1"/>
  <c r="D139" i="1"/>
  <c r="F139" i="1" s="1"/>
  <c r="J138" i="1"/>
  <c r="F138" i="1"/>
  <c r="J137" i="1"/>
  <c r="F137" i="1"/>
  <c r="J136" i="1"/>
  <c r="F136" i="1"/>
  <c r="J135" i="1"/>
  <c r="F135" i="1"/>
  <c r="J134" i="1"/>
  <c r="F134" i="1"/>
  <c r="J133" i="1"/>
  <c r="F133" i="1"/>
  <c r="K131" i="1"/>
  <c r="I130" i="1"/>
  <c r="I150" i="1" s="1"/>
  <c r="H130" i="1"/>
  <c r="H150" i="1" s="1"/>
  <c r="G130" i="1"/>
  <c r="G150" i="1" s="1"/>
  <c r="E130" i="1"/>
  <c r="E150" i="1" s="1"/>
  <c r="D130" i="1"/>
  <c r="D150" i="1" s="1"/>
  <c r="C130" i="1"/>
  <c r="C150" i="1" s="1"/>
  <c r="K129" i="1"/>
  <c r="J127" i="1"/>
  <c r="D127" i="1"/>
  <c r="F127" i="1" s="1"/>
  <c r="J126" i="1"/>
  <c r="C126" i="1"/>
  <c r="F126" i="1" s="1"/>
  <c r="J125" i="1"/>
  <c r="E125" i="1"/>
  <c r="F125" i="1" s="1"/>
  <c r="J123" i="1"/>
  <c r="F123" i="1"/>
  <c r="J122" i="1"/>
  <c r="F122" i="1"/>
  <c r="J121" i="1"/>
  <c r="F121" i="1"/>
  <c r="J119" i="1"/>
  <c r="F119" i="1"/>
  <c r="J118" i="1"/>
  <c r="F118" i="1"/>
  <c r="J117" i="1"/>
  <c r="F117" i="1"/>
  <c r="J116" i="1"/>
  <c r="F116" i="1"/>
  <c r="J114" i="1"/>
  <c r="F114" i="1"/>
  <c r="J113" i="1"/>
  <c r="F113" i="1"/>
  <c r="J112" i="1"/>
  <c r="F112" i="1"/>
  <c r="J109" i="1"/>
  <c r="F109" i="1"/>
  <c r="J108" i="1"/>
  <c r="F108" i="1"/>
  <c r="J107" i="1"/>
  <c r="F107" i="1"/>
  <c r="J106" i="1"/>
  <c r="F106" i="1"/>
  <c r="K104" i="1"/>
  <c r="J103" i="1"/>
  <c r="F103" i="1"/>
  <c r="J102" i="1"/>
  <c r="F102" i="1"/>
  <c r="J101" i="1"/>
  <c r="F101" i="1"/>
  <c r="J100" i="1"/>
  <c r="F100" i="1"/>
  <c r="J98" i="1"/>
  <c r="F98" i="1"/>
  <c r="J97" i="1"/>
  <c r="F97" i="1"/>
  <c r="I96" i="1"/>
  <c r="J96" i="1" s="1"/>
  <c r="F96" i="1"/>
  <c r="I95" i="1"/>
  <c r="G95" i="1"/>
  <c r="F95" i="1"/>
  <c r="J94" i="1"/>
  <c r="F94" i="1"/>
  <c r="J92" i="1"/>
  <c r="F92" i="1"/>
  <c r="J91" i="1"/>
  <c r="F91" i="1"/>
  <c r="J89" i="1"/>
  <c r="F89" i="1"/>
  <c r="J88" i="1"/>
  <c r="F88" i="1"/>
  <c r="J87" i="1"/>
  <c r="F87" i="1"/>
  <c r="J86" i="1"/>
  <c r="E86" i="1"/>
  <c r="F86" i="1" s="1"/>
  <c r="J84" i="1"/>
  <c r="F84" i="1"/>
  <c r="J83" i="1"/>
  <c r="F83" i="1"/>
  <c r="J82" i="1"/>
  <c r="F82" i="1"/>
  <c r="J81" i="1"/>
  <c r="F81" i="1"/>
  <c r="J80" i="1"/>
  <c r="F80" i="1"/>
  <c r="J78" i="1"/>
  <c r="C78" i="1"/>
  <c r="F78" i="1" s="1"/>
  <c r="J77" i="1"/>
  <c r="F77" i="1"/>
  <c r="K75" i="1"/>
  <c r="K73" i="1"/>
  <c r="J72" i="1"/>
  <c r="F72" i="1"/>
  <c r="J71" i="1"/>
  <c r="F71" i="1"/>
  <c r="J68" i="1"/>
  <c r="F68" i="1"/>
  <c r="J67" i="1"/>
  <c r="F67" i="1"/>
  <c r="J66" i="1"/>
  <c r="F66" i="1"/>
  <c r="J64" i="1"/>
  <c r="F64" i="1"/>
  <c r="J63" i="1"/>
  <c r="E63" i="1"/>
  <c r="F63" i="1" s="1"/>
  <c r="J62" i="1"/>
  <c r="F62" i="1"/>
  <c r="J61" i="1"/>
  <c r="D61" i="1"/>
  <c r="F61" i="1" s="1"/>
  <c r="J59" i="1"/>
  <c r="F59" i="1"/>
  <c r="J58" i="1"/>
  <c r="F58" i="1"/>
  <c r="J57" i="1"/>
  <c r="F57" i="1"/>
  <c r="J56" i="1"/>
  <c r="F56" i="1"/>
  <c r="J54" i="1"/>
  <c r="F54" i="1"/>
  <c r="H53" i="1"/>
  <c r="J53" i="1" s="1"/>
  <c r="F53" i="1"/>
  <c r="H52" i="1"/>
  <c r="J52" i="1" s="1"/>
  <c r="E52" i="1"/>
  <c r="F52" i="1" s="1"/>
  <c r="J50" i="1"/>
  <c r="F50" i="1"/>
  <c r="J49" i="1"/>
  <c r="F49" i="1"/>
  <c r="J48" i="1"/>
  <c r="F48" i="1"/>
  <c r="J46" i="1"/>
  <c r="F46" i="1"/>
  <c r="K45" i="1"/>
  <c r="J44" i="1"/>
  <c r="F44" i="1"/>
  <c r="J43" i="1"/>
  <c r="F43" i="1"/>
  <c r="J41" i="1"/>
  <c r="F41" i="1"/>
  <c r="J40" i="1"/>
  <c r="F40" i="1"/>
  <c r="J39" i="1"/>
  <c r="F39" i="1"/>
  <c r="K39" i="1" s="1"/>
  <c r="J38" i="1"/>
  <c r="F38" i="1"/>
  <c r="J36" i="1"/>
  <c r="F36" i="1"/>
  <c r="J35" i="1"/>
  <c r="F35" i="1"/>
  <c r="J34" i="1"/>
  <c r="F34" i="1"/>
  <c r="K34" i="1" s="1"/>
  <c r="J33" i="1"/>
  <c r="F33" i="1"/>
  <c r="J32" i="1"/>
  <c r="F32" i="1"/>
  <c r="J27" i="1"/>
  <c r="F27" i="1"/>
  <c r="J26" i="1"/>
  <c r="F26" i="1"/>
  <c r="K26" i="1" s="1"/>
  <c r="J25" i="1"/>
  <c r="F25" i="1"/>
  <c r="J24" i="1"/>
  <c r="F24" i="1"/>
  <c r="J23" i="1"/>
  <c r="F23" i="1"/>
  <c r="J21" i="1"/>
  <c r="F21" i="1"/>
  <c r="J20" i="1"/>
  <c r="F20" i="1"/>
  <c r="G19" i="1"/>
  <c r="J19" i="1" s="1"/>
  <c r="D19" i="1"/>
  <c r="F19" i="1" s="1"/>
  <c r="J18" i="1"/>
  <c r="F18" i="1"/>
  <c r="J16" i="1"/>
  <c r="F16" i="1"/>
  <c r="J15" i="1"/>
  <c r="F15" i="1"/>
  <c r="J14" i="1"/>
  <c r="F14" i="1"/>
  <c r="J13" i="1"/>
  <c r="F13" i="1"/>
  <c r="J12" i="1"/>
  <c r="F12" i="1"/>
  <c r="J10" i="1"/>
  <c r="F10" i="1"/>
  <c r="J9" i="1"/>
  <c r="F9" i="1"/>
  <c r="J8" i="1"/>
  <c r="F8" i="1"/>
  <c r="AG124" i="1" l="1"/>
  <c r="K98" i="1"/>
  <c r="AG37" i="1"/>
  <c r="AK99" i="1"/>
  <c r="AL136" i="1"/>
  <c r="AG11" i="4"/>
  <c r="AG42" i="1"/>
  <c r="K20" i="1"/>
  <c r="AK31" i="1"/>
  <c r="AK47" i="1"/>
  <c r="AG93" i="1"/>
  <c r="AG99" i="1"/>
  <c r="AK105" i="1"/>
  <c r="AK111" i="1"/>
  <c r="AB40" i="1"/>
  <c r="AC40" i="1" s="1"/>
  <c r="AK11" i="1"/>
  <c r="AK79" i="1"/>
  <c r="AK124" i="1"/>
  <c r="AG7" i="1"/>
  <c r="AG85" i="1"/>
  <c r="AK90" i="1"/>
  <c r="AG115" i="1"/>
  <c r="AG120" i="1"/>
  <c r="AG51" i="1"/>
  <c r="AK132" i="1"/>
  <c r="K53" i="1"/>
  <c r="K113" i="1"/>
  <c r="AK7" i="1"/>
  <c r="AK17" i="1"/>
  <c r="AK22" i="1"/>
  <c r="AK37" i="1"/>
  <c r="AK42" i="1"/>
  <c r="AG55" i="1"/>
  <c r="AG60" i="1"/>
  <c r="AG65" i="1"/>
  <c r="AK85" i="1"/>
  <c r="AK115" i="1"/>
  <c r="AK120" i="1"/>
  <c r="AG150" i="1"/>
  <c r="AL150" i="1" s="1"/>
  <c r="K59" i="1"/>
  <c r="K94" i="1"/>
  <c r="K108" i="1"/>
  <c r="K112" i="1"/>
  <c r="K114" i="1"/>
  <c r="K117" i="1"/>
  <c r="K119" i="1"/>
  <c r="AL14" i="1"/>
  <c r="AG47" i="1"/>
  <c r="AK55" i="1"/>
  <c r="AK60" i="1"/>
  <c r="AK65" i="1"/>
  <c r="AG79" i="1"/>
  <c r="AL82" i="1"/>
  <c r="AK93" i="1"/>
  <c r="AG105" i="1"/>
  <c r="AL112" i="1"/>
  <c r="AG111" i="1"/>
  <c r="AL114" i="1"/>
  <c r="AL117" i="1"/>
  <c r="AG132" i="1"/>
  <c r="J105" i="1"/>
  <c r="J130" i="1" s="1"/>
  <c r="J150" i="1" s="1"/>
  <c r="K106" i="1"/>
  <c r="F105" i="1"/>
  <c r="F130" i="1" s="1"/>
  <c r="F150" i="1" s="1"/>
  <c r="K107" i="1"/>
  <c r="AC66" i="1"/>
  <c r="AC72" i="1"/>
  <c r="AC80" i="1"/>
  <c r="AC95" i="1"/>
  <c r="AC134" i="1"/>
  <c r="AG22" i="1"/>
  <c r="K33" i="1"/>
  <c r="AC91" i="1"/>
  <c r="AC96" i="1"/>
  <c r="AC101" i="1"/>
  <c r="K109" i="1"/>
  <c r="AC97" i="1"/>
  <c r="AC136" i="1"/>
  <c r="AC140" i="1"/>
  <c r="AL143" i="1"/>
  <c r="K8" i="1"/>
  <c r="K10" i="1"/>
  <c r="K13" i="1"/>
  <c r="K15" i="1"/>
  <c r="K18" i="1"/>
  <c r="K56" i="1"/>
  <c r="K67" i="1"/>
  <c r="K101" i="1"/>
  <c r="K103" i="1"/>
  <c r="K141" i="1"/>
  <c r="K146" i="1"/>
  <c r="T144" i="1"/>
  <c r="AC43" i="1"/>
  <c r="AC61" i="1"/>
  <c r="AL34" i="1"/>
  <c r="K40" i="1"/>
  <c r="K43" i="1"/>
  <c r="K61" i="1"/>
  <c r="K63" i="1"/>
  <c r="K68" i="1"/>
  <c r="K77" i="1"/>
  <c r="K89" i="1"/>
  <c r="K92" i="1"/>
  <c r="K96" i="1"/>
  <c r="K121" i="1"/>
  <c r="T141" i="1"/>
  <c r="T145" i="1"/>
  <c r="AB57" i="1"/>
  <c r="AC59" i="1"/>
  <c r="AC73" i="1"/>
  <c r="AL33" i="1"/>
  <c r="AL35" i="1"/>
  <c r="AL38" i="1"/>
  <c r="K19" i="1"/>
  <c r="K46" i="1"/>
  <c r="K54" i="1"/>
  <c r="K57" i="1"/>
  <c r="K97" i="1"/>
  <c r="K140" i="1"/>
  <c r="AC36" i="1"/>
  <c r="AC48" i="1"/>
  <c r="AC50" i="1"/>
  <c r="AC117" i="1"/>
  <c r="AC119" i="1"/>
  <c r="AC123" i="1"/>
  <c r="AL83" i="1"/>
  <c r="AL88" i="1"/>
  <c r="AL107" i="1"/>
  <c r="AL118" i="1"/>
  <c r="AL137" i="1"/>
  <c r="AL139" i="1"/>
  <c r="AL146" i="1"/>
  <c r="AC109" i="1"/>
  <c r="AL64" i="1"/>
  <c r="AC12" i="1"/>
  <c r="AC14" i="1"/>
  <c r="AC16" i="1"/>
  <c r="AL10" i="1"/>
  <c r="AL13" i="1"/>
  <c r="AL15" i="1"/>
  <c r="K38" i="1"/>
  <c r="K139" i="1"/>
  <c r="AC9" i="1"/>
  <c r="AC24" i="1"/>
  <c r="AC52" i="1"/>
  <c r="AC135" i="1"/>
  <c r="AC139" i="1"/>
  <c r="K80" i="1"/>
  <c r="T139" i="1"/>
  <c r="AC84" i="1"/>
  <c r="AC102" i="1"/>
  <c r="K12" i="1"/>
  <c r="K16" i="1"/>
  <c r="AC32" i="1"/>
  <c r="AC49" i="1"/>
  <c r="AC108" i="1"/>
  <c r="AC114" i="1"/>
  <c r="AC145" i="1"/>
  <c r="AL18" i="1"/>
  <c r="AG17" i="1"/>
  <c r="AL23" i="1"/>
  <c r="AL80" i="1"/>
  <c r="K24" i="1"/>
  <c r="K84" i="1"/>
  <c r="K134" i="1"/>
  <c r="K138" i="1"/>
  <c r="T135" i="1"/>
  <c r="K27" i="1"/>
  <c r="K48" i="1"/>
  <c r="K50" i="1"/>
  <c r="K71" i="1"/>
  <c r="K78" i="1"/>
  <c r="K81" i="1"/>
  <c r="K83" i="1"/>
  <c r="K88" i="1"/>
  <c r="J95" i="1"/>
  <c r="K95" i="1" s="1"/>
  <c r="K116" i="1"/>
  <c r="K133" i="1"/>
  <c r="K135" i="1"/>
  <c r="T134" i="1"/>
  <c r="T136" i="1"/>
  <c r="T138" i="1"/>
  <c r="T140" i="1"/>
  <c r="AC13" i="1"/>
  <c r="AC20" i="1"/>
  <c r="AC53" i="1"/>
  <c r="AC83" i="1"/>
  <c r="AC118" i="1"/>
  <c r="AB122" i="1"/>
  <c r="AC122" i="1" s="1"/>
  <c r="AG11" i="1"/>
  <c r="AL19" i="1"/>
  <c r="AL39" i="1"/>
  <c r="AL66" i="1"/>
  <c r="AL102" i="1"/>
  <c r="AC23" i="1"/>
  <c r="AC25" i="1"/>
  <c r="AC27" i="1"/>
  <c r="AC86" i="1"/>
  <c r="AL89" i="1"/>
  <c r="AC87" i="1"/>
  <c r="AC106" i="1"/>
  <c r="AL50" i="1"/>
  <c r="AL61" i="1"/>
  <c r="AL135" i="1"/>
  <c r="AL73" i="1"/>
  <c r="AL71" i="1"/>
  <c r="AL127" i="1"/>
  <c r="AL126" i="1"/>
  <c r="AL125" i="1"/>
  <c r="AL122" i="1"/>
  <c r="AL108" i="1"/>
  <c r="AL106" i="1"/>
  <c r="AL101" i="1"/>
  <c r="AL97" i="1"/>
  <c r="AL98" i="1"/>
  <c r="AL96" i="1"/>
  <c r="AL95" i="1"/>
  <c r="AL87" i="1"/>
  <c r="AL62" i="1"/>
  <c r="AL58" i="1"/>
  <c r="AL57" i="1"/>
  <c r="AL48" i="1"/>
  <c r="AL46" i="1"/>
  <c r="AL44" i="1"/>
  <c r="AL36" i="1"/>
  <c r="AL24" i="1"/>
  <c r="AL16" i="1"/>
  <c r="AL12" i="1"/>
  <c r="AL41" i="1"/>
  <c r="AL53" i="1"/>
  <c r="K58" i="1"/>
  <c r="K118" i="1"/>
  <c r="K125" i="1"/>
  <c r="AC89" i="1"/>
  <c r="AL8" i="1"/>
  <c r="K32" i="1"/>
  <c r="K66" i="1"/>
  <c r="K91" i="1"/>
  <c r="K123" i="1"/>
  <c r="T130" i="1"/>
  <c r="AC75" i="1"/>
  <c r="AC44" i="1"/>
  <c r="T143" i="1"/>
  <c r="K86" i="1"/>
  <c r="K14" i="1"/>
  <c r="K23" i="1"/>
  <c r="K25" i="1"/>
  <c r="K36" i="1"/>
  <c r="K82" i="1"/>
  <c r="K87" i="1"/>
  <c r="K126" i="1"/>
  <c r="K136" i="1"/>
  <c r="F143" i="1"/>
  <c r="K143" i="1" s="1"/>
  <c r="AC34" i="1"/>
  <c r="AC54" i="1"/>
  <c r="AC57" i="1"/>
  <c r="AC63" i="1"/>
  <c r="AC98" i="1"/>
  <c r="AC107" i="1"/>
  <c r="AC137" i="1"/>
  <c r="AC143" i="1"/>
  <c r="AC147" i="1"/>
  <c r="AL25" i="1"/>
  <c r="AL27" i="1"/>
  <c r="AL49" i="1"/>
  <c r="AL63" i="1"/>
  <c r="AL81" i="1"/>
  <c r="AL100" i="1"/>
  <c r="AL109" i="1"/>
  <c r="AL116" i="1"/>
  <c r="AL147" i="1"/>
  <c r="AG8" i="4" s="1"/>
  <c r="K9" i="1"/>
  <c r="K21" i="1"/>
  <c r="K35" i="1"/>
  <c r="K41" i="1"/>
  <c r="K44" i="1"/>
  <c r="K49" i="1"/>
  <c r="K52" i="1"/>
  <c r="K62" i="1"/>
  <c r="K64" i="1"/>
  <c r="K72" i="1"/>
  <c r="K100" i="1"/>
  <c r="K102" i="1"/>
  <c r="K122" i="1"/>
  <c r="K137" i="1"/>
  <c r="K142" i="1"/>
  <c r="K145" i="1"/>
  <c r="K147" i="1"/>
  <c r="T133" i="1"/>
  <c r="T142" i="1"/>
  <c r="T147" i="1"/>
  <c r="AC8" i="1"/>
  <c r="AC10" i="1"/>
  <c r="AC19" i="1"/>
  <c r="AC21" i="1"/>
  <c r="AB39" i="1"/>
  <c r="AC39" i="1" s="1"/>
  <c r="AC56" i="1"/>
  <c r="AC68" i="1"/>
  <c r="AC74" i="1"/>
  <c r="AC81" i="1"/>
  <c r="AC88" i="1"/>
  <c r="AC92" i="1"/>
  <c r="AC100" i="1"/>
  <c r="AC113" i="1"/>
  <c r="AC116" i="1"/>
  <c r="AC138" i="1"/>
  <c r="AC144" i="1"/>
  <c r="AC146" i="1"/>
  <c r="AL21" i="1"/>
  <c r="AL86" i="1"/>
  <c r="AL121" i="1"/>
  <c r="AL134" i="1"/>
  <c r="K144" i="1"/>
  <c r="T137" i="1"/>
  <c r="T146" i="1"/>
  <c r="AC15" i="1"/>
  <c r="AC18" i="1"/>
  <c r="AC26" i="1"/>
  <c r="AC33" i="1"/>
  <c r="AC35" i="1"/>
  <c r="AC38" i="1"/>
  <c r="AC41" i="1"/>
  <c r="AC46" i="1"/>
  <c r="AC58" i="1"/>
  <c r="AC62" i="1"/>
  <c r="AC64" i="1"/>
  <c r="AC67" i="1"/>
  <c r="AC71" i="1"/>
  <c r="AC82" i="1"/>
  <c r="AC94" i="1"/>
  <c r="AC112" i="1"/>
  <c r="AC121" i="1"/>
  <c r="AC133" i="1"/>
  <c r="AC148" i="1"/>
  <c r="AL9" i="1"/>
  <c r="AL20" i="1"/>
  <c r="AL26" i="1"/>
  <c r="AL32" i="1"/>
  <c r="AL40" i="1"/>
  <c r="AL43" i="1"/>
  <c r="AL56" i="1"/>
  <c r="AL84" i="1"/>
  <c r="AL119" i="1"/>
  <c r="AL123" i="1"/>
  <c r="AL133" i="1"/>
  <c r="AL138" i="1"/>
  <c r="AL140" i="1"/>
  <c r="AL144" i="1"/>
  <c r="AL54" i="1"/>
  <c r="AL52" i="1"/>
  <c r="AL68" i="1"/>
  <c r="AL67" i="1"/>
  <c r="AL113" i="1"/>
  <c r="AB150" i="1"/>
  <c r="U41" i="4"/>
  <c r="AD19" i="4"/>
  <c r="AC19" i="4"/>
  <c r="AB19" i="4"/>
  <c r="K19" i="4"/>
  <c r="J19" i="4"/>
  <c r="I19" i="4"/>
  <c r="H19" i="4"/>
  <c r="G19" i="4"/>
  <c r="AG17" i="4"/>
  <c r="AG16" i="4"/>
  <c r="AG15" i="4"/>
  <c r="AG14" i="4"/>
  <c r="AG13" i="4"/>
  <c r="AG12" i="4"/>
  <c r="AP19" i="4"/>
  <c r="AK19" i="4"/>
  <c r="V19" i="4"/>
  <c r="O19" i="4"/>
  <c r="N19" i="4"/>
  <c r="L19" i="4"/>
  <c r="K130" i="1" l="1"/>
  <c r="AL85" i="1"/>
  <c r="AL42" i="1"/>
  <c r="AL124" i="1"/>
  <c r="AL51" i="1"/>
  <c r="AL31" i="1"/>
  <c r="AL65" i="1"/>
  <c r="AG130" i="1"/>
  <c r="AL55" i="1"/>
  <c r="AL115" i="1"/>
  <c r="AL11" i="1"/>
  <c r="AL105" i="1"/>
  <c r="AL37" i="1"/>
  <c r="AL7" i="1"/>
  <c r="AL60" i="1"/>
  <c r="AL17" i="1"/>
  <c r="AL132" i="1"/>
  <c r="AL111" i="1"/>
  <c r="AK130" i="1"/>
  <c r="AL120" i="1"/>
  <c r="AL99" i="1"/>
  <c r="AL47" i="1"/>
  <c r="AL79" i="1"/>
  <c r="AL22" i="1"/>
  <c r="AL19" i="4"/>
  <c r="AM19" i="4"/>
  <c r="AS19" i="4"/>
  <c r="AT19" i="4"/>
  <c r="AJ19" i="4"/>
  <c r="K105" i="1"/>
  <c r="P19" i="4"/>
  <c r="AR19" i="4"/>
  <c r="X19" i="4"/>
  <c r="Q19" i="4"/>
  <c r="AE19" i="4"/>
  <c r="W19" i="4"/>
  <c r="U19" i="4"/>
  <c r="Y19" i="4"/>
  <c r="AI19" i="4"/>
  <c r="T150" i="1"/>
  <c r="AC150" i="1"/>
  <c r="K150" i="1"/>
  <c r="AG19" i="4"/>
  <c r="AA14" i="4" s="1"/>
  <c r="S19" i="4"/>
  <c r="M12" i="4" s="1"/>
  <c r="AF19" i="4"/>
  <c r="R19" i="4"/>
  <c r="AQ19" i="4"/>
  <c r="AA11" i="4" l="1"/>
  <c r="AA9" i="4"/>
  <c r="AA13" i="4"/>
  <c r="AA15" i="4"/>
  <c r="AA17" i="4"/>
  <c r="M11" i="4"/>
  <c r="M8" i="4"/>
  <c r="M17" i="4"/>
  <c r="AA12" i="4"/>
  <c r="M10" i="4"/>
  <c r="M9" i="4"/>
  <c r="M14" i="4"/>
  <c r="M13" i="4"/>
  <c r="M16" i="4"/>
  <c r="M15" i="4"/>
  <c r="Z19" i="4"/>
  <c r="AA8" i="4"/>
  <c r="AA10" i="4"/>
  <c r="AO17" i="4" l="1"/>
  <c r="AV15" i="4"/>
  <c r="AO12" i="4"/>
  <c r="AO13" i="4"/>
  <c r="AO16" i="4"/>
  <c r="AO9" i="4"/>
  <c r="AO14" i="4"/>
  <c r="AV17" i="4"/>
  <c r="AV11" i="4"/>
  <c r="AO10" i="4"/>
  <c r="AV16" i="4"/>
  <c r="AV9" i="4"/>
  <c r="AV14" i="4"/>
  <c r="AO15" i="4"/>
  <c r="AV10" i="4"/>
  <c r="AO8" i="4"/>
  <c r="AV12" i="4"/>
  <c r="AO11" i="4"/>
  <c r="AV13" i="4"/>
  <c r="AV8" i="4"/>
  <c r="T8" i="4"/>
  <c r="T14" i="4"/>
  <c r="T12" i="4"/>
  <c r="T11" i="4"/>
  <c r="T13" i="4"/>
  <c r="T17" i="4"/>
  <c r="T16" i="4"/>
  <c r="T15" i="4"/>
  <c r="T9" i="4"/>
  <c r="T10" i="4"/>
  <c r="AH14" i="4"/>
  <c r="AH9" i="4"/>
  <c r="AH10" i="4"/>
  <c r="AH8" i="4"/>
  <c r="AH13" i="4"/>
  <c r="AH17" i="4"/>
  <c r="AH12" i="4"/>
  <c r="AH16" i="4"/>
  <c r="AH15" i="4"/>
  <c r="AH11" i="4"/>
  <c r="AT2" i="1" l="1"/>
  <c r="AO2" i="1"/>
  <c r="AM2" i="1" l="1"/>
  <c r="AQ2" i="1"/>
  <c r="AL92" i="1" l="1"/>
  <c r="AL91" i="1"/>
  <c r="AL90" i="1" l="1"/>
  <c r="AL94" i="1"/>
  <c r="AL93" i="1" s="1"/>
  <c r="AL1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W2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EZIN:</t>
        </r>
        <r>
          <rPr>
            <sz val="9"/>
            <color indexed="81"/>
            <rFont val="Tahoma"/>
            <family val="2"/>
          </rPr>
          <t xml:space="preserve">
Dont 4.448.293.000 FCFA pour CAA</t>
        </r>
      </text>
    </comment>
  </commentList>
</comments>
</file>

<file path=xl/sharedStrings.xml><?xml version="1.0" encoding="utf-8"?>
<sst xmlns="http://schemas.openxmlformats.org/spreadsheetml/2006/main" count="408" uniqueCount="298">
  <si>
    <t>DEPENSES ORDINAIRES</t>
  </si>
  <si>
    <t>DEPENSES EN CAPITAL</t>
  </si>
  <si>
    <t>Code Prog.</t>
  </si>
  <si>
    <t>Ministère /Programme/Dotation</t>
  </si>
  <si>
    <t>Dépenses de personnel</t>
  </si>
  <si>
    <t>Dépenses d'acquisitions de biens et services</t>
  </si>
  <si>
    <t>Dépenses de transfert</t>
  </si>
  <si>
    <t>Total dépenses ordinaires (a)</t>
  </si>
  <si>
    <t>Ressources Intérieures</t>
  </si>
  <si>
    <t>Ressources extérieures (dons)</t>
  </si>
  <si>
    <t>Ressources extérieures (prêts)</t>
  </si>
  <si>
    <t>Total dépenses en capital (b)</t>
  </si>
  <si>
    <t>MINISTERE DU PLAN ET DU DEVELOPPEMENT</t>
  </si>
  <si>
    <t>014</t>
  </si>
  <si>
    <t>Pilotage et soutien aux services du MPD</t>
  </si>
  <si>
    <t>015</t>
  </si>
  <si>
    <t>016</t>
  </si>
  <si>
    <t>Financement du développement et suivi-évaluation</t>
  </si>
  <si>
    <t>MINISTERE DE LA JUSTICE ET DE LA LEGISLATION</t>
  </si>
  <si>
    <t>017</t>
  </si>
  <si>
    <t>Pilotage et soutien aux services du MJL</t>
  </si>
  <si>
    <t>018</t>
  </si>
  <si>
    <t>Cadre législatif normatif et institutionnel</t>
  </si>
  <si>
    <t>019</t>
  </si>
  <si>
    <t>Services judiciaires</t>
  </si>
  <si>
    <t>020</t>
  </si>
  <si>
    <t>Système pénitentiaire</t>
  </si>
  <si>
    <t>021</t>
  </si>
  <si>
    <t>MINISTERE DES AFFAIRES ETRANGERES ET DE LA COOPERATION</t>
  </si>
  <si>
    <t>022</t>
  </si>
  <si>
    <t>Pilotage et soutiens aux services du MAEC</t>
  </si>
  <si>
    <t>023</t>
  </si>
  <si>
    <t>Diplomatie et coopération internationale</t>
  </si>
  <si>
    <t xml:space="preserve">Béninois de la diaspora et affaires consulaires </t>
  </si>
  <si>
    <t>025</t>
  </si>
  <si>
    <t xml:space="preserve">Système d'information et communication stratégiques (Diplomatie stratégique) </t>
  </si>
  <si>
    <t>MINISTERE DE L'ECONOMIE ET DES FINANCES</t>
  </si>
  <si>
    <t>026</t>
  </si>
  <si>
    <t>Pilotage et soutien aux services du MEF</t>
  </si>
  <si>
    <t>027</t>
  </si>
  <si>
    <t xml:space="preserve">Gestion du cadre macroéconomique </t>
  </si>
  <si>
    <t>028</t>
  </si>
  <si>
    <t>Mobilisation des ressources financières et gestion de la trésorerie de l'Etat</t>
  </si>
  <si>
    <t>029</t>
  </si>
  <si>
    <t xml:space="preserve">Gestion des dépenses publiques </t>
  </si>
  <si>
    <t>030</t>
  </si>
  <si>
    <t xml:space="preserve">Gestion des biens de l'Etat et du foncier </t>
  </si>
  <si>
    <t>MINISTERE DE L'INTERIEUR ET DE LA SECURITE PUBLIQUE</t>
  </si>
  <si>
    <t>031</t>
  </si>
  <si>
    <t>Pilotage et soutien aux services du MISP</t>
  </si>
  <si>
    <t>032</t>
  </si>
  <si>
    <t xml:space="preserve">Sécurité publique </t>
  </si>
  <si>
    <t>033</t>
  </si>
  <si>
    <t>034</t>
  </si>
  <si>
    <t xml:space="preserve">Gestion intégrée des espaces frontaliers </t>
  </si>
  <si>
    <t>035</t>
  </si>
  <si>
    <t xml:space="preserve">Gestion des affaires interieures </t>
  </si>
  <si>
    <t>MINISTERE DE L'AGRICULTURE, DE L'ELEVAGE ET DE LA PECHE</t>
  </si>
  <si>
    <t>036</t>
  </si>
  <si>
    <t xml:space="preserve">Pilotage et soutiens aux services  du MAEP </t>
  </si>
  <si>
    <t>037</t>
  </si>
  <si>
    <t>Agriculture</t>
  </si>
  <si>
    <t>038</t>
  </si>
  <si>
    <t xml:space="preserve">Elevage </t>
  </si>
  <si>
    <t>039</t>
  </si>
  <si>
    <t xml:space="preserve">Pêche et aquaculture </t>
  </si>
  <si>
    <t>MINISTERE DE LA DECENTRALISATION ET DE LA GOUVERNANCE LOCALE</t>
  </si>
  <si>
    <t>040</t>
  </si>
  <si>
    <t>Pilotage et soutien aux services du MDGL</t>
  </si>
  <si>
    <t>041</t>
  </si>
  <si>
    <t>Promotion de la bonne gouvernance locale</t>
  </si>
  <si>
    <t>042</t>
  </si>
  <si>
    <t xml:space="preserve">Promotion de l’économie locale et de l’intercommunalité </t>
  </si>
  <si>
    <t>043</t>
  </si>
  <si>
    <t xml:space="preserve">Appui à la déconcentration </t>
  </si>
  <si>
    <t>MINISTERE DU TRAVAIL ET DE LA FONCTION PUBLIQUE</t>
  </si>
  <si>
    <t>044</t>
  </si>
  <si>
    <t>Pilotage et soutien aux services du MTFP</t>
  </si>
  <si>
    <t>045</t>
  </si>
  <si>
    <t>Travail et Sécurité Sociale</t>
  </si>
  <si>
    <t>048</t>
  </si>
  <si>
    <t>Modernisation de l'administration publique</t>
  </si>
  <si>
    <t>MINISTERE DE LA SANTE</t>
  </si>
  <si>
    <t>049</t>
  </si>
  <si>
    <t>Prévention et Sécurité sanitaire</t>
  </si>
  <si>
    <t>050</t>
  </si>
  <si>
    <t>Offre et accès aux soins de santé</t>
  </si>
  <si>
    <t>051</t>
  </si>
  <si>
    <t>Pilotage et Soutien aux services du MS</t>
  </si>
  <si>
    <t>MINISTERE DE L'ENSEIGNEMENT SUPERIEUR ET DE LA RECHERCHE SCIENTIFIQUE</t>
  </si>
  <si>
    <t>054</t>
  </si>
  <si>
    <t>Pilotage et soutien aux services du MESRS</t>
  </si>
  <si>
    <t>055</t>
  </si>
  <si>
    <t>Enseignement supérieur</t>
  </si>
  <si>
    <t>056</t>
  </si>
  <si>
    <t>Recherche scientifique et innovation technologique</t>
  </si>
  <si>
    <t>057</t>
  </si>
  <si>
    <t>Vie de l'étudiant</t>
  </si>
  <si>
    <t>MINISTERE DES ENSEIGNEMENTS SECONDAIRE, TECHNIQUE, ET DE LA FORMATION PROFESSIONNELLE</t>
  </si>
  <si>
    <t>058</t>
  </si>
  <si>
    <t>Pilotage et soutien aux services  du MESTFP</t>
  </si>
  <si>
    <t>059</t>
  </si>
  <si>
    <t xml:space="preserve">Enseignement secondaire général </t>
  </si>
  <si>
    <t>060</t>
  </si>
  <si>
    <t xml:space="preserve">Enseignement technique et formation professionnelle </t>
  </si>
  <si>
    <t>061</t>
  </si>
  <si>
    <t>Alphabétisation et formation des adultes</t>
  </si>
  <si>
    <t>MINISTERE DES ENSEIGNEMENTS MATERNEL ET PRIMAIRE</t>
  </si>
  <si>
    <t>062</t>
  </si>
  <si>
    <t>Pilotage et soutiens aux services du MEMP</t>
  </si>
  <si>
    <t>063</t>
  </si>
  <si>
    <t>Accès, équité et rétention</t>
  </si>
  <si>
    <t>064</t>
  </si>
  <si>
    <t>Qualité de l'enseignement</t>
  </si>
  <si>
    <t>065</t>
  </si>
  <si>
    <t>066</t>
  </si>
  <si>
    <t>067</t>
  </si>
  <si>
    <t>MINISTERE DES INFRASTRUCTURES ET DES TRANSPORTS</t>
  </si>
  <si>
    <t>068</t>
  </si>
  <si>
    <t>Pilotage et soutien aux services du MIT</t>
  </si>
  <si>
    <t>069</t>
  </si>
  <si>
    <t>Entretien et construction de routes et infrastructures de transport rural</t>
  </si>
  <si>
    <t>070</t>
  </si>
  <si>
    <t>Transport Terrestre et securité routière</t>
  </si>
  <si>
    <t>071</t>
  </si>
  <si>
    <t>Transport maritime</t>
  </si>
  <si>
    <t>072</t>
  </si>
  <si>
    <t>Transport aérien</t>
  </si>
  <si>
    <t>MINISTERE DE L'INDUSTRIE ET DU COMMERCE</t>
  </si>
  <si>
    <t>073</t>
  </si>
  <si>
    <t>074</t>
  </si>
  <si>
    <t>Industrie</t>
  </si>
  <si>
    <t>075</t>
  </si>
  <si>
    <t>Commerce</t>
  </si>
  <si>
    <t>077</t>
  </si>
  <si>
    <t>Appui au secteur privé</t>
  </si>
  <si>
    <t>MINISTERE DE L'ENERGIE</t>
  </si>
  <si>
    <t>078</t>
  </si>
  <si>
    <t>Pilotage et soutiens aux services  du ME</t>
  </si>
  <si>
    <t>079</t>
  </si>
  <si>
    <t xml:space="preserve">Energie </t>
  </si>
  <si>
    <t>MINISTERE DU CADRE DE VIE ET DU DEVELOPPEMENT DURABLE</t>
  </si>
  <si>
    <t>082</t>
  </si>
  <si>
    <t>Pilotage et soutien aux services du MCVDD</t>
  </si>
  <si>
    <t>083</t>
  </si>
  <si>
    <t>Gestion de l'environnement et des changements climatiques</t>
  </si>
  <si>
    <t>084</t>
  </si>
  <si>
    <t>Gestion durable des forêts et des ressources naturelles</t>
  </si>
  <si>
    <t>085</t>
  </si>
  <si>
    <t>Gestion des territoires</t>
  </si>
  <si>
    <t>086</t>
  </si>
  <si>
    <t>Habitat</t>
  </si>
  <si>
    <t>090</t>
  </si>
  <si>
    <t>091</t>
  </si>
  <si>
    <t xml:space="preserve">Sport </t>
  </si>
  <si>
    <t>092</t>
  </si>
  <si>
    <t>088</t>
  </si>
  <si>
    <t>Tourisme</t>
  </si>
  <si>
    <t>089</t>
  </si>
  <si>
    <t>Culture</t>
  </si>
  <si>
    <t>MINISTERE DE LA DEFENSE NATIONALE</t>
  </si>
  <si>
    <t>094</t>
  </si>
  <si>
    <t>Pilotage et soutien aux services du MDN</t>
  </si>
  <si>
    <t>095</t>
  </si>
  <si>
    <t>Préparation des Forces</t>
  </si>
  <si>
    <t>096</t>
  </si>
  <si>
    <t>Protection du territoire national et participation aux opérations militaires</t>
  </si>
  <si>
    <t>097</t>
  </si>
  <si>
    <t>Equipements et infrastructures</t>
  </si>
  <si>
    <t>MINISTERE DES AFFAIRES SOCIALES ET DE LA MICROFINANCE</t>
  </si>
  <si>
    <t>098</t>
  </si>
  <si>
    <t>Pilotage et soutien aux services du MASM</t>
  </si>
  <si>
    <t>099</t>
  </si>
  <si>
    <t>PROMOTION SOCIO-ECONOMIQUE DES COUCHES VULNERABLES</t>
  </si>
  <si>
    <t>100</t>
  </si>
  <si>
    <t>PROMOTION DE L'INDUSTRIE DE LA MICROFINANCE</t>
  </si>
  <si>
    <t>MINISTERE DES PETITES ET MOYENNES ENTREPRISES ET DE LA PROMOTION DE L'EMPLOI</t>
  </si>
  <si>
    <t>0101</t>
  </si>
  <si>
    <t>Pilotage et soutien aux services du MPMEPE</t>
  </si>
  <si>
    <t>0102</t>
  </si>
  <si>
    <t>Emploi</t>
  </si>
  <si>
    <t>0103</t>
  </si>
  <si>
    <t>Artisanat</t>
  </si>
  <si>
    <t>0104</t>
  </si>
  <si>
    <t>PME</t>
  </si>
  <si>
    <t>MINISTERE DE L'EAU ET DES MINES</t>
  </si>
  <si>
    <t>0105</t>
  </si>
  <si>
    <t>Pilotage et soutiens aux services du MEM</t>
  </si>
  <si>
    <t>080</t>
  </si>
  <si>
    <t xml:space="preserve">Eau </t>
  </si>
  <si>
    <t>081</t>
  </si>
  <si>
    <t>Mines</t>
  </si>
  <si>
    <t>TOTAL PROGRAMMES BUDGETAIRES</t>
  </si>
  <si>
    <t>DOTATIONS BUDGETAIRES</t>
  </si>
  <si>
    <t>001</t>
  </si>
  <si>
    <t>Dotation pour l'Assemblée Nationale</t>
  </si>
  <si>
    <t>002</t>
  </si>
  <si>
    <t>Dotation pour la Cour Constitutionnelle</t>
  </si>
  <si>
    <t>003</t>
  </si>
  <si>
    <t>Dotation pour la Cour Suprême</t>
  </si>
  <si>
    <t>004</t>
  </si>
  <si>
    <t>Dotation pour le Conseil Economique et Social</t>
  </si>
  <si>
    <t>005</t>
  </si>
  <si>
    <t>Dotation pour la Haute Autorité de l’Audiovisuel et de la Communication</t>
  </si>
  <si>
    <t>006</t>
  </si>
  <si>
    <t>Dotation pour la Haute Cour de Justice</t>
  </si>
  <si>
    <t>007</t>
  </si>
  <si>
    <t>Dotation pour le Médiateur de la République</t>
  </si>
  <si>
    <t>008</t>
  </si>
  <si>
    <t xml:space="preserve">Dotation pour la Commission Electorale Nationale Autonome </t>
  </si>
  <si>
    <t>009</t>
  </si>
  <si>
    <t>Dotation pour le FNRB, la CAA et le Fonds Routier</t>
  </si>
  <si>
    <t>010</t>
  </si>
  <si>
    <t>Dotation pour la Présidence de la République</t>
  </si>
  <si>
    <t>011</t>
  </si>
  <si>
    <t>Dotation pour les dépenses d'intervention publique, accidentelles et imprévisibles</t>
  </si>
  <si>
    <t>012</t>
  </si>
  <si>
    <t>Dotations pour les crédits destinés à couvrir les défauts de remboursement ou les appels en garanties intervenues sur les comptes d'avances, de prêts, d'aval et de garanties</t>
  </si>
  <si>
    <t>Dotation pour les Charges financières de la dette</t>
  </si>
  <si>
    <t>TOTAL BUDGET DE L'ETAT</t>
  </si>
  <si>
    <t>Jeunesse et Loisirs</t>
  </si>
  <si>
    <t>Total des Prévisions</t>
  </si>
  <si>
    <t>013</t>
  </si>
  <si>
    <t>(en milliers de francs CFA)</t>
  </si>
  <si>
    <t xml:space="preserve">Commission Béninoise des Droits de l'Homme </t>
  </si>
  <si>
    <t>Autorité de Protection des Données à Caractère Personnel</t>
  </si>
  <si>
    <t>Cour des Comptes</t>
  </si>
  <si>
    <t>MINISTERE DU NUMERIQUE ET DE LA DIGITALISATION</t>
  </si>
  <si>
    <t>MINISTERE  DES SPORTS</t>
  </si>
  <si>
    <t>Pilotage et soutiens aux services du MTCA</t>
  </si>
  <si>
    <t>093</t>
  </si>
  <si>
    <t>Culture et Art</t>
  </si>
  <si>
    <t>MINISTERE DE LA COMMUNICATION ET DE LA POSTE</t>
  </si>
  <si>
    <t>Pilotage et soutien aux services du MND</t>
  </si>
  <si>
    <t>Pilotage et soutien aux services du MCP</t>
  </si>
  <si>
    <t xml:space="preserve">Information, Communication et poste </t>
  </si>
  <si>
    <t>MINISTERE DU TOURISME, DE LA CULTURE ET DES ARTS</t>
  </si>
  <si>
    <t>Pilotage et soutien aux services du MIC</t>
  </si>
  <si>
    <t>Sécurité Numérique</t>
  </si>
  <si>
    <t>Digitalisation de l'Administration, des entreprises et de la société</t>
  </si>
  <si>
    <t>Infrastructure et Usages Numériques</t>
  </si>
  <si>
    <t>Pilotage et soutien aux services du Msports</t>
  </si>
  <si>
    <t xml:space="preserve"> </t>
  </si>
  <si>
    <t>Medias</t>
  </si>
  <si>
    <t>N°</t>
  </si>
  <si>
    <t>FONCTIONS</t>
  </si>
  <si>
    <t>TOTAL FONCTION</t>
  </si>
  <si>
    <t>Poids</t>
  </si>
  <si>
    <t>Observations</t>
  </si>
  <si>
    <t>DEPENSES DE PERSONNEL</t>
  </si>
  <si>
    <t>ACHATS DE BIENS ET SERVICES</t>
  </si>
  <si>
    <t>AUTRES TRANSFERTS COURANTS</t>
  </si>
  <si>
    <t>FINANCEMENT INTERIEUR</t>
  </si>
  <si>
    <t>FINANCEMENT EXTERIEUR</t>
  </si>
  <si>
    <t>DEPENSES D'ACQUISITION DE BIENS ET SERVICES</t>
  </si>
  <si>
    <t>01</t>
  </si>
  <si>
    <t>Services Généraux des Administrations publiques</t>
  </si>
  <si>
    <r>
      <t xml:space="preserve">MDC, MAEC, MDGL, MTFP, AN, CC, CS, CES, HAC, HCJ, MR, CENA, CBDH, APDP, PR, </t>
    </r>
    <r>
      <rPr>
        <sz val="9"/>
        <rFont val="Segoe UI"/>
        <family val="2"/>
      </rPr>
      <t>Dépenses d'intervention publique accidentelle et imprévisible (Dépenses fiscales, Modenisation de régies financières, Dépenses communes, Dépenses diverses, dépenses d'exercice clos, Etude de faisabilité et expertise Promotion de la recherche agricole) , Charges financières de la Dette Publique, Cour des Comptes</t>
    </r>
  </si>
  <si>
    <t>02</t>
  </si>
  <si>
    <t>Defense</t>
  </si>
  <si>
    <t>MDN, Compte OME</t>
  </si>
  <si>
    <t>03</t>
  </si>
  <si>
    <t>Ordre et Sécurité Publique</t>
  </si>
  <si>
    <t>04</t>
  </si>
  <si>
    <t>Affaires économiques</t>
  </si>
  <si>
    <r>
      <t xml:space="preserve">MEF, MAEP, MCP, MIT, MIC, MPMEPE, ME, MND, </t>
    </r>
    <r>
      <rPr>
        <sz val="10"/>
        <rFont val="Segoe UI"/>
        <family val="2"/>
      </rPr>
      <t>Modernisation des Régies, Dépenses d'intervention publique accidentelles et imprévisibles (Investissement en portefeuille, Dépenses fiscales, Etude de faisabilité)</t>
    </r>
  </si>
  <si>
    <t>05</t>
  </si>
  <si>
    <t xml:space="preserve">Protection de l'environnement </t>
  </si>
  <si>
    <t>MCVDD (données pilotage et soutien, environnement et climat, Eau forêt et chasse)</t>
  </si>
  <si>
    <t>06</t>
  </si>
  <si>
    <t>Logement et équipements collectifs</t>
  </si>
  <si>
    <t>MCVDD (données ville et territoire durable, habitat), MEM</t>
  </si>
  <si>
    <t>07</t>
  </si>
  <si>
    <t>Santé</t>
  </si>
  <si>
    <t>MS</t>
  </si>
  <si>
    <t>08</t>
  </si>
  <si>
    <t>Loisirs, Culture et Culte</t>
  </si>
  <si>
    <t>M Sport, MTCA</t>
  </si>
  <si>
    <t>09</t>
  </si>
  <si>
    <t>Enseignement</t>
  </si>
  <si>
    <t>MESRS, MESTFP, MEMP, Partenariat mondial pour l'éducation</t>
  </si>
  <si>
    <t>10</t>
  </si>
  <si>
    <t xml:space="preserve">Protection sociale </t>
  </si>
  <si>
    <t>TOTAL FONCTIONS</t>
  </si>
  <si>
    <t>Orientation et évaluation des politiques de développement</t>
  </si>
  <si>
    <t xml:space="preserve"> Droits de l’Homme </t>
  </si>
  <si>
    <t>Protection civile</t>
  </si>
  <si>
    <t xml:space="preserve">Opérations Militaire à l'extérieur </t>
  </si>
  <si>
    <t>Assurance retraite des Agents de l'Etat</t>
  </si>
  <si>
    <t>Prévention et gestion des catastrophe</t>
  </si>
  <si>
    <t>Modernisation des regies financières</t>
  </si>
  <si>
    <t>Partenariat mondial pour l'Education</t>
  </si>
  <si>
    <t>MJL, MISP</t>
  </si>
  <si>
    <t>2021 (LFI)</t>
  </si>
  <si>
    <t>MASM, Assurance retraite des agents de l'Etat, Prévention et gestion des catastrophes</t>
  </si>
  <si>
    <t>103</t>
  </si>
  <si>
    <t>Fonds de développement des Arts et de la culture</t>
  </si>
  <si>
    <t>2022 (LFI)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</si>
</sst>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C_F_A_-;\-* #,##0\ _C_F_A_-;_-* &quot;-&quot;\ _C_F_A_-;_-@_-"/>
    <numFmt numFmtId="166" formatCode="#,##0.0"/>
    <numFmt numFmtId="167" formatCode="_-* #,##0.0\ _C_F_A_-;\-* #,##0.0\ _C_F_A_-;_-* &quot;-&quot;?\ _C_F_A_-;_-@_-"/>
    <numFmt numFmtId="168" formatCode="_-* #,##0\ _€_-;\-* #,##0\ _€_-;_-* &quot;-&quot;??\ _€_-;_-@_-"/>
    <numFmt numFmtId="169" formatCode="0.0%"/>
    <numFmt numFmtId="170" formatCode="_-* #,##0.0\ _€_-;\-* #,##0.0\ _€_-;_-* &quot;-&quot;??\ _€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1"/>
      <color rgb="FF000000"/>
      <name val="Segoe UI"/>
      <family val="2"/>
    </font>
    <font>
      <sz val="11"/>
      <name val="Segoe UI"/>
      <family val="2"/>
    </font>
    <font>
      <sz val="11"/>
      <color rgb="FF002060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Segoe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Segoe UI"/>
      <family val="2"/>
    </font>
    <font>
      <sz val="11"/>
      <color rgb="FF006100"/>
      <name val="Calibri"/>
      <family val="2"/>
      <scheme val="minor"/>
    </font>
    <font>
      <b/>
      <sz val="9"/>
      <color theme="1"/>
      <name val="Segoe UI"/>
      <family val="2"/>
    </font>
    <font>
      <b/>
      <sz val="11"/>
      <name val="Segoe UI"/>
      <family val="2"/>
    </font>
    <font>
      <sz val="9"/>
      <color rgb="FF000000"/>
      <name val="Segoe UI"/>
      <family val="2"/>
    </font>
    <font>
      <sz val="9"/>
      <name val="Segoe UI"/>
      <family val="2"/>
    </font>
    <font>
      <sz val="11"/>
      <name val="Calibri"/>
      <family val="2"/>
      <scheme val="minor"/>
    </font>
    <font>
      <sz val="10"/>
      <color rgb="FF000000"/>
      <name val="Segoe UI"/>
      <family val="2"/>
    </font>
    <font>
      <sz val="10"/>
      <name val="Segoe UI"/>
      <family val="2"/>
    </font>
    <font>
      <sz val="11"/>
      <color rgb="FF9C0006"/>
      <name val="Calibri"/>
      <family val="2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gray125"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gray125">
        <bgColor theme="9" tint="0.79998168889431442"/>
      </patternFill>
    </fill>
    <fill>
      <patternFill patternType="solid">
        <fgColor theme="6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4" fillId="9" borderId="0" applyNumberFormat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11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6" fontId="1" fillId="4" borderId="7" xfId="0" applyNumberFormat="1" applyFont="1" applyFill="1" applyBorder="1" applyAlignment="1">
      <alignment vertical="center"/>
    </xf>
    <xf numFmtId="0" fontId="4" fillId="0" borderId="8" xfId="0" quotePrefix="1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166" fontId="5" fillId="0" borderId="8" xfId="0" applyNumberFormat="1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166" fontId="5" fillId="0" borderId="10" xfId="0" applyNumberFormat="1" applyFont="1" applyBorder="1" applyAlignment="1">
      <alignment vertical="center"/>
    </xf>
    <xf numFmtId="0" fontId="1" fillId="5" borderId="0" xfId="0" applyFont="1" applyFill="1" applyAlignment="1">
      <alignment vertical="center" wrapText="1"/>
    </xf>
    <xf numFmtId="166" fontId="1" fillId="6" borderId="4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166" fontId="1" fillId="4" borderId="4" xfId="0" applyNumberFormat="1" applyFont="1" applyFill="1" applyBorder="1" applyAlignment="1">
      <alignment vertical="center"/>
    </xf>
    <xf numFmtId="0" fontId="5" fillId="0" borderId="13" xfId="0" applyFont="1" applyBorder="1" applyAlignment="1">
      <alignment vertical="center" wrapText="1"/>
    </xf>
    <xf numFmtId="166" fontId="5" fillId="0" borderId="12" xfId="0" applyNumberFormat="1" applyFont="1" applyBorder="1" applyAlignment="1">
      <alignment vertical="center"/>
    </xf>
    <xf numFmtId="166" fontId="1" fillId="7" borderId="4" xfId="0" applyNumberFormat="1" applyFont="1" applyFill="1" applyBorder="1" applyAlignment="1">
      <alignment vertical="center"/>
    </xf>
    <xf numFmtId="3" fontId="0" fillId="0" borderId="0" xfId="0" applyNumberFormat="1"/>
    <xf numFmtId="0" fontId="0" fillId="0" borderId="14" xfId="0" applyBorder="1"/>
    <xf numFmtId="3" fontId="4" fillId="0" borderId="0" xfId="0" applyNumberFormat="1" applyFont="1"/>
    <xf numFmtId="166" fontId="0" fillId="0" borderId="0" xfId="0" applyNumberFormat="1"/>
    <xf numFmtId="166" fontId="1" fillId="4" borderId="6" xfId="0" quotePrefix="1" applyNumberFormat="1" applyFont="1" applyFill="1" applyBorder="1" applyAlignment="1">
      <alignment horizontal="center" vertical="center"/>
    </xf>
    <xf numFmtId="0" fontId="8" fillId="0" borderId="0" xfId="0" applyFont="1"/>
    <xf numFmtId="166" fontId="5" fillId="0" borderId="13" xfId="0" applyNumberFormat="1" applyFont="1" applyBorder="1" applyAlignment="1">
      <alignment vertical="center"/>
    </xf>
    <xf numFmtId="166" fontId="5" fillId="8" borderId="8" xfId="0" applyNumberFormat="1" applyFont="1" applyFill="1" applyBorder="1" applyAlignment="1">
      <alignment vertical="center"/>
    </xf>
    <xf numFmtId="165" fontId="0" fillId="0" borderId="0" xfId="0" applyNumberFormat="1"/>
    <xf numFmtId="167" fontId="0" fillId="0" borderId="0" xfId="0" applyNumberFormat="1"/>
    <xf numFmtId="166" fontId="0" fillId="8" borderId="0" xfId="0" applyNumberFormat="1" applyFill="1"/>
    <xf numFmtId="0" fontId="2" fillId="2" borderId="1" xfId="0" applyFont="1" applyFill="1" applyBorder="1" applyAlignment="1">
      <alignment horizontal="center" vertical="center" wrapText="1"/>
    </xf>
    <xf numFmtId="3" fontId="5" fillId="0" borderId="7" xfId="0" applyNumberFormat="1" applyFont="1" applyBorder="1" applyAlignment="1">
      <alignment vertical="center"/>
    </xf>
    <xf numFmtId="3" fontId="5" fillId="0" borderId="8" xfId="0" applyNumberFormat="1" applyFont="1" applyBorder="1" applyAlignment="1">
      <alignment horizontal="right" vertical="center"/>
    </xf>
    <xf numFmtId="3" fontId="5" fillId="0" borderId="8" xfId="0" applyNumberFormat="1" applyFont="1" applyBorder="1" applyAlignment="1">
      <alignment vertical="center"/>
    </xf>
    <xf numFmtId="3" fontId="6" fillId="0" borderId="7" xfId="0" applyNumberFormat="1" applyFont="1" applyBorder="1" applyAlignment="1">
      <alignment vertical="center"/>
    </xf>
    <xf numFmtId="3" fontId="6" fillId="0" borderId="8" xfId="0" applyNumberFormat="1" applyFont="1" applyBorder="1" applyAlignment="1">
      <alignment vertical="center"/>
    </xf>
    <xf numFmtId="3" fontId="6" fillId="0" borderId="10" xfId="0" applyNumberFormat="1" applyFont="1" applyBorder="1" applyAlignment="1">
      <alignment vertical="center"/>
    </xf>
    <xf numFmtId="166" fontId="10" fillId="0" borderId="8" xfId="0" applyNumberFormat="1" applyFont="1" applyBorder="1" applyAlignment="1">
      <alignment vertical="center"/>
    </xf>
    <xf numFmtId="3" fontId="5" fillId="0" borderId="10" xfId="0" applyNumberFormat="1" applyFont="1" applyBorder="1" applyAlignment="1">
      <alignment vertical="center"/>
    </xf>
    <xf numFmtId="3" fontId="13" fillId="0" borderId="7" xfId="0" applyNumberFormat="1" applyFont="1" applyBorder="1" applyAlignment="1">
      <alignment vertical="center"/>
    </xf>
    <xf numFmtId="3" fontId="5" fillId="0" borderId="12" xfId="0" applyNumberFormat="1" applyFont="1" applyBorder="1" applyAlignment="1">
      <alignment vertical="center"/>
    </xf>
    <xf numFmtId="3" fontId="5" fillId="0" borderId="4" xfId="0" applyNumberFormat="1" applyFont="1" applyBorder="1" applyAlignment="1">
      <alignment vertical="center"/>
    </xf>
    <xf numFmtId="3" fontId="4" fillId="0" borderId="0" xfId="0" applyNumberFormat="1" applyFont="1" applyAlignment="1">
      <alignment vertical="center"/>
    </xf>
    <xf numFmtId="166" fontId="4" fillId="4" borderId="7" xfId="0" applyNumberFormat="1" applyFont="1" applyFill="1" applyBorder="1" applyAlignment="1">
      <alignment vertical="center"/>
    </xf>
    <xf numFmtId="168" fontId="4" fillId="0" borderId="0" xfId="4" applyNumberFormat="1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quotePrefix="1" applyFont="1" applyBorder="1" applyAlignment="1">
      <alignment horizontal="center" vertical="center"/>
    </xf>
    <xf numFmtId="3" fontId="5" fillId="8" borderId="9" xfId="0" applyNumberFormat="1" applyFont="1" applyFill="1" applyBorder="1" applyAlignment="1">
      <alignment vertical="center" wrapText="1"/>
    </xf>
    <xf numFmtId="166" fontId="16" fillId="8" borderId="8" xfId="0" applyNumberFormat="1" applyFont="1" applyFill="1" applyBorder="1" applyAlignment="1">
      <alignment vertical="center"/>
    </xf>
    <xf numFmtId="169" fontId="5" fillId="8" borderId="8" xfId="2" applyNumberFormat="1" applyFont="1" applyFill="1" applyBorder="1" applyAlignment="1">
      <alignment horizontal="center" vertical="center"/>
    </xf>
    <xf numFmtId="3" fontId="5" fillId="0" borderId="9" xfId="0" applyNumberFormat="1" applyFont="1" applyBorder="1" applyAlignment="1">
      <alignment vertical="center" wrapText="1"/>
    </xf>
    <xf numFmtId="169" fontId="5" fillId="0" borderId="8" xfId="2" applyNumberFormat="1" applyFont="1" applyFill="1" applyBorder="1" applyAlignment="1">
      <alignment horizontal="center" vertical="center"/>
    </xf>
    <xf numFmtId="3" fontId="4" fillId="0" borderId="9" xfId="0" applyNumberFormat="1" applyFont="1" applyBorder="1" applyAlignment="1">
      <alignment vertical="center" wrapText="1"/>
    </xf>
    <xf numFmtId="166" fontId="17" fillId="0" borderId="8" xfId="0" applyNumberFormat="1" applyFont="1" applyBorder="1" applyAlignment="1">
      <alignment vertical="center" wrapText="1"/>
    </xf>
    <xf numFmtId="3" fontId="19" fillId="0" borderId="9" xfId="3" applyNumberFormat="1" applyFont="1" applyFill="1" applyBorder="1" applyAlignment="1">
      <alignment vertical="center" wrapText="1"/>
    </xf>
    <xf numFmtId="166" fontId="20" fillId="8" borderId="8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166" fontId="20" fillId="0" borderId="8" xfId="0" applyNumberFormat="1" applyFont="1" applyBorder="1" applyAlignment="1">
      <alignment vertical="center" wrapText="1"/>
    </xf>
    <xf numFmtId="166" fontId="16" fillId="0" borderId="8" xfId="0" applyNumberFormat="1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3" fontId="1" fillId="2" borderId="4" xfId="0" applyNumberFormat="1" applyFont="1" applyFill="1" applyBorder="1" applyAlignment="1">
      <alignment vertical="center"/>
    </xf>
    <xf numFmtId="3" fontId="1" fillId="2" borderId="4" xfId="0" applyNumberFormat="1" applyFont="1" applyFill="1" applyBorder="1" applyAlignment="1">
      <alignment horizontal="center" vertical="center"/>
    </xf>
    <xf numFmtId="166" fontId="1" fillId="2" borderId="4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168" fontId="4" fillId="0" borderId="0" xfId="4" applyNumberFormat="1" applyFont="1" applyAlignment="1">
      <alignment vertical="center"/>
    </xf>
    <xf numFmtId="166" fontId="5" fillId="0" borderId="18" xfId="0" applyNumberFormat="1" applyFont="1" applyBorder="1" applyAlignment="1">
      <alignment vertical="center"/>
    </xf>
    <xf numFmtId="0" fontId="5" fillId="0" borderId="30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3" fontId="5" fillId="0" borderId="18" xfId="0" applyNumberFormat="1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166" fontId="5" fillId="0" borderId="8" xfId="0" applyNumberFormat="1" applyFont="1" applyBorder="1" applyAlignment="1">
      <alignment horizontal="center" vertical="center"/>
    </xf>
    <xf numFmtId="170" fontId="1" fillId="4" borderId="7" xfId="5" applyNumberFormat="1" applyFont="1" applyFill="1" applyBorder="1" applyAlignment="1">
      <alignment horizontal="right" vertical="center"/>
    </xf>
    <xf numFmtId="3" fontId="4" fillId="8" borderId="0" xfId="0" applyNumberFormat="1" applyFont="1" applyFill="1" applyAlignment="1">
      <alignment vertical="center"/>
    </xf>
    <xf numFmtId="0" fontId="5" fillId="10" borderId="9" xfId="0" applyFont="1" applyFill="1" applyBorder="1" applyAlignment="1">
      <alignment vertical="center" wrapText="1"/>
    </xf>
    <xf numFmtId="166" fontId="4" fillId="0" borderId="12" xfId="0" applyNumberFormat="1" applyFont="1" applyBorder="1" applyAlignment="1">
      <alignment vertical="center"/>
    </xf>
    <xf numFmtId="165" fontId="5" fillId="0" borderId="9" xfId="1" applyFont="1" applyFill="1" applyBorder="1" applyAlignment="1">
      <alignment vertical="center" wrapText="1"/>
    </xf>
    <xf numFmtId="165" fontId="4" fillId="0" borderId="0" xfId="1" applyFont="1" applyAlignment="1"/>
    <xf numFmtId="166" fontId="5" fillId="0" borderId="19" xfId="0" applyNumberFormat="1" applyFont="1" applyBorder="1" applyAlignment="1">
      <alignment vertical="center"/>
    </xf>
    <xf numFmtId="3" fontId="6" fillId="0" borderId="16" xfId="0" applyNumberFormat="1" applyFont="1" applyBorder="1" applyAlignment="1">
      <alignment vertical="center"/>
    </xf>
    <xf numFmtId="166" fontId="5" fillId="0" borderId="0" xfId="0" applyNumberFormat="1" applyFont="1" applyAlignment="1">
      <alignment vertical="center"/>
    </xf>
    <xf numFmtId="165" fontId="5" fillId="0" borderId="0" xfId="1" applyFont="1" applyFill="1" applyBorder="1" applyAlignment="1">
      <alignment vertical="center" wrapText="1"/>
    </xf>
    <xf numFmtId="3" fontId="6" fillId="0" borderId="0" xfId="0" applyNumberFormat="1" applyFont="1" applyAlignment="1">
      <alignment vertical="center"/>
    </xf>
    <xf numFmtId="3" fontId="5" fillId="0" borderId="26" xfId="0" applyNumberFormat="1" applyFont="1" applyBorder="1" applyAlignment="1">
      <alignment vertical="center"/>
    </xf>
    <xf numFmtId="166" fontId="5" fillId="0" borderId="16" xfId="0" applyNumberFormat="1" applyFont="1" applyBorder="1" applyAlignment="1">
      <alignment vertical="center"/>
    </xf>
    <xf numFmtId="3" fontId="6" fillId="0" borderId="4" xfId="0" applyNumberFormat="1" applyFont="1" applyBorder="1" applyAlignment="1">
      <alignment vertical="center"/>
    </xf>
    <xf numFmtId="166" fontId="5" fillId="0" borderId="4" xfId="0" applyNumberFormat="1" applyFont="1" applyBorder="1" applyAlignment="1">
      <alignment vertical="center"/>
    </xf>
    <xf numFmtId="3" fontId="0" fillId="0" borderId="4" xfId="0" applyNumberForma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6" xfId="0" quotePrefix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quotePrefix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quotePrefix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quotePrefix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6" fontId="1" fillId="3" borderId="7" xfId="0" applyNumberFormat="1" applyFont="1" applyFill="1" applyBorder="1" applyAlignment="1">
      <alignment vertical="center"/>
    </xf>
    <xf numFmtId="166" fontId="5" fillId="3" borderId="8" xfId="0" applyNumberFormat="1" applyFont="1" applyFill="1" applyBorder="1" applyAlignment="1">
      <alignment vertical="center"/>
    </xf>
    <xf numFmtId="166" fontId="5" fillId="3" borderId="12" xfId="0" applyNumberFormat="1" applyFont="1" applyFill="1" applyBorder="1" applyAlignment="1">
      <alignment vertical="center"/>
    </xf>
    <xf numFmtId="166" fontId="5" fillId="3" borderId="13" xfId="0" applyNumberFormat="1" applyFont="1" applyFill="1" applyBorder="1" applyAlignment="1">
      <alignment vertical="center"/>
    </xf>
    <xf numFmtId="166" fontId="1" fillId="3" borderId="6" xfId="0" quotePrefix="1" applyNumberFormat="1" applyFont="1" applyFill="1" applyBorder="1" applyAlignment="1">
      <alignment horizontal="center" vertical="center"/>
    </xf>
    <xf numFmtId="166" fontId="1" fillId="3" borderId="0" xfId="0" applyNumberFormat="1" applyFont="1" applyFill="1" applyAlignment="1">
      <alignment vertical="center"/>
    </xf>
    <xf numFmtId="0" fontId="1" fillId="12" borderId="0" xfId="0" applyFont="1" applyFill="1" applyAlignment="1">
      <alignment vertical="center" wrapText="1"/>
    </xf>
    <xf numFmtId="166" fontId="1" fillId="3" borderId="4" xfId="0" applyNumberFormat="1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166" fontId="1" fillId="13" borderId="7" xfId="0" applyNumberFormat="1" applyFont="1" applyFill="1" applyBorder="1" applyAlignment="1">
      <alignment vertical="center"/>
    </xf>
    <xf numFmtId="166" fontId="1" fillId="13" borderId="6" xfId="0" applyNumberFormat="1" applyFont="1" applyFill="1" applyBorder="1" applyAlignment="1">
      <alignment vertical="center"/>
    </xf>
    <xf numFmtId="166" fontId="1" fillId="13" borderId="6" xfId="0" quotePrefix="1" applyNumberFormat="1" applyFont="1" applyFill="1" applyBorder="1" applyAlignment="1">
      <alignment horizontal="center" vertical="center"/>
    </xf>
    <xf numFmtId="166" fontId="1" fillId="13" borderId="26" xfId="0" applyNumberFormat="1" applyFont="1" applyFill="1" applyBorder="1" applyAlignment="1">
      <alignment vertical="center"/>
    </xf>
    <xf numFmtId="166" fontId="1" fillId="13" borderId="4" xfId="0" applyNumberFormat="1" applyFont="1" applyFill="1" applyBorder="1" applyAlignment="1">
      <alignment vertical="center"/>
    </xf>
    <xf numFmtId="166" fontId="1" fillId="13" borderId="12" xfId="0" applyNumberFormat="1" applyFont="1" applyFill="1" applyBorder="1" applyAlignment="1">
      <alignment vertical="center"/>
    </xf>
    <xf numFmtId="0" fontId="2" fillId="13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4" fillId="0" borderId="8" xfId="0" quotePrefix="1" applyFont="1" applyBorder="1" applyAlignment="1">
      <alignment horizontal="center" vertical="center" wrapText="1"/>
    </xf>
    <xf numFmtId="0" fontId="4" fillId="0" borderId="10" xfId="0" quotePrefix="1" applyFont="1" applyBorder="1" applyAlignment="1">
      <alignment horizontal="center" vertical="center" wrapText="1"/>
    </xf>
    <xf numFmtId="0" fontId="4" fillId="0" borderId="7" xfId="0" quotePrefix="1" applyFont="1" applyBorder="1" applyAlignment="1">
      <alignment horizontal="center" vertical="center" wrapText="1"/>
    </xf>
    <xf numFmtId="0" fontId="4" fillId="0" borderId="14" xfId="0" quotePrefix="1" applyFont="1" applyBorder="1" applyAlignment="1">
      <alignment horizontal="center" vertical="center" wrapText="1"/>
    </xf>
    <xf numFmtId="0" fontId="4" fillId="0" borderId="17" xfId="0" quotePrefix="1" applyFont="1" applyBorder="1" applyAlignment="1">
      <alignment horizontal="center" vertical="center" wrapText="1"/>
    </xf>
    <xf numFmtId="0" fontId="4" fillId="0" borderId="16" xfId="0" quotePrefix="1" applyFont="1" applyBorder="1" applyAlignment="1">
      <alignment horizontal="center" vertical="center" wrapText="1"/>
    </xf>
    <xf numFmtId="0" fontId="4" fillId="0" borderId="4" xfId="0" quotePrefix="1" applyFont="1" applyBorder="1" applyAlignment="1">
      <alignment horizontal="center" vertical="center" wrapText="1"/>
    </xf>
    <xf numFmtId="0" fontId="4" fillId="0" borderId="12" xfId="0" quotePrefix="1" applyFont="1" applyBorder="1" applyAlignment="1">
      <alignment horizontal="center" vertical="center" wrapText="1"/>
    </xf>
  </cellXfs>
  <cellStyles count="7">
    <cellStyle name="Insatisfaisant 2" xfId="6" xr:uid="{00000000-0005-0000-0000-000000000000}"/>
    <cellStyle name="Milliers" xfId="5" builtinId="3"/>
    <cellStyle name="Milliers [0]" xfId="1" builtinId="6"/>
    <cellStyle name="Milliers 2" xfId="4" xr:uid="{00000000-0005-0000-0000-000003000000}"/>
    <cellStyle name="Normal" xfId="0" builtinId="0"/>
    <cellStyle name="Pourcentage" xfId="2" builtinId="5"/>
    <cellStyle name="Satisfaisant" xfId="3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Tableau%20de%20Classification%20Economique-Administrative-Programmatique%202018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LASSIFICATION%20LF%202022/Copie%20de%20Classifications%20LF%202022-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opie%20de%20Annexes%20PLFI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7">
          <cell r="U7">
            <v>1077600</v>
          </cell>
          <cell r="V7">
            <v>2337482</v>
          </cell>
          <cell r="W7">
            <v>2373097</v>
          </cell>
          <cell r="Y7">
            <v>100000</v>
          </cell>
          <cell r="Z7">
            <v>10000000</v>
          </cell>
          <cell r="AA7">
            <v>4000000</v>
          </cell>
          <cell r="AD7">
            <v>1050259</v>
          </cell>
          <cell r="AE7">
            <v>2732523</v>
          </cell>
          <cell r="AF7">
            <v>1973096</v>
          </cell>
          <cell r="AH7">
            <v>100000</v>
          </cell>
          <cell r="AI7">
            <v>5000000</v>
          </cell>
          <cell r="AJ7">
            <v>3000000</v>
          </cell>
        </row>
        <row r="11">
          <cell r="AD11">
            <v>6277178</v>
          </cell>
          <cell r="AE11">
            <v>3659047</v>
          </cell>
          <cell r="AF11">
            <v>3565848</v>
          </cell>
          <cell r="AH11">
            <v>6752200</v>
          </cell>
        </row>
        <row r="17">
          <cell r="U17">
            <v>13320800</v>
          </cell>
          <cell r="V17">
            <v>8722571</v>
          </cell>
          <cell r="W17">
            <v>195039</v>
          </cell>
          <cell r="Y17">
            <v>1800000</v>
          </cell>
          <cell r="AD17">
            <v>15006544</v>
          </cell>
          <cell r="AE17">
            <v>5728052</v>
          </cell>
          <cell r="AF17">
            <v>100000</v>
          </cell>
          <cell r="AH17">
            <v>2130000</v>
          </cell>
        </row>
        <row r="28">
          <cell r="AD28">
            <v>33313823</v>
          </cell>
          <cell r="AE28">
            <v>8302983</v>
          </cell>
          <cell r="AF28">
            <v>615000</v>
          </cell>
          <cell r="AH28">
            <v>7995029</v>
          </cell>
        </row>
        <row r="39">
          <cell r="U39">
            <v>1970600</v>
          </cell>
          <cell r="V39">
            <v>3460065</v>
          </cell>
          <cell r="W39">
            <v>4252183</v>
          </cell>
          <cell r="Y39">
            <v>15300000</v>
          </cell>
          <cell r="Z39">
            <v>19405501</v>
          </cell>
          <cell r="AD39">
            <v>1786770</v>
          </cell>
          <cell r="AE39">
            <v>3743639</v>
          </cell>
          <cell r="AF39">
            <v>4778680</v>
          </cell>
          <cell r="AH39">
            <v>16000000</v>
          </cell>
          <cell r="AI39">
            <v>15862546</v>
          </cell>
        </row>
        <row r="44">
          <cell r="U44">
            <v>2913800</v>
          </cell>
          <cell r="V44">
            <v>1787820</v>
          </cell>
          <cell r="W44">
            <v>2304270</v>
          </cell>
          <cell r="Y44">
            <v>450000</v>
          </cell>
          <cell r="AD44">
            <v>1757705</v>
          </cell>
          <cell r="AE44">
            <v>3652088</v>
          </cell>
          <cell r="AF44">
            <v>1253000</v>
          </cell>
          <cell r="AH44">
            <v>400000</v>
          </cell>
          <cell r="AI44">
            <v>165000</v>
          </cell>
        </row>
        <row r="89">
          <cell r="AD89">
            <v>568092</v>
          </cell>
          <cell r="AE89">
            <v>866214</v>
          </cell>
          <cell r="AF89">
            <v>632000</v>
          </cell>
          <cell r="AH89">
            <v>1000000</v>
          </cell>
        </row>
        <row r="90">
          <cell r="AD90">
            <v>259028</v>
          </cell>
          <cell r="AE90">
            <v>14000</v>
          </cell>
          <cell r="AF90">
            <v>254830</v>
          </cell>
          <cell r="AH90">
            <v>9595000</v>
          </cell>
          <cell r="AJ90">
            <v>17598204</v>
          </cell>
        </row>
        <row r="91">
          <cell r="AD91">
            <v>2604324</v>
          </cell>
          <cell r="AE91">
            <v>97650</v>
          </cell>
          <cell r="AF91">
            <v>729341</v>
          </cell>
          <cell r="AH91">
            <v>3140000</v>
          </cell>
          <cell r="AJ91">
            <v>5000000</v>
          </cell>
        </row>
        <row r="92">
          <cell r="AD92">
            <v>204638</v>
          </cell>
          <cell r="AE92">
            <v>26600</v>
          </cell>
          <cell r="AF92">
            <v>495875</v>
          </cell>
          <cell r="AH92">
            <v>29627863</v>
          </cell>
          <cell r="AI92">
            <v>1598204</v>
          </cell>
          <cell r="AJ92">
            <v>12401796</v>
          </cell>
        </row>
        <row r="93">
          <cell r="AD93">
            <v>138126</v>
          </cell>
          <cell r="AE93">
            <v>21000</v>
          </cell>
          <cell r="AF93">
            <v>29750</v>
          </cell>
          <cell r="AH93">
            <v>7900000</v>
          </cell>
          <cell r="AI93">
            <v>6500000</v>
          </cell>
        </row>
        <row r="100">
          <cell r="AE100">
            <v>7243967</v>
          </cell>
        </row>
        <row r="105">
          <cell r="AQ105">
            <v>1000000</v>
          </cell>
        </row>
        <row r="114">
          <cell r="AD114">
            <v>926402</v>
          </cell>
          <cell r="AE114">
            <v>1515747</v>
          </cell>
          <cell r="AF114">
            <v>69993</v>
          </cell>
          <cell r="AH114">
            <v>22030269</v>
          </cell>
          <cell r="AI114">
            <v>6948708</v>
          </cell>
          <cell r="AJ114">
            <v>23000000</v>
          </cell>
        </row>
        <row r="126">
          <cell r="U126">
            <v>10068300</v>
          </cell>
          <cell r="V126">
            <v>3623666</v>
          </cell>
          <cell r="W126">
            <v>265000</v>
          </cell>
          <cell r="AD126">
            <v>10634166</v>
          </cell>
          <cell r="AE126">
            <v>3712584</v>
          </cell>
          <cell r="AF126">
            <v>232000</v>
          </cell>
          <cell r="AH126">
            <v>2500000</v>
          </cell>
        </row>
        <row r="127">
          <cell r="U127">
            <v>1139545</v>
          </cell>
          <cell r="V127">
            <v>556400</v>
          </cell>
          <cell r="W127">
            <v>3600</v>
          </cell>
          <cell r="AD127">
            <v>1103844</v>
          </cell>
          <cell r="AE127">
            <v>593235</v>
          </cell>
          <cell r="AF127">
            <v>3600</v>
          </cell>
        </row>
        <row r="128">
          <cell r="U128">
            <v>1819700</v>
          </cell>
          <cell r="V128">
            <v>750252</v>
          </cell>
          <cell r="W128">
            <v>528000</v>
          </cell>
          <cell r="AD128">
            <v>1910366</v>
          </cell>
          <cell r="AE128">
            <v>750252</v>
          </cell>
          <cell r="AF128">
            <v>528000</v>
          </cell>
        </row>
        <row r="129">
          <cell r="U129">
            <v>1345993</v>
          </cell>
          <cell r="V129">
            <v>546288</v>
          </cell>
          <cell r="W129">
            <v>45000</v>
          </cell>
          <cell r="AD129">
            <v>1404633</v>
          </cell>
          <cell r="AE129">
            <v>543767</v>
          </cell>
          <cell r="AF129">
            <v>47521</v>
          </cell>
        </row>
        <row r="130">
          <cell r="U130">
            <v>1097931</v>
          </cell>
          <cell r="V130">
            <v>845674</v>
          </cell>
          <cell r="W130">
            <v>100000</v>
          </cell>
          <cell r="AD130">
            <v>1277730</v>
          </cell>
          <cell r="AE130">
            <v>845674</v>
          </cell>
          <cell r="AF130">
            <v>100000</v>
          </cell>
        </row>
        <row r="131">
          <cell r="U131">
            <v>287800</v>
          </cell>
          <cell r="V131">
            <v>215600</v>
          </cell>
          <cell r="W131">
            <v>1000</v>
          </cell>
          <cell r="AD131">
            <v>328808</v>
          </cell>
          <cell r="AE131">
            <v>223685</v>
          </cell>
          <cell r="AF131">
            <v>1000</v>
          </cell>
        </row>
        <row r="132">
          <cell r="U132">
            <v>109393</v>
          </cell>
          <cell r="V132">
            <v>211155</v>
          </cell>
          <cell r="W132">
            <v>80000</v>
          </cell>
          <cell r="AD132">
            <v>109648</v>
          </cell>
          <cell r="AE132">
            <v>251155</v>
          </cell>
          <cell r="AF132">
            <v>40000</v>
          </cell>
        </row>
        <row r="133">
          <cell r="W133">
            <v>890000</v>
          </cell>
          <cell r="AF133">
            <v>890000</v>
          </cell>
        </row>
        <row r="134">
          <cell r="W134">
            <v>100000</v>
          </cell>
          <cell r="AF134">
            <v>100000</v>
          </cell>
        </row>
        <row r="135">
          <cell r="U135">
            <v>242550</v>
          </cell>
          <cell r="V135">
            <v>130875</v>
          </cell>
          <cell r="W135">
            <v>196575</v>
          </cell>
          <cell r="AD135">
            <v>351369</v>
          </cell>
          <cell r="AE135">
            <v>246431</v>
          </cell>
          <cell r="AF135">
            <v>2200</v>
          </cell>
        </row>
        <row r="137">
          <cell r="U137">
            <v>1905200</v>
          </cell>
          <cell r="V137">
            <v>7368277</v>
          </cell>
          <cell r="W137">
            <v>16395365</v>
          </cell>
          <cell r="Z137">
            <v>8078310</v>
          </cell>
          <cell r="AD137">
            <v>1606605</v>
          </cell>
          <cell r="AE137">
            <v>7340289</v>
          </cell>
          <cell r="AF137">
            <v>16407624</v>
          </cell>
          <cell r="AH137">
            <v>500000</v>
          </cell>
          <cell r="AI137">
            <v>3750000</v>
          </cell>
        </row>
        <row r="138">
          <cell r="U138">
            <v>30609</v>
          </cell>
          <cell r="W138">
            <v>354352</v>
          </cell>
          <cell r="AD138">
            <v>32723</v>
          </cell>
          <cell r="AF138">
            <v>467277</v>
          </cell>
        </row>
        <row r="139">
          <cell r="U139">
            <v>51483059</v>
          </cell>
          <cell r="V139">
            <v>88536289</v>
          </cell>
          <cell r="W139">
            <v>125046778</v>
          </cell>
          <cell r="Y139">
            <v>7300000</v>
          </cell>
          <cell r="AD139">
            <v>60049204</v>
          </cell>
          <cell r="AE139">
            <v>31194936</v>
          </cell>
          <cell r="AF139">
            <v>132985062</v>
          </cell>
        </row>
        <row r="140">
          <cell r="W140">
            <v>1500000</v>
          </cell>
          <cell r="Y140">
            <v>3000000</v>
          </cell>
          <cell r="AA140">
            <v>12000000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mes ancien"/>
      <sheetName val="TMC Admin-Eco"/>
      <sheetName val="TMC Prog-Eco"/>
      <sheetName val="TMC Fonc-Eco"/>
      <sheetName val="Tableau matriciel Admin-Fonc"/>
      <sheetName val="TMC Fonc-Admin"/>
    </sheetNames>
    <sheetDataSet>
      <sheetData sheetId="0"/>
      <sheetData sheetId="1">
        <row r="88">
          <cell r="F88">
            <v>204930214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C Fonc-Eco"/>
      <sheetName val="TMC Prog-Eco"/>
    </sheetNames>
    <sheetDataSet>
      <sheetData sheetId="0" refreshError="1"/>
      <sheetData sheetId="1" refreshError="1">
        <row r="112">
          <cell r="C112">
            <v>150000</v>
          </cell>
        </row>
        <row r="113">
          <cell r="G1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75"/>
  <sheetViews>
    <sheetView tabSelected="1" zoomScaleNormal="100" workbookViewId="0">
      <pane xSplit="2" ySplit="6" topLeftCell="AS142" activePane="bottomRight" state="frozen"/>
      <selection pane="topRight" activeCell="C1" sqref="C1"/>
      <selection pane="bottomLeft" activeCell="A7" sqref="A7"/>
      <selection pane="bottomRight" activeCell="AU150" sqref="AU150"/>
    </sheetView>
  </sheetViews>
  <sheetFormatPr baseColWidth="10" defaultRowHeight="15" x14ac:dyDescent="0.25"/>
  <cols>
    <col min="1" max="1" width="7.42578125" style="143" customWidth="1"/>
    <col min="2" max="2" width="78.5703125" customWidth="1"/>
    <col min="3" max="3" width="16.7109375" customWidth="1"/>
    <col min="4" max="4" width="16.85546875" customWidth="1"/>
    <col min="5" max="5" width="16.42578125" customWidth="1"/>
    <col min="6" max="6" width="17.7109375" customWidth="1"/>
    <col min="7" max="7" width="16.42578125" customWidth="1"/>
    <col min="8" max="8" width="17.140625" customWidth="1"/>
    <col min="9" max="9" width="16.7109375" customWidth="1"/>
    <col min="10" max="10" width="19" customWidth="1"/>
    <col min="11" max="11" width="21.42578125" customWidth="1"/>
    <col min="12" max="12" width="19" customWidth="1"/>
    <col min="13" max="13" width="15.85546875" customWidth="1"/>
    <col min="14" max="14" width="16.42578125" customWidth="1"/>
    <col min="15" max="15" width="17.7109375" customWidth="1"/>
    <col min="16" max="16" width="15.5703125" customWidth="1"/>
    <col min="17" max="17" width="16.28515625" customWidth="1"/>
    <col min="18" max="18" width="17" customWidth="1"/>
    <col min="19" max="20" width="18.7109375" customWidth="1"/>
    <col min="21" max="21" width="17" customWidth="1"/>
    <col min="22" max="23" width="15.5703125" customWidth="1"/>
    <col min="24" max="24" width="18.140625" customWidth="1"/>
    <col min="25" max="25" width="16.28515625" customWidth="1"/>
    <col min="26" max="26" width="17.42578125" customWidth="1"/>
    <col min="27" max="27" width="16.28515625" customWidth="1"/>
    <col min="28" max="28" width="15.85546875" customWidth="1"/>
    <col min="29" max="29" width="18" customWidth="1"/>
    <col min="30" max="30" width="17.28515625" customWidth="1"/>
    <col min="31" max="31" width="16.42578125" customWidth="1"/>
    <col min="32" max="32" width="17.28515625" customWidth="1"/>
    <col min="33" max="33" width="19.85546875" customWidth="1"/>
    <col min="34" max="34" width="17.85546875" customWidth="1"/>
    <col min="35" max="35" width="16" customWidth="1"/>
    <col min="36" max="36" width="15.5703125" customWidth="1"/>
    <col min="37" max="37" width="19.140625" customWidth="1"/>
    <col min="38" max="38" width="18" customWidth="1"/>
    <col min="39" max="39" width="17.85546875" customWidth="1"/>
    <col min="40" max="40" width="18.5703125" customWidth="1"/>
    <col min="41" max="41" width="20.7109375" customWidth="1"/>
    <col min="42" max="42" width="18.28515625" customWidth="1"/>
    <col min="43" max="43" width="18.140625" customWidth="1"/>
    <col min="44" max="44" width="16.7109375" customWidth="1"/>
    <col min="45" max="45" width="15.85546875" customWidth="1"/>
    <col min="46" max="47" width="18.140625" customWidth="1"/>
    <col min="48" max="48" width="17.28515625" customWidth="1"/>
    <col min="49" max="49" width="18" customWidth="1"/>
    <col min="50" max="50" width="17.140625" customWidth="1"/>
    <col min="51" max="51" width="18.7109375" customWidth="1"/>
    <col min="52" max="52" width="19.28515625" customWidth="1"/>
    <col min="53" max="53" width="16.5703125" customWidth="1"/>
    <col min="54" max="54" width="15.7109375" customWidth="1"/>
    <col min="55" max="55" width="18" customWidth="1"/>
    <col min="56" max="56" width="18.42578125" customWidth="1"/>
  </cols>
  <sheetData>
    <row r="1" spans="1:57" hidden="1" x14ac:dyDescent="0.25">
      <c r="H1" s="24"/>
      <c r="AH1" s="30"/>
      <c r="AJ1" s="24"/>
      <c r="AL1" s="24"/>
      <c r="AV1" s="24"/>
      <c r="BD1" s="24"/>
    </row>
    <row r="2" spans="1:57" hidden="1" x14ac:dyDescent="0.25">
      <c r="B2" s="24"/>
      <c r="C2" s="24"/>
      <c r="D2" s="24"/>
      <c r="E2" s="24"/>
      <c r="F2" s="24"/>
      <c r="G2" s="24"/>
      <c r="H2" s="24"/>
      <c r="I2" s="24"/>
      <c r="J2" s="24"/>
      <c r="K2" s="24"/>
      <c r="V2" s="108"/>
      <c r="W2" s="108"/>
      <c r="X2" s="108"/>
      <c r="Y2" s="108"/>
      <c r="Z2" s="108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>
        <f>AR7+AR42+AR47+AR1373</f>
        <v>17621217</v>
      </c>
      <c r="AN2" s="24"/>
      <c r="AO2" s="24">
        <f>AW47-AN47</f>
        <v>0</v>
      </c>
      <c r="AP2" s="24"/>
      <c r="AQ2" s="30">
        <f>AW130-AN130</f>
        <v>-1553965</v>
      </c>
      <c r="AR2" s="21"/>
      <c r="AS2" s="29"/>
      <c r="AT2" s="24">
        <f>AO47-AX47</f>
        <v>0</v>
      </c>
      <c r="AU2" s="24"/>
      <c r="AV2" s="21"/>
      <c r="AW2" s="29"/>
      <c r="AX2" s="24"/>
      <c r="AY2" s="24"/>
      <c r="AZ2" s="24"/>
      <c r="BA2" s="24"/>
    </row>
    <row r="3" spans="1:57" x14ac:dyDescent="0.25">
      <c r="B3" s="21"/>
      <c r="J3" s="21"/>
      <c r="L3" s="24"/>
      <c r="N3">
        <v>0</v>
      </c>
      <c r="AD3" s="24" t="s">
        <v>242</v>
      </c>
      <c r="AG3" s="31"/>
      <c r="AK3" s="24"/>
      <c r="AL3" s="24"/>
      <c r="AN3" s="24"/>
      <c r="BA3" s="107" t="s">
        <v>223</v>
      </c>
      <c r="BB3" s="107"/>
      <c r="BC3" s="107"/>
    </row>
    <row r="4" spans="1:57" ht="15" customHeight="1" x14ac:dyDescent="0.25">
      <c r="B4" s="21"/>
      <c r="C4" s="93">
        <v>2020</v>
      </c>
      <c r="D4" s="94"/>
      <c r="E4" s="94"/>
      <c r="F4" s="94"/>
      <c r="G4" s="94"/>
      <c r="H4" s="94"/>
      <c r="I4" s="94"/>
      <c r="J4" s="94"/>
      <c r="K4" s="95"/>
      <c r="L4" s="93" t="s">
        <v>293</v>
      </c>
      <c r="M4" s="94"/>
      <c r="N4" s="94"/>
      <c r="O4" s="94"/>
      <c r="P4" s="94"/>
      <c r="Q4" s="94"/>
      <c r="R4" s="94"/>
      <c r="S4" s="94"/>
      <c r="T4" s="95"/>
      <c r="U4" s="93" t="s">
        <v>297</v>
      </c>
      <c r="V4" s="94"/>
      <c r="W4" s="94"/>
      <c r="X4" s="94"/>
      <c r="Y4" s="94"/>
      <c r="Z4" s="94"/>
      <c r="AA4" s="94"/>
      <c r="AB4" s="94"/>
      <c r="AC4" s="95"/>
      <c r="AD4" s="93">
        <v>2023</v>
      </c>
      <c r="AE4" s="94"/>
      <c r="AF4" s="94"/>
      <c r="AG4" s="94"/>
      <c r="AH4" s="94"/>
      <c r="AI4" s="94"/>
      <c r="AJ4" s="94"/>
      <c r="AK4" s="94"/>
      <c r="AL4" s="95"/>
      <c r="AM4" s="93">
        <v>2024</v>
      </c>
      <c r="AN4" s="94"/>
      <c r="AO4" s="94"/>
      <c r="AP4" s="94"/>
      <c r="AQ4" s="94"/>
      <c r="AR4" s="94"/>
      <c r="AS4" s="94"/>
      <c r="AT4" s="94"/>
      <c r="AU4" s="95"/>
      <c r="AV4" s="93">
        <v>2025</v>
      </c>
      <c r="AW4" s="94"/>
      <c r="AX4" s="94"/>
      <c r="AY4" s="94"/>
      <c r="AZ4" s="94"/>
      <c r="BA4" s="94"/>
      <c r="BB4" s="94"/>
      <c r="BC4" s="94"/>
      <c r="BD4" s="95"/>
    </row>
    <row r="5" spans="1:57" ht="16.5" customHeight="1" x14ac:dyDescent="0.25">
      <c r="A5" s="51"/>
      <c r="B5" s="21"/>
      <c r="C5" s="93" t="s">
        <v>0</v>
      </c>
      <c r="D5" s="94"/>
      <c r="E5" s="94"/>
      <c r="F5" s="95"/>
      <c r="G5" s="98" t="s">
        <v>1</v>
      </c>
      <c r="H5" s="98"/>
      <c r="I5" s="98"/>
      <c r="J5" s="98"/>
      <c r="K5" s="32"/>
      <c r="L5" s="93" t="s">
        <v>0</v>
      </c>
      <c r="M5" s="94"/>
      <c r="N5" s="94"/>
      <c r="O5" s="95"/>
      <c r="P5" s="98" t="s">
        <v>1</v>
      </c>
      <c r="Q5" s="98"/>
      <c r="R5" s="98"/>
      <c r="S5" s="98"/>
      <c r="T5" s="32"/>
      <c r="U5" s="93" t="s">
        <v>0</v>
      </c>
      <c r="V5" s="94"/>
      <c r="W5" s="94"/>
      <c r="X5" s="95"/>
      <c r="Y5" s="98" t="s">
        <v>1</v>
      </c>
      <c r="Z5" s="98"/>
      <c r="AA5" s="98"/>
      <c r="AB5" s="98"/>
      <c r="AC5" s="32"/>
      <c r="AD5" s="93" t="s">
        <v>0</v>
      </c>
      <c r="AE5" s="94"/>
      <c r="AF5" s="94"/>
      <c r="AG5" s="95"/>
      <c r="AH5" s="98" t="s">
        <v>1</v>
      </c>
      <c r="AI5" s="98"/>
      <c r="AJ5" s="98"/>
      <c r="AK5" s="98"/>
      <c r="AL5" s="32"/>
      <c r="AM5" s="93" t="s">
        <v>0</v>
      </c>
      <c r="AN5" s="94"/>
      <c r="AO5" s="94"/>
      <c r="AP5" s="95"/>
      <c r="AQ5" s="98" t="s">
        <v>1</v>
      </c>
      <c r="AR5" s="98"/>
      <c r="AS5" s="98"/>
      <c r="AT5" s="98"/>
      <c r="AU5" s="98"/>
      <c r="AV5" s="93" t="s">
        <v>0</v>
      </c>
      <c r="AW5" s="94"/>
      <c r="AX5" s="94"/>
      <c r="AY5" s="95"/>
      <c r="AZ5" s="98" t="s">
        <v>1</v>
      </c>
      <c r="BA5" s="98"/>
      <c r="BB5" s="98"/>
      <c r="BC5" s="98"/>
      <c r="BD5" s="98"/>
    </row>
    <row r="6" spans="1:57" ht="38.25" customHeight="1" x14ac:dyDescent="0.25">
      <c r="A6" s="2" t="s">
        <v>2</v>
      </c>
      <c r="B6" s="2" t="s">
        <v>3</v>
      </c>
      <c r="C6" s="3" t="s">
        <v>4</v>
      </c>
      <c r="D6" s="3" t="s">
        <v>5</v>
      </c>
      <c r="E6" s="3" t="s">
        <v>6</v>
      </c>
      <c r="F6" s="4" t="s">
        <v>7</v>
      </c>
      <c r="G6" s="3" t="s">
        <v>8</v>
      </c>
      <c r="H6" s="3" t="s">
        <v>9</v>
      </c>
      <c r="I6" s="3" t="s">
        <v>10</v>
      </c>
      <c r="J6" s="4" t="s">
        <v>11</v>
      </c>
      <c r="K6" s="142" t="s">
        <v>221</v>
      </c>
      <c r="L6" s="3" t="s">
        <v>4</v>
      </c>
      <c r="M6" s="3" t="s">
        <v>5</v>
      </c>
      <c r="N6" s="3" t="s">
        <v>6</v>
      </c>
      <c r="O6" s="4" t="s">
        <v>7</v>
      </c>
      <c r="P6" s="3" t="s">
        <v>8</v>
      </c>
      <c r="Q6" s="3" t="s">
        <v>9</v>
      </c>
      <c r="R6" s="3" t="s">
        <v>10</v>
      </c>
      <c r="S6" s="4" t="s">
        <v>11</v>
      </c>
      <c r="T6" s="142" t="s">
        <v>221</v>
      </c>
      <c r="U6" s="3" t="s">
        <v>4</v>
      </c>
      <c r="V6" s="3" t="s">
        <v>5</v>
      </c>
      <c r="W6" s="3" t="s">
        <v>6</v>
      </c>
      <c r="X6" s="4" t="s">
        <v>7</v>
      </c>
      <c r="Y6" s="3" t="s">
        <v>8</v>
      </c>
      <c r="Z6" s="3" t="s">
        <v>9</v>
      </c>
      <c r="AA6" s="3" t="s">
        <v>10</v>
      </c>
      <c r="AB6" s="4" t="s">
        <v>11</v>
      </c>
      <c r="AC6" s="142" t="s">
        <v>221</v>
      </c>
      <c r="AD6" s="3" t="s">
        <v>4</v>
      </c>
      <c r="AE6" s="3" t="s">
        <v>5</v>
      </c>
      <c r="AF6" s="3" t="s">
        <v>6</v>
      </c>
      <c r="AG6" s="4" t="s">
        <v>7</v>
      </c>
      <c r="AH6" s="3" t="s">
        <v>8</v>
      </c>
      <c r="AI6" s="3" t="s">
        <v>9</v>
      </c>
      <c r="AJ6" s="3" t="s">
        <v>10</v>
      </c>
      <c r="AK6" s="4" t="s">
        <v>11</v>
      </c>
      <c r="AL6" s="142" t="s">
        <v>221</v>
      </c>
      <c r="AM6" s="3" t="s">
        <v>4</v>
      </c>
      <c r="AN6" s="3" t="s">
        <v>5</v>
      </c>
      <c r="AO6" s="3" t="s">
        <v>6</v>
      </c>
      <c r="AP6" s="4" t="s">
        <v>7</v>
      </c>
      <c r="AQ6" s="3" t="s">
        <v>8</v>
      </c>
      <c r="AR6" s="3" t="s">
        <v>9</v>
      </c>
      <c r="AS6" s="3" t="s">
        <v>10</v>
      </c>
      <c r="AT6" s="4" t="s">
        <v>11</v>
      </c>
      <c r="AU6" s="142" t="s">
        <v>221</v>
      </c>
      <c r="AV6" s="3" t="s">
        <v>4</v>
      </c>
      <c r="AW6" s="3" t="s">
        <v>5</v>
      </c>
      <c r="AX6" s="3" t="s">
        <v>6</v>
      </c>
      <c r="AY6" s="4" t="s">
        <v>7</v>
      </c>
      <c r="AZ6" s="3" t="s">
        <v>8</v>
      </c>
      <c r="BA6" s="3" t="s">
        <v>9</v>
      </c>
      <c r="BB6" s="3" t="s">
        <v>10</v>
      </c>
      <c r="BC6" s="4" t="s">
        <v>11</v>
      </c>
      <c r="BD6" s="142" t="s">
        <v>221</v>
      </c>
      <c r="BE6" s="22"/>
    </row>
    <row r="7" spans="1:57" ht="16.5" x14ac:dyDescent="0.25">
      <c r="A7" s="96" t="s">
        <v>12</v>
      </c>
      <c r="B7" s="97"/>
      <c r="C7" s="5">
        <v>1077600</v>
      </c>
      <c r="D7" s="5">
        <v>2337482</v>
      </c>
      <c r="E7" s="5">
        <v>2373097</v>
      </c>
      <c r="F7" s="127">
        <v>5788179</v>
      </c>
      <c r="G7" s="5">
        <v>100000</v>
      </c>
      <c r="H7" s="5">
        <v>10000000</v>
      </c>
      <c r="I7" s="5">
        <v>4000000</v>
      </c>
      <c r="J7" s="127">
        <v>14100000</v>
      </c>
      <c r="K7" s="136">
        <v>19888179</v>
      </c>
      <c r="L7" s="5">
        <f>L8+L9+L10</f>
        <v>1050259</v>
      </c>
      <c r="M7" s="5">
        <f t="shared" ref="M7:S7" si="0">M8+M9+M10</f>
        <v>2732523</v>
      </c>
      <c r="N7" s="5">
        <f t="shared" si="0"/>
        <v>1973096</v>
      </c>
      <c r="O7" s="127">
        <f t="shared" si="0"/>
        <v>5755878</v>
      </c>
      <c r="P7" s="5">
        <f t="shared" si="0"/>
        <v>100000</v>
      </c>
      <c r="Q7" s="5">
        <f t="shared" si="0"/>
        <v>5000000</v>
      </c>
      <c r="R7" s="5">
        <f t="shared" si="0"/>
        <v>3000000</v>
      </c>
      <c r="S7" s="127">
        <f t="shared" si="0"/>
        <v>8100000</v>
      </c>
      <c r="T7" s="136">
        <f>O7+S7</f>
        <v>13855878</v>
      </c>
      <c r="U7" s="5">
        <v>1093213</v>
      </c>
      <c r="V7" s="5">
        <v>2772023</v>
      </c>
      <c r="W7" s="5">
        <v>427202</v>
      </c>
      <c r="X7" s="127">
        <v>4292438</v>
      </c>
      <c r="Y7" s="5">
        <v>800000</v>
      </c>
      <c r="Z7" s="5">
        <v>862000</v>
      </c>
      <c r="AA7" s="5">
        <v>0</v>
      </c>
      <c r="AB7" s="127">
        <v>1662000</v>
      </c>
      <c r="AC7" s="136">
        <v>5954438</v>
      </c>
      <c r="AD7" s="5">
        <f t="shared" ref="AD7:BD7" si="1">AD8+AD9+AD10</f>
        <v>1411401</v>
      </c>
      <c r="AE7" s="5">
        <f t="shared" si="1"/>
        <v>2913728</v>
      </c>
      <c r="AF7" s="5">
        <f t="shared" si="1"/>
        <v>366970</v>
      </c>
      <c r="AG7" s="127">
        <f t="shared" si="1"/>
        <v>4692099</v>
      </c>
      <c r="AH7" s="5">
        <f t="shared" si="1"/>
        <v>1190909</v>
      </c>
      <c r="AI7" s="5">
        <f t="shared" si="1"/>
        <v>3163500</v>
      </c>
      <c r="AJ7" s="5">
        <f t="shared" si="1"/>
        <v>0</v>
      </c>
      <c r="AK7" s="127">
        <f t="shared" si="1"/>
        <v>4354409</v>
      </c>
      <c r="AL7" s="136">
        <f t="shared" si="1"/>
        <v>9046508</v>
      </c>
      <c r="AM7" s="5">
        <f t="shared" si="1"/>
        <v>1587844</v>
      </c>
      <c r="AN7" s="5">
        <f t="shared" si="1"/>
        <v>2890814</v>
      </c>
      <c r="AO7" s="5">
        <f t="shared" si="1"/>
        <v>427202</v>
      </c>
      <c r="AP7" s="127">
        <f t="shared" si="1"/>
        <v>4905860</v>
      </c>
      <c r="AQ7" s="5">
        <f t="shared" si="1"/>
        <v>1809091</v>
      </c>
      <c r="AR7" s="5">
        <f t="shared" si="1"/>
        <v>6169302</v>
      </c>
      <c r="AS7" s="5">
        <f t="shared" si="1"/>
        <v>0</v>
      </c>
      <c r="AT7" s="127">
        <f t="shared" si="1"/>
        <v>7978393</v>
      </c>
      <c r="AU7" s="136">
        <f t="shared" si="1"/>
        <v>12884253</v>
      </c>
      <c r="AV7" s="5">
        <f t="shared" si="1"/>
        <v>1792645</v>
      </c>
      <c r="AW7" s="5">
        <f t="shared" si="1"/>
        <v>2890814</v>
      </c>
      <c r="AX7" s="5">
        <f t="shared" si="1"/>
        <v>427202</v>
      </c>
      <c r="AY7" s="127">
        <f t="shared" si="1"/>
        <v>5110661</v>
      </c>
      <c r="AZ7" s="5">
        <f t="shared" si="1"/>
        <v>1809090</v>
      </c>
      <c r="BA7" s="5">
        <f t="shared" si="1"/>
        <v>8163501</v>
      </c>
      <c r="BB7" s="5">
        <f t="shared" si="1"/>
        <v>0</v>
      </c>
      <c r="BC7" s="127">
        <f t="shared" si="1"/>
        <v>9972591</v>
      </c>
      <c r="BD7" s="136">
        <f t="shared" si="1"/>
        <v>15083252</v>
      </c>
    </row>
    <row r="8" spans="1:57" ht="16.5" x14ac:dyDescent="0.25">
      <c r="A8" s="145" t="s">
        <v>15</v>
      </c>
      <c r="B8" s="7" t="s">
        <v>14</v>
      </c>
      <c r="C8" s="8">
        <v>645439</v>
      </c>
      <c r="D8" s="8">
        <v>2234482</v>
      </c>
      <c r="E8" s="8">
        <v>748216</v>
      </c>
      <c r="F8" s="128">
        <f>SUM(C8:E8)</f>
        <v>3628137</v>
      </c>
      <c r="G8" s="8">
        <v>0</v>
      </c>
      <c r="H8" s="8">
        <v>0</v>
      </c>
      <c r="I8" s="8">
        <v>0</v>
      </c>
      <c r="J8" s="128">
        <f>SUM(G8:I8)</f>
        <v>0</v>
      </c>
      <c r="K8" s="136">
        <f>F8+J8</f>
        <v>3628137</v>
      </c>
      <c r="L8" s="8">
        <v>531369</v>
      </c>
      <c r="M8" s="8">
        <v>2593523</v>
      </c>
      <c r="N8" s="8">
        <v>343702</v>
      </c>
      <c r="O8" s="128">
        <f>SUM(L8:N8)</f>
        <v>3468594</v>
      </c>
      <c r="P8" s="8">
        <v>0</v>
      </c>
      <c r="Q8" s="8">
        <v>0</v>
      </c>
      <c r="R8" s="8">
        <v>0</v>
      </c>
      <c r="S8" s="128">
        <f>SUM(P8:R8)</f>
        <v>0</v>
      </c>
      <c r="T8" s="136">
        <f t="shared" ref="T8:T21" si="2">O8+S8</f>
        <v>3468594</v>
      </c>
      <c r="U8" s="33">
        <v>856858</v>
      </c>
      <c r="V8" s="33">
        <v>2580023</v>
      </c>
      <c r="W8" s="33">
        <v>195500</v>
      </c>
      <c r="X8" s="128">
        <f>SUM(U8:W8)</f>
        <v>3632381</v>
      </c>
      <c r="Y8" s="33">
        <v>0</v>
      </c>
      <c r="Z8" s="33">
        <v>0</v>
      </c>
      <c r="AA8" s="33">
        <v>0</v>
      </c>
      <c r="AB8" s="128">
        <f>Y8+Z8+AA8</f>
        <v>0</v>
      </c>
      <c r="AC8" s="136">
        <f>X8+AB8</f>
        <v>3632381</v>
      </c>
      <c r="AD8" s="8">
        <v>795305</v>
      </c>
      <c r="AE8" s="8">
        <v>2372833</v>
      </c>
      <c r="AF8" s="8">
        <v>121500</v>
      </c>
      <c r="AG8" s="128">
        <f>SUM(AD8:AF8)</f>
        <v>3289638</v>
      </c>
      <c r="AH8" s="8">
        <v>0</v>
      </c>
      <c r="AI8" s="8">
        <v>0</v>
      </c>
      <c r="AJ8" s="8">
        <v>0</v>
      </c>
      <c r="AK8" s="128">
        <f>AH8+AI8+AJ8</f>
        <v>0</v>
      </c>
      <c r="AL8" s="136">
        <f>AG8+AK8</f>
        <v>3289638</v>
      </c>
      <c r="AM8" s="8">
        <v>883921</v>
      </c>
      <c r="AN8" s="8">
        <v>2342919</v>
      </c>
      <c r="AO8" s="8">
        <v>181732</v>
      </c>
      <c r="AP8" s="128">
        <f>SUM(AM8:AO8)</f>
        <v>3408572</v>
      </c>
      <c r="AQ8" s="8">
        <v>0</v>
      </c>
      <c r="AR8" s="8">
        <v>0</v>
      </c>
      <c r="AS8" s="8">
        <v>0</v>
      </c>
      <c r="AT8" s="128">
        <f t="shared" ref="AT8:AT16" si="3">AQ8+AR8+AS8</f>
        <v>0</v>
      </c>
      <c r="AU8" s="136">
        <f t="shared" ref="AU8:AU44" si="4">AP8+AT8</f>
        <v>3408572</v>
      </c>
      <c r="AV8" s="8">
        <v>997869</v>
      </c>
      <c r="AW8" s="8">
        <v>2342919</v>
      </c>
      <c r="AX8" s="8">
        <v>181732</v>
      </c>
      <c r="AY8" s="128">
        <f>SUM(AV8:AX8)</f>
        <v>3522520</v>
      </c>
      <c r="AZ8" s="8">
        <v>0</v>
      </c>
      <c r="BA8" s="8">
        <v>0</v>
      </c>
      <c r="BB8" s="8">
        <v>0</v>
      </c>
      <c r="BC8" s="128">
        <f t="shared" ref="BC8:BC64" si="5">AZ8+BA8+BB8</f>
        <v>0</v>
      </c>
      <c r="BD8" s="136">
        <f t="shared" ref="BD8:BD80" si="6">AY8+BC8</f>
        <v>3522520</v>
      </c>
    </row>
    <row r="9" spans="1:57" ht="33" x14ac:dyDescent="0.25">
      <c r="A9" s="145" t="s">
        <v>16</v>
      </c>
      <c r="B9" s="7" t="s">
        <v>284</v>
      </c>
      <c r="C9" s="8">
        <v>194261</v>
      </c>
      <c r="D9" s="8">
        <v>45000</v>
      </c>
      <c r="E9" s="8">
        <v>1340251</v>
      </c>
      <c r="F9" s="128">
        <f>SUM(C9:E9)</f>
        <v>1579512</v>
      </c>
      <c r="G9" s="8">
        <v>100000</v>
      </c>
      <c r="H9" s="8">
        <v>8745559</v>
      </c>
      <c r="I9" s="8">
        <v>0</v>
      </c>
      <c r="J9" s="128">
        <f>SUM(G9:I9)</f>
        <v>8845559</v>
      </c>
      <c r="K9" s="136">
        <f>F9+J9</f>
        <v>10425071</v>
      </c>
      <c r="L9" s="8">
        <v>226629</v>
      </c>
      <c r="M9" s="8">
        <v>50000</v>
      </c>
      <c r="N9" s="8">
        <v>1585000</v>
      </c>
      <c r="O9" s="128">
        <f>SUM(L9:N9)</f>
        <v>1861629</v>
      </c>
      <c r="P9" s="8">
        <v>100000</v>
      </c>
      <c r="Q9" s="8">
        <v>4522637</v>
      </c>
      <c r="R9" s="8">
        <v>0</v>
      </c>
      <c r="S9" s="128">
        <f>SUM(P9:R9)</f>
        <v>4622637</v>
      </c>
      <c r="T9" s="136">
        <f t="shared" si="2"/>
        <v>6484266</v>
      </c>
      <c r="U9" s="34">
        <v>236355</v>
      </c>
      <c r="V9" s="34">
        <v>192000</v>
      </c>
      <c r="W9" s="34">
        <v>231702</v>
      </c>
      <c r="X9" s="128">
        <f>SUM(U9:W9)</f>
        <v>660057</v>
      </c>
      <c r="Y9" s="35">
        <v>800000</v>
      </c>
      <c r="Z9" s="35">
        <v>862000</v>
      </c>
      <c r="AA9" s="35">
        <v>0</v>
      </c>
      <c r="AB9" s="128">
        <f>Y9+Z9+AA9</f>
        <v>1662000</v>
      </c>
      <c r="AC9" s="136">
        <f>X9+AB9</f>
        <v>2322057</v>
      </c>
      <c r="AD9" s="8">
        <v>616096</v>
      </c>
      <c r="AE9" s="8">
        <v>540895</v>
      </c>
      <c r="AF9" s="8">
        <v>245470</v>
      </c>
      <c r="AG9" s="128">
        <f>SUM(AD9:AF9)</f>
        <v>1402461</v>
      </c>
      <c r="AH9" s="8">
        <v>1190909</v>
      </c>
      <c r="AI9" s="8">
        <v>3163500</v>
      </c>
      <c r="AJ9" s="8">
        <v>0</v>
      </c>
      <c r="AK9" s="128">
        <f>AH9+AI9+AJ9</f>
        <v>4354409</v>
      </c>
      <c r="AL9" s="136">
        <f>AG9+AK9</f>
        <v>5756870</v>
      </c>
      <c r="AM9" s="8">
        <v>703923</v>
      </c>
      <c r="AN9" s="8">
        <v>547895</v>
      </c>
      <c r="AO9" s="8">
        <v>245470</v>
      </c>
      <c r="AP9" s="128">
        <f>SUM(AM9:AO9)</f>
        <v>1497288</v>
      </c>
      <c r="AQ9" s="8">
        <v>1809091</v>
      </c>
      <c r="AR9" s="8">
        <v>6169302</v>
      </c>
      <c r="AS9" s="8">
        <v>0</v>
      </c>
      <c r="AT9" s="128">
        <f t="shared" si="3"/>
        <v>7978393</v>
      </c>
      <c r="AU9" s="136">
        <f t="shared" si="4"/>
        <v>9475681</v>
      </c>
      <c r="AV9" s="8">
        <v>794776</v>
      </c>
      <c r="AW9" s="8">
        <v>547895</v>
      </c>
      <c r="AX9" s="8">
        <v>245470</v>
      </c>
      <c r="AY9" s="128">
        <f>SUM(AV9:AX9)</f>
        <v>1588141</v>
      </c>
      <c r="AZ9" s="8">
        <v>1809090</v>
      </c>
      <c r="BA9" s="8">
        <v>8163501</v>
      </c>
      <c r="BB9" s="8">
        <v>0</v>
      </c>
      <c r="BC9" s="128">
        <f t="shared" si="5"/>
        <v>9972591</v>
      </c>
      <c r="BD9" s="136">
        <f t="shared" si="6"/>
        <v>11560732</v>
      </c>
    </row>
    <row r="10" spans="1:57" ht="16.5" x14ac:dyDescent="0.25">
      <c r="A10" s="146" t="s">
        <v>19</v>
      </c>
      <c r="B10" s="7" t="s">
        <v>17</v>
      </c>
      <c r="C10" s="8">
        <v>237900</v>
      </c>
      <c r="D10" s="8">
        <v>58000</v>
      </c>
      <c r="E10" s="8">
        <v>284630</v>
      </c>
      <c r="F10" s="128">
        <f>SUM(C10:E10)</f>
        <v>580530</v>
      </c>
      <c r="G10" s="8"/>
      <c r="H10" s="8">
        <v>1254441</v>
      </c>
      <c r="I10" s="8">
        <v>4000000</v>
      </c>
      <c r="J10" s="128">
        <f>SUM(G10:I10)</f>
        <v>5254441</v>
      </c>
      <c r="K10" s="136">
        <f>F10+J10</f>
        <v>5834971</v>
      </c>
      <c r="L10" s="8">
        <v>292261</v>
      </c>
      <c r="M10" s="8">
        <v>89000</v>
      </c>
      <c r="N10" s="8">
        <v>44394</v>
      </c>
      <c r="O10" s="128">
        <f>SUM(L10:N10)</f>
        <v>425655</v>
      </c>
      <c r="P10" s="8">
        <v>0</v>
      </c>
      <c r="Q10" s="8">
        <v>477363</v>
      </c>
      <c r="R10" s="8">
        <v>3000000</v>
      </c>
      <c r="S10" s="128">
        <f>SUM(P10:R10)</f>
        <v>3477363</v>
      </c>
      <c r="T10" s="136">
        <f t="shared" si="2"/>
        <v>3903018</v>
      </c>
      <c r="U10" s="8">
        <v>0</v>
      </c>
      <c r="V10" s="8">
        <v>0</v>
      </c>
      <c r="W10" s="8">
        <v>0</v>
      </c>
      <c r="X10" s="128">
        <f>SUM(U10:W10)</f>
        <v>0</v>
      </c>
      <c r="Y10" s="8">
        <v>0</v>
      </c>
      <c r="Z10" s="8">
        <v>0</v>
      </c>
      <c r="AA10" s="8">
        <v>0</v>
      </c>
      <c r="AB10" s="128">
        <f>Y10+Z10+AA10</f>
        <v>0</v>
      </c>
      <c r="AC10" s="136">
        <f>X10+AB10</f>
        <v>0</v>
      </c>
      <c r="AD10" s="8">
        <v>0</v>
      </c>
      <c r="AE10" s="8">
        <v>0</v>
      </c>
      <c r="AF10" s="8">
        <v>0</v>
      </c>
      <c r="AG10" s="128">
        <f>SUM(AD10:AF10)</f>
        <v>0</v>
      </c>
      <c r="AH10" s="8">
        <v>0</v>
      </c>
      <c r="AI10" s="8">
        <v>0</v>
      </c>
      <c r="AJ10" s="8">
        <v>0</v>
      </c>
      <c r="AK10" s="128">
        <f>AH10+AI10+AJ10</f>
        <v>0</v>
      </c>
      <c r="AL10" s="136">
        <f>AG10+AK10</f>
        <v>0</v>
      </c>
      <c r="AM10" s="8">
        <v>0</v>
      </c>
      <c r="AN10" s="8">
        <v>0</v>
      </c>
      <c r="AO10" s="8">
        <v>0</v>
      </c>
      <c r="AP10" s="128">
        <f>SUM(AM10:AO10)</f>
        <v>0</v>
      </c>
      <c r="AQ10" s="8">
        <v>0</v>
      </c>
      <c r="AR10" s="8">
        <v>0</v>
      </c>
      <c r="AS10" s="8">
        <v>0</v>
      </c>
      <c r="AT10" s="128">
        <f t="shared" si="3"/>
        <v>0</v>
      </c>
      <c r="AU10" s="136">
        <f t="shared" si="4"/>
        <v>0</v>
      </c>
      <c r="AV10" s="8">
        <v>0</v>
      </c>
      <c r="AW10" s="8">
        <v>0</v>
      </c>
      <c r="AX10" s="8">
        <v>0</v>
      </c>
      <c r="AY10" s="128">
        <f>SUM(AV10:AX10)</f>
        <v>0</v>
      </c>
      <c r="AZ10" s="8">
        <v>0</v>
      </c>
      <c r="BA10" s="8">
        <v>0</v>
      </c>
      <c r="BB10" s="8">
        <v>0</v>
      </c>
      <c r="BC10" s="128">
        <f t="shared" si="5"/>
        <v>0</v>
      </c>
      <c r="BD10" s="136">
        <f t="shared" si="6"/>
        <v>0</v>
      </c>
    </row>
    <row r="11" spans="1:57" ht="16.5" x14ac:dyDescent="0.25">
      <c r="A11" s="96" t="s">
        <v>18</v>
      </c>
      <c r="B11" s="97"/>
      <c r="C11" s="5">
        <v>6901500</v>
      </c>
      <c r="D11" s="5">
        <v>2801025</v>
      </c>
      <c r="E11" s="5">
        <v>4019736</v>
      </c>
      <c r="F11" s="127">
        <v>13722261</v>
      </c>
      <c r="G11" s="5">
        <v>3131000</v>
      </c>
      <c r="H11" s="5">
        <v>450000</v>
      </c>
      <c r="I11" s="5">
        <v>0</v>
      </c>
      <c r="J11" s="127">
        <v>3581000</v>
      </c>
      <c r="K11" s="136">
        <v>17303261</v>
      </c>
      <c r="L11" s="5">
        <f>SUM(L12:L16)</f>
        <v>6277178</v>
      </c>
      <c r="M11" s="5">
        <f t="shared" ref="M11:S11" si="7">SUM(M12:M16)</f>
        <v>3659047</v>
      </c>
      <c r="N11" s="5">
        <f t="shared" si="7"/>
        <v>3565848</v>
      </c>
      <c r="O11" s="127">
        <f t="shared" si="7"/>
        <v>13502073</v>
      </c>
      <c r="P11" s="5">
        <f t="shared" si="7"/>
        <v>6752200</v>
      </c>
      <c r="Q11" s="5">
        <f t="shared" si="7"/>
        <v>0</v>
      </c>
      <c r="R11" s="5">
        <f t="shared" si="7"/>
        <v>0</v>
      </c>
      <c r="S11" s="127">
        <f t="shared" si="7"/>
        <v>6752200</v>
      </c>
      <c r="T11" s="136">
        <f t="shared" si="2"/>
        <v>20254273</v>
      </c>
      <c r="U11" s="5">
        <v>8246677</v>
      </c>
      <c r="V11" s="5">
        <v>3659047</v>
      </c>
      <c r="W11" s="5">
        <v>4565848</v>
      </c>
      <c r="X11" s="127">
        <v>16471572</v>
      </c>
      <c r="Y11" s="5">
        <v>4967568</v>
      </c>
      <c r="Z11" s="5">
        <v>0</v>
      </c>
      <c r="AA11" s="5">
        <v>0</v>
      </c>
      <c r="AB11" s="127">
        <v>4967568</v>
      </c>
      <c r="AC11" s="136">
        <v>21439140</v>
      </c>
      <c r="AD11" s="5">
        <f>AD12+AD13+AD14+AD15+AD16</f>
        <v>9700304</v>
      </c>
      <c r="AE11" s="5">
        <f t="shared" ref="AE11:BD11" si="8">AE12+AE13+AE14+AE15+AE16</f>
        <v>4841942</v>
      </c>
      <c r="AF11" s="5">
        <f t="shared" si="8"/>
        <v>6378981</v>
      </c>
      <c r="AG11" s="127">
        <f t="shared" si="8"/>
        <v>20921227</v>
      </c>
      <c r="AH11" s="5">
        <f t="shared" si="8"/>
        <v>4485000</v>
      </c>
      <c r="AI11" s="5">
        <f t="shared" si="8"/>
        <v>100000</v>
      </c>
      <c r="AJ11" s="5">
        <f t="shared" si="8"/>
        <v>0</v>
      </c>
      <c r="AK11" s="127">
        <f t="shared" si="8"/>
        <v>4585000</v>
      </c>
      <c r="AL11" s="136">
        <f t="shared" si="8"/>
        <v>25506227</v>
      </c>
      <c r="AM11" s="5">
        <f t="shared" si="8"/>
        <v>10249465</v>
      </c>
      <c r="AN11" s="5">
        <f t="shared" si="8"/>
        <v>4841942</v>
      </c>
      <c r="AO11" s="5">
        <f t="shared" si="8"/>
        <v>6378981</v>
      </c>
      <c r="AP11" s="127">
        <f t="shared" si="8"/>
        <v>21470388</v>
      </c>
      <c r="AQ11" s="5">
        <f t="shared" si="8"/>
        <v>7800000</v>
      </c>
      <c r="AR11" s="5">
        <f t="shared" si="8"/>
        <v>0</v>
      </c>
      <c r="AS11" s="5">
        <f t="shared" si="8"/>
        <v>0</v>
      </c>
      <c r="AT11" s="127">
        <f t="shared" si="8"/>
        <v>7800000</v>
      </c>
      <c r="AU11" s="136">
        <f t="shared" si="8"/>
        <v>29270388</v>
      </c>
      <c r="AV11" s="5">
        <f t="shared" si="8"/>
        <v>10939064</v>
      </c>
      <c r="AW11" s="5">
        <f t="shared" si="8"/>
        <v>4841942</v>
      </c>
      <c r="AX11" s="5">
        <f t="shared" si="8"/>
        <v>6378981</v>
      </c>
      <c r="AY11" s="127">
        <f t="shared" si="8"/>
        <v>22159987</v>
      </c>
      <c r="AZ11" s="5">
        <f t="shared" si="8"/>
        <v>7800000</v>
      </c>
      <c r="BA11" s="5">
        <f t="shared" si="8"/>
        <v>0</v>
      </c>
      <c r="BB11" s="5">
        <f t="shared" si="8"/>
        <v>0</v>
      </c>
      <c r="BC11" s="127">
        <f t="shared" si="8"/>
        <v>7800000</v>
      </c>
      <c r="BD11" s="136">
        <f t="shared" si="8"/>
        <v>29959987</v>
      </c>
    </row>
    <row r="12" spans="1:57" ht="16.5" x14ac:dyDescent="0.25">
      <c r="A12" s="145" t="s">
        <v>21</v>
      </c>
      <c r="B12" s="9" t="s">
        <v>20</v>
      </c>
      <c r="C12" s="8">
        <v>1216071</v>
      </c>
      <c r="D12" s="8">
        <v>1892750</v>
      </c>
      <c r="E12" s="8">
        <v>0</v>
      </c>
      <c r="F12" s="128">
        <f>SUM(C12:E12)</f>
        <v>3108821</v>
      </c>
      <c r="G12" s="8">
        <v>0</v>
      </c>
      <c r="H12" s="8">
        <v>0</v>
      </c>
      <c r="I12" s="8">
        <v>0</v>
      </c>
      <c r="J12" s="128">
        <f>SUM(G12:I12)</f>
        <v>0</v>
      </c>
      <c r="K12" s="136">
        <f>F12+J12</f>
        <v>3108821</v>
      </c>
      <c r="L12" s="8">
        <v>704935</v>
      </c>
      <c r="M12" s="8">
        <v>3298547</v>
      </c>
      <c r="N12" s="8">
        <v>281172</v>
      </c>
      <c r="O12" s="128">
        <f>SUM(L12:N12)</f>
        <v>4284654</v>
      </c>
      <c r="P12" s="8">
        <v>0</v>
      </c>
      <c r="Q12" s="8">
        <v>0</v>
      </c>
      <c r="R12" s="8">
        <v>0</v>
      </c>
      <c r="S12" s="128">
        <f>SUM(P12:R12)</f>
        <v>0</v>
      </c>
      <c r="T12" s="136">
        <f t="shared" si="2"/>
        <v>4284654</v>
      </c>
      <c r="U12" s="36">
        <v>920085</v>
      </c>
      <c r="V12" s="36">
        <v>3224547</v>
      </c>
      <c r="W12" s="36">
        <v>0</v>
      </c>
      <c r="X12" s="128">
        <f>SUM(U12:W12)</f>
        <v>4144632</v>
      </c>
      <c r="Y12" s="36">
        <v>0</v>
      </c>
      <c r="Z12" s="36">
        <v>0</v>
      </c>
      <c r="AA12" s="36">
        <v>0</v>
      </c>
      <c r="AB12" s="128">
        <f>Y12+Z12+AA12</f>
        <v>0</v>
      </c>
      <c r="AC12" s="136">
        <f>X12+AB12</f>
        <v>4144632</v>
      </c>
      <c r="AD12" s="8">
        <v>1153313</v>
      </c>
      <c r="AE12" s="8">
        <v>4329442</v>
      </c>
      <c r="AF12" s="8">
        <v>0</v>
      </c>
      <c r="AG12" s="128">
        <f>SUM(AD12:AF12)</f>
        <v>5482755</v>
      </c>
      <c r="AH12" s="8">
        <v>0</v>
      </c>
      <c r="AI12" s="8">
        <v>0</v>
      </c>
      <c r="AJ12" s="8">
        <v>0</v>
      </c>
      <c r="AK12" s="128">
        <f>AH12+AI12+AJ12</f>
        <v>0</v>
      </c>
      <c r="AL12" s="136">
        <f>AG12+AK12</f>
        <v>5482755</v>
      </c>
      <c r="AM12" s="8">
        <v>1242997</v>
      </c>
      <c r="AN12" s="8">
        <v>4329442</v>
      </c>
      <c r="AO12" s="8">
        <v>0</v>
      </c>
      <c r="AP12" s="128">
        <f>SUM(AM12:AO12)</f>
        <v>5572439</v>
      </c>
      <c r="AQ12" s="8">
        <v>0</v>
      </c>
      <c r="AR12" s="8">
        <v>0</v>
      </c>
      <c r="AS12" s="8">
        <v>0</v>
      </c>
      <c r="AT12" s="128">
        <f t="shared" si="3"/>
        <v>0</v>
      </c>
      <c r="AU12" s="136">
        <f t="shared" si="4"/>
        <v>5572439</v>
      </c>
      <c r="AV12" s="8">
        <v>1355616</v>
      </c>
      <c r="AW12" s="8">
        <v>4329442</v>
      </c>
      <c r="AX12" s="8">
        <v>0</v>
      </c>
      <c r="AY12" s="128">
        <f>AV12+AW12+AX12</f>
        <v>5685058</v>
      </c>
      <c r="AZ12" s="8">
        <v>0</v>
      </c>
      <c r="BA12" s="8">
        <v>0</v>
      </c>
      <c r="BB12" s="8">
        <v>0</v>
      </c>
      <c r="BC12" s="128">
        <f t="shared" si="5"/>
        <v>0</v>
      </c>
      <c r="BD12" s="136">
        <f t="shared" si="6"/>
        <v>5685058</v>
      </c>
    </row>
    <row r="13" spans="1:57" ht="16.5" x14ac:dyDescent="0.25">
      <c r="A13" s="145" t="s">
        <v>23</v>
      </c>
      <c r="B13" s="9" t="s">
        <v>22</v>
      </c>
      <c r="C13" s="8">
        <v>225278</v>
      </c>
      <c r="D13" s="8">
        <v>348775</v>
      </c>
      <c r="E13" s="8">
        <v>180000</v>
      </c>
      <c r="F13" s="128">
        <f>SUM(C13:E13)</f>
        <v>754053</v>
      </c>
      <c r="G13" s="8">
        <v>0</v>
      </c>
      <c r="H13" s="8">
        <v>0</v>
      </c>
      <c r="I13" s="8">
        <v>0</v>
      </c>
      <c r="J13" s="128">
        <f>SUM(G13:I13)</f>
        <v>0</v>
      </c>
      <c r="K13" s="136">
        <f>F13+J13</f>
        <v>754053</v>
      </c>
      <c r="L13" s="8">
        <v>222682</v>
      </c>
      <c r="M13" s="8">
        <v>165500</v>
      </c>
      <c r="N13" s="8">
        <v>162072</v>
      </c>
      <c r="O13" s="128">
        <f>SUM(L13:N13)</f>
        <v>550254</v>
      </c>
      <c r="P13" s="8">
        <v>0</v>
      </c>
      <c r="Q13" s="8">
        <v>0</v>
      </c>
      <c r="R13" s="8">
        <v>0</v>
      </c>
      <c r="S13" s="128">
        <f>SUM(P13:R13)</f>
        <v>0</v>
      </c>
      <c r="T13" s="136">
        <f t="shared" si="2"/>
        <v>550254</v>
      </c>
      <c r="U13" s="37">
        <v>472814</v>
      </c>
      <c r="V13" s="37">
        <v>216500</v>
      </c>
      <c r="W13" s="37">
        <v>111072</v>
      </c>
      <c r="X13" s="128">
        <f>SUM(U13:W13)</f>
        <v>800386</v>
      </c>
      <c r="Y13" s="37">
        <v>0</v>
      </c>
      <c r="Z13" s="37">
        <v>0</v>
      </c>
      <c r="AA13" s="37">
        <v>0</v>
      </c>
      <c r="AB13" s="128">
        <f>Y13+Z13+AA13</f>
        <v>0</v>
      </c>
      <c r="AC13" s="136">
        <f>X13+AB13</f>
        <v>800386</v>
      </c>
      <c r="AD13" s="8">
        <v>556060</v>
      </c>
      <c r="AE13" s="8">
        <v>232500</v>
      </c>
      <c r="AF13" s="8">
        <v>0</v>
      </c>
      <c r="AG13" s="128">
        <f>SUM(AD13:AF13)</f>
        <v>788560</v>
      </c>
      <c r="AH13" s="8">
        <v>0</v>
      </c>
      <c r="AI13" s="8">
        <v>0</v>
      </c>
      <c r="AJ13" s="8">
        <v>0</v>
      </c>
      <c r="AK13" s="128">
        <f>AH13+AI13+AJ13</f>
        <v>0</v>
      </c>
      <c r="AL13" s="136">
        <f>AG13+AK13</f>
        <v>788560</v>
      </c>
      <c r="AM13" s="8">
        <v>585547</v>
      </c>
      <c r="AN13" s="8">
        <v>232500</v>
      </c>
      <c r="AO13" s="8">
        <v>0</v>
      </c>
      <c r="AP13" s="128">
        <f>SUM(AM13:AO13)</f>
        <v>818047</v>
      </c>
      <c r="AQ13" s="8">
        <v>0</v>
      </c>
      <c r="AR13" s="8">
        <v>0</v>
      </c>
      <c r="AS13" s="8">
        <v>0</v>
      </c>
      <c r="AT13" s="128">
        <f t="shared" si="3"/>
        <v>0</v>
      </c>
      <c r="AU13" s="136">
        <f t="shared" si="4"/>
        <v>818047</v>
      </c>
      <c r="AV13" s="8">
        <v>622574</v>
      </c>
      <c r="AW13" s="8">
        <v>232500</v>
      </c>
      <c r="AX13" s="8">
        <v>0</v>
      </c>
      <c r="AY13" s="128">
        <f>SUM(AV13:AX13)</f>
        <v>855074</v>
      </c>
      <c r="AZ13" s="8">
        <v>0</v>
      </c>
      <c r="BA13" s="8">
        <v>0</v>
      </c>
      <c r="BB13" s="8">
        <v>0</v>
      </c>
      <c r="BC13" s="128">
        <f t="shared" si="5"/>
        <v>0</v>
      </c>
      <c r="BD13" s="136">
        <f t="shared" si="6"/>
        <v>855074</v>
      </c>
    </row>
    <row r="14" spans="1:57" ht="16.5" x14ac:dyDescent="0.25">
      <c r="A14" s="145" t="s">
        <v>25</v>
      </c>
      <c r="B14" s="9" t="s">
        <v>24</v>
      </c>
      <c r="C14" s="8">
        <v>5189208</v>
      </c>
      <c r="D14" s="8">
        <v>446000</v>
      </c>
      <c r="E14" s="8">
        <v>1678596</v>
      </c>
      <c r="F14" s="128">
        <f>SUM(C14:E14)</f>
        <v>7313804</v>
      </c>
      <c r="G14" s="8">
        <v>2056500</v>
      </c>
      <c r="H14" s="8">
        <v>0</v>
      </c>
      <c r="I14" s="8">
        <v>0</v>
      </c>
      <c r="J14" s="128">
        <f>SUM(G14:I14)</f>
        <v>2056500</v>
      </c>
      <c r="K14" s="136">
        <f>F14+J14</f>
        <v>9370304</v>
      </c>
      <c r="L14" s="8">
        <v>5106066</v>
      </c>
      <c r="M14" s="8">
        <v>117000</v>
      </c>
      <c r="N14" s="8">
        <v>1261464</v>
      </c>
      <c r="O14" s="128">
        <f>SUM(L14:N14)</f>
        <v>6484530</v>
      </c>
      <c r="P14" s="8">
        <v>5615200</v>
      </c>
      <c r="Q14" s="8">
        <v>0</v>
      </c>
      <c r="R14" s="8">
        <v>0</v>
      </c>
      <c r="S14" s="128">
        <f>SUM(P14:R14)</f>
        <v>5615200</v>
      </c>
      <c r="T14" s="136">
        <f t="shared" si="2"/>
        <v>12099730</v>
      </c>
      <c r="U14" s="37">
        <v>6522571</v>
      </c>
      <c r="V14" s="37">
        <v>140000</v>
      </c>
      <c r="W14" s="37">
        <v>1593636</v>
      </c>
      <c r="X14" s="128">
        <f>SUM(U14:W14)</f>
        <v>8256207</v>
      </c>
      <c r="Y14" s="37">
        <v>4128616</v>
      </c>
      <c r="Z14" s="37">
        <v>0</v>
      </c>
      <c r="AA14" s="37">
        <v>0</v>
      </c>
      <c r="AB14" s="128">
        <f>Y14+Z14+AA14</f>
        <v>4128616</v>
      </c>
      <c r="AC14" s="136">
        <f>X14+AB14</f>
        <v>12384823</v>
      </c>
      <c r="AD14" s="8">
        <v>7813277</v>
      </c>
      <c r="AE14" s="8">
        <v>196000</v>
      </c>
      <c r="AF14" s="8">
        <v>2467841</v>
      </c>
      <c r="AG14" s="128">
        <f>SUM(AD14:AF14)</f>
        <v>10477118</v>
      </c>
      <c r="AH14" s="8">
        <v>3400000</v>
      </c>
      <c r="AI14" s="8">
        <v>0</v>
      </c>
      <c r="AJ14" s="8">
        <v>0</v>
      </c>
      <c r="AK14" s="128">
        <f>AH14+AI14+AJ14</f>
        <v>3400000</v>
      </c>
      <c r="AL14" s="136">
        <f>AG14+AK14</f>
        <v>13877118</v>
      </c>
      <c r="AM14" s="8">
        <v>8228397</v>
      </c>
      <c r="AN14" s="8">
        <v>196000</v>
      </c>
      <c r="AO14" s="8">
        <v>2467841</v>
      </c>
      <c r="AP14" s="128">
        <f>SUM(AM14:AO14)</f>
        <v>10892238</v>
      </c>
      <c r="AQ14" s="8">
        <v>6800000</v>
      </c>
      <c r="AR14" s="8">
        <v>0</v>
      </c>
      <c r="AS14" s="8">
        <v>0</v>
      </c>
      <c r="AT14" s="128">
        <f t="shared" si="3"/>
        <v>6800000</v>
      </c>
      <c r="AU14" s="136">
        <f t="shared" si="4"/>
        <v>17692238</v>
      </c>
      <c r="AV14" s="8">
        <v>8749678</v>
      </c>
      <c r="AW14" s="8">
        <v>196000</v>
      </c>
      <c r="AX14" s="8">
        <v>2467841</v>
      </c>
      <c r="AY14" s="128">
        <f>SUM(AV14:AX14)</f>
        <v>11413519</v>
      </c>
      <c r="AZ14" s="8">
        <v>6800000</v>
      </c>
      <c r="BA14" s="8">
        <v>0</v>
      </c>
      <c r="BB14" s="8">
        <v>0</v>
      </c>
      <c r="BC14" s="128">
        <f t="shared" si="5"/>
        <v>6800000</v>
      </c>
      <c r="BD14" s="136">
        <f t="shared" si="6"/>
        <v>18213519</v>
      </c>
    </row>
    <row r="15" spans="1:57" ht="16.5" x14ac:dyDescent="0.25">
      <c r="A15" s="145" t="s">
        <v>163</v>
      </c>
      <c r="B15" s="9" t="s">
        <v>26</v>
      </c>
      <c r="C15" s="8">
        <v>28225</v>
      </c>
      <c r="D15" s="8"/>
      <c r="E15" s="8">
        <v>2000000</v>
      </c>
      <c r="F15" s="128">
        <f>SUM(C15:E15)</f>
        <v>2028225</v>
      </c>
      <c r="G15" s="8">
        <v>1000000</v>
      </c>
      <c r="H15" s="8">
        <v>0</v>
      </c>
      <c r="I15" s="8">
        <v>0</v>
      </c>
      <c r="J15" s="128">
        <f>SUM(G15:I15)</f>
        <v>1000000</v>
      </c>
      <c r="K15" s="136">
        <f>F15+J15</f>
        <v>3028225</v>
      </c>
      <c r="L15" s="8">
        <v>12033</v>
      </c>
      <c r="M15" s="8"/>
      <c r="N15" s="8">
        <v>1700000</v>
      </c>
      <c r="O15" s="128">
        <f>SUM(L15:N15)</f>
        <v>1712033</v>
      </c>
      <c r="P15" s="8">
        <v>1052000</v>
      </c>
      <c r="Q15" s="8">
        <v>0</v>
      </c>
      <c r="R15" s="8">
        <v>0</v>
      </c>
      <c r="S15" s="128">
        <f>SUM(P15:R15)</f>
        <v>1052000</v>
      </c>
      <c r="T15" s="136">
        <f t="shared" si="2"/>
        <v>2764033</v>
      </c>
      <c r="U15" s="38">
        <v>129487</v>
      </c>
      <c r="V15" s="38">
        <v>0</v>
      </c>
      <c r="W15" s="38">
        <v>2700000</v>
      </c>
      <c r="X15" s="128">
        <f>SUM(U15:W15)</f>
        <v>2829487</v>
      </c>
      <c r="Y15" s="38">
        <v>753952</v>
      </c>
      <c r="Z15" s="38">
        <v>0</v>
      </c>
      <c r="AA15" s="38">
        <v>0</v>
      </c>
      <c r="AB15" s="128">
        <f>Y15+Z15+AA15</f>
        <v>753952</v>
      </c>
      <c r="AC15" s="136">
        <f>X15+AB15</f>
        <v>3583439</v>
      </c>
      <c r="AD15" s="8">
        <v>0</v>
      </c>
      <c r="AE15" s="8">
        <v>0</v>
      </c>
      <c r="AF15" s="8">
        <v>3700000</v>
      </c>
      <c r="AG15" s="128">
        <f>SUM(AD15:AF15)</f>
        <v>3700000</v>
      </c>
      <c r="AH15" s="8">
        <v>1000000</v>
      </c>
      <c r="AI15" s="8">
        <v>0</v>
      </c>
      <c r="AJ15" s="8">
        <v>0</v>
      </c>
      <c r="AK15" s="128">
        <f>AH15+AI15+AJ15</f>
        <v>1000000</v>
      </c>
      <c r="AL15" s="136">
        <f>AG15+AK15</f>
        <v>4700000</v>
      </c>
      <c r="AM15" s="8">
        <v>0</v>
      </c>
      <c r="AN15" s="8">
        <v>0</v>
      </c>
      <c r="AO15" s="8">
        <v>3700000</v>
      </c>
      <c r="AP15" s="128">
        <f>SUM(AM15:AO15)</f>
        <v>3700000</v>
      </c>
      <c r="AQ15" s="8">
        <v>1000000</v>
      </c>
      <c r="AR15" s="8">
        <v>0</v>
      </c>
      <c r="AS15" s="8">
        <v>0</v>
      </c>
      <c r="AT15" s="128">
        <f t="shared" si="3"/>
        <v>1000000</v>
      </c>
      <c r="AU15" s="136">
        <f t="shared" si="4"/>
        <v>4700000</v>
      </c>
      <c r="AV15" s="8">
        <v>0</v>
      </c>
      <c r="AW15" s="8">
        <v>0</v>
      </c>
      <c r="AX15" s="8">
        <v>3700000</v>
      </c>
      <c r="AY15" s="128">
        <f>SUM(AV15:AX15)</f>
        <v>3700000</v>
      </c>
      <c r="AZ15" s="8">
        <v>1000000</v>
      </c>
      <c r="BA15" s="8">
        <v>0</v>
      </c>
      <c r="BB15" s="8">
        <v>0</v>
      </c>
      <c r="BC15" s="128">
        <f t="shared" si="5"/>
        <v>1000000</v>
      </c>
      <c r="BD15" s="136">
        <f t="shared" si="6"/>
        <v>4700000</v>
      </c>
    </row>
    <row r="16" spans="1:57" ht="16.5" x14ac:dyDescent="0.25">
      <c r="A16" s="146" t="s">
        <v>27</v>
      </c>
      <c r="B16" s="9" t="s">
        <v>285</v>
      </c>
      <c r="C16" s="8">
        <v>242718</v>
      </c>
      <c r="D16" s="8">
        <v>113500</v>
      </c>
      <c r="E16" s="8">
        <v>161140</v>
      </c>
      <c r="F16" s="128">
        <f>SUM(C16:E16)</f>
        <v>517358</v>
      </c>
      <c r="G16" s="8">
        <v>74500</v>
      </c>
      <c r="H16" s="8">
        <v>450000</v>
      </c>
      <c r="I16" s="8">
        <v>0</v>
      </c>
      <c r="J16" s="128">
        <f>SUM(G16:I16)</f>
        <v>524500</v>
      </c>
      <c r="K16" s="136">
        <f>F16+J16</f>
        <v>1041858</v>
      </c>
      <c r="L16" s="8">
        <v>231462</v>
      </c>
      <c r="M16" s="8">
        <v>78000</v>
      </c>
      <c r="N16" s="8">
        <v>161140</v>
      </c>
      <c r="O16" s="128">
        <f>SUM(L16:N16)</f>
        <v>470602</v>
      </c>
      <c r="P16" s="8">
        <v>85000</v>
      </c>
      <c r="Q16" s="8">
        <v>0</v>
      </c>
      <c r="R16" s="8">
        <v>0</v>
      </c>
      <c r="S16" s="128">
        <f>SUM(P16:R16)</f>
        <v>85000</v>
      </c>
      <c r="T16" s="136">
        <f t="shared" si="2"/>
        <v>555602</v>
      </c>
      <c r="U16" s="37">
        <v>201720</v>
      </c>
      <c r="V16" s="37">
        <v>78000</v>
      </c>
      <c r="W16" s="37">
        <v>161140</v>
      </c>
      <c r="X16" s="128">
        <f>SUM(U16:W16)</f>
        <v>440860</v>
      </c>
      <c r="Y16" s="37">
        <v>85000</v>
      </c>
      <c r="Z16" s="37">
        <v>0</v>
      </c>
      <c r="AA16" s="37">
        <v>0</v>
      </c>
      <c r="AB16" s="128">
        <f>Y16+Z16+AA16</f>
        <v>85000</v>
      </c>
      <c r="AC16" s="136">
        <f>X16+AB16</f>
        <v>525860</v>
      </c>
      <c r="AD16" s="8">
        <v>177654</v>
      </c>
      <c r="AE16" s="8">
        <v>84000</v>
      </c>
      <c r="AF16" s="8">
        <v>211140</v>
      </c>
      <c r="AG16" s="128">
        <f>SUM(AD16:AF16)</f>
        <v>472794</v>
      </c>
      <c r="AH16" s="8">
        <v>85000</v>
      </c>
      <c r="AI16" s="8">
        <v>100000</v>
      </c>
      <c r="AJ16" s="8">
        <v>0</v>
      </c>
      <c r="AK16" s="128">
        <f>AH16+AI16+AJ16</f>
        <v>185000</v>
      </c>
      <c r="AL16" s="136">
        <f>AG16+AK16</f>
        <v>657794</v>
      </c>
      <c r="AM16" s="8">
        <v>192524</v>
      </c>
      <c r="AN16" s="8">
        <v>84000</v>
      </c>
      <c r="AO16" s="8">
        <v>211140</v>
      </c>
      <c r="AP16" s="128">
        <f>SUM(AM16:AO16)</f>
        <v>487664</v>
      </c>
      <c r="AQ16" s="8">
        <v>0</v>
      </c>
      <c r="AR16" s="8">
        <v>0</v>
      </c>
      <c r="AS16" s="8">
        <v>0</v>
      </c>
      <c r="AT16" s="128">
        <f t="shared" si="3"/>
        <v>0</v>
      </c>
      <c r="AU16" s="136">
        <f t="shared" si="4"/>
        <v>487664</v>
      </c>
      <c r="AV16" s="8">
        <v>211196</v>
      </c>
      <c r="AW16" s="8">
        <v>84000</v>
      </c>
      <c r="AX16" s="8">
        <v>211140</v>
      </c>
      <c r="AY16" s="128">
        <f>SUM(AV16:AX16)</f>
        <v>506336</v>
      </c>
      <c r="AZ16" s="8">
        <v>0</v>
      </c>
      <c r="BA16" s="8">
        <v>0</v>
      </c>
      <c r="BB16" s="8">
        <v>0</v>
      </c>
      <c r="BC16" s="128">
        <f t="shared" si="5"/>
        <v>0</v>
      </c>
      <c r="BD16" s="136">
        <f t="shared" si="6"/>
        <v>506336</v>
      </c>
    </row>
    <row r="17" spans="1:56" ht="16.5" x14ac:dyDescent="0.25">
      <c r="A17" s="96" t="s">
        <v>28</v>
      </c>
      <c r="B17" s="97"/>
      <c r="C17" s="5">
        <v>13320800</v>
      </c>
      <c r="D17" s="5">
        <v>8722571</v>
      </c>
      <c r="E17" s="5">
        <v>195039</v>
      </c>
      <c r="F17" s="127">
        <v>22238410</v>
      </c>
      <c r="G17" s="5">
        <v>1800000</v>
      </c>
      <c r="H17" s="5">
        <v>0</v>
      </c>
      <c r="I17" s="5">
        <v>0</v>
      </c>
      <c r="J17" s="127">
        <v>1800000</v>
      </c>
      <c r="K17" s="136">
        <v>24038410</v>
      </c>
      <c r="L17" s="5">
        <f>SUM(L18:L21)</f>
        <v>15006544</v>
      </c>
      <c r="M17" s="5">
        <f t="shared" ref="M17:S17" si="9">SUM(M18:M21)</f>
        <v>5728052</v>
      </c>
      <c r="N17" s="5">
        <f t="shared" si="9"/>
        <v>100000</v>
      </c>
      <c r="O17" s="127">
        <f t="shared" si="9"/>
        <v>20834596</v>
      </c>
      <c r="P17" s="5">
        <f t="shared" si="9"/>
        <v>2130000</v>
      </c>
      <c r="Q17" s="5">
        <f t="shared" si="9"/>
        <v>0</v>
      </c>
      <c r="R17" s="5">
        <f t="shared" si="9"/>
        <v>0</v>
      </c>
      <c r="S17" s="127">
        <f t="shared" si="9"/>
        <v>2130000</v>
      </c>
      <c r="T17" s="136">
        <f t="shared" si="2"/>
        <v>22964596</v>
      </c>
      <c r="U17" s="5">
        <v>10066179</v>
      </c>
      <c r="V17" s="5">
        <v>5798052</v>
      </c>
      <c r="W17" s="5">
        <v>100000</v>
      </c>
      <c r="X17" s="127">
        <v>15964231</v>
      </c>
      <c r="Y17" s="5">
        <v>1000000</v>
      </c>
      <c r="Z17" s="5">
        <v>0</v>
      </c>
      <c r="AA17" s="5">
        <v>0</v>
      </c>
      <c r="AB17" s="127">
        <v>1000000</v>
      </c>
      <c r="AC17" s="136">
        <v>16964231</v>
      </c>
      <c r="AD17" s="5">
        <f>AD18+AD19+AD20+AD21</f>
        <v>9732424</v>
      </c>
      <c r="AE17" s="5">
        <f t="shared" ref="AE17:BD17" si="10">AE18+AE19+AE20+AE21</f>
        <v>6261548</v>
      </c>
      <c r="AF17" s="5">
        <f t="shared" si="10"/>
        <v>100000</v>
      </c>
      <c r="AG17" s="127">
        <f t="shared" si="10"/>
        <v>16093972</v>
      </c>
      <c r="AH17" s="5">
        <f t="shared" si="10"/>
        <v>700000</v>
      </c>
      <c r="AI17" s="5">
        <f t="shared" si="10"/>
        <v>0</v>
      </c>
      <c r="AJ17" s="5">
        <f t="shared" si="10"/>
        <v>0</v>
      </c>
      <c r="AK17" s="127">
        <f t="shared" si="10"/>
        <v>700000</v>
      </c>
      <c r="AL17" s="136">
        <f t="shared" si="10"/>
        <v>16793972</v>
      </c>
      <c r="AM17" s="5">
        <f t="shared" si="10"/>
        <v>10237223</v>
      </c>
      <c r="AN17" s="5">
        <f t="shared" si="10"/>
        <v>6261548</v>
      </c>
      <c r="AO17" s="5">
        <f t="shared" si="10"/>
        <v>100000</v>
      </c>
      <c r="AP17" s="127">
        <f t="shared" si="10"/>
        <v>16598771</v>
      </c>
      <c r="AQ17" s="5">
        <f t="shared" si="10"/>
        <v>700000</v>
      </c>
      <c r="AR17" s="5">
        <f t="shared" si="10"/>
        <v>0</v>
      </c>
      <c r="AS17" s="5">
        <f t="shared" si="10"/>
        <v>0</v>
      </c>
      <c r="AT17" s="127">
        <f t="shared" si="10"/>
        <v>700000</v>
      </c>
      <c r="AU17" s="136">
        <f t="shared" si="10"/>
        <v>17298771</v>
      </c>
      <c r="AV17" s="5">
        <f t="shared" si="10"/>
        <v>10836673</v>
      </c>
      <c r="AW17" s="5">
        <f t="shared" si="10"/>
        <v>6261548</v>
      </c>
      <c r="AX17" s="5">
        <f t="shared" si="10"/>
        <v>100000</v>
      </c>
      <c r="AY17" s="127">
        <f t="shared" si="10"/>
        <v>17198221</v>
      </c>
      <c r="AZ17" s="5">
        <f t="shared" si="10"/>
        <v>1000000</v>
      </c>
      <c r="BA17" s="5">
        <f t="shared" si="10"/>
        <v>0</v>
      </c>
      <c r="BB17" s="5">
        <f t="shared" si="10"/>
        <v>0</v>
      </c>
      <c r="BC17" s="127">
        <f t="shared" si="10"/>
        <v>1000000</v>
      </c>
      <c r="BD17" s="136">
        <f t="shared" si="10"/>
        <v>18198221</v>
      </c>
    </row>
    <row r="18" spans="1:56" ht="16.5" x14ac:dyDescent="0.25">
      <c r="A18" s="147" t="s">
        <v>29</v>
      </c>
      <c r="B18" s="7" t="s">
        <v>30</v>
      </c>
      <c r="C18" s="8">
        <v>3539789</v>
      </c>
      <c r="D18" s="8">
        <v>2876361</v>
      </c>
      <c r="E18" s="8">
        <v>75447</v>
      </c>
      <c r="F18" s="128">
        <f>SUM(C18:E18)</f>
        <v>6491597</v>
      </c>
      <c r="G18" s="8">
        <v>200000</v>
      </c>
      <c r="H18" s="8">
        <v>0</v>
      </c>
      <c r="I18" s="8">
        <v>0</v>
      </c>
      <c r="J18" s="128">
        <f>SUM(G18:I18)</f>
        <v>200000</v>
      </c>
      <c r="K18" s="136">
        <f>F18+J18</f>
        <v>6691597</v>
      </c>
      <c r="L18" s="8">
        <v>2037100</v>
      </c>
      <c r="M18" s="8">
        <v>2490200</v>
      </c>
      <c r="N18" s="8">
        <v>0</v>
      </c>
      <c r="O18" s="128">
        <f>SUM(L18:N18)</f>
        <v>4527300</v>
      </c>
      <c r="P18" s="8">
        <v>1600000</v>
      </c>
      <c r="Q18" s="8">
        <v>0</v>
      </c>
      <c r="R18" s="8">
        <v>0</v>
      </c>
      <c r="S18" s="128">
        <f t="shared" ref="S18:S27" si="11">SUM(P18:R18)</f>
        <v>1600000</v>
      </c>
      <c r="T18" s="136">
        <f t="shared" si="2"/>
        <v>6127300</v>
      </c>
      <c r="U18" s="33">
        <v>1434900</v>
      </c>
      <c r="V18" s="33">
        <v>2481822</v>
      </c>
      <c r="W18" s="33">
        <v>0</v>
      </c>
      <c r="X18" s="128">
        <f>SUM(U18:W18)</f>
        <v>3916722</v>
      </c>
      <c r="Y18" s="33">
        <f>648000+12000</f>
        <v>660000</v>
      </c>
      <c r="Z18" s="33">
        <v>0</v>
      </c>
      <c r="AA18" s="33">
        <v>0</v>
      </c>
      <c r="AB18" s="128">
        <f>SUM(Y18:AA18)</f>
        <v>660000</v>
      </c>
      <c r="AC18" s="136">
        <f>X18+AB18</f>
        <v>4576722</v>
      </c>
      <c r="AD18" s="8">
        <v>1359249</v>
      </c>
      <c r="AE18" s="8">
        <v>2672357</v>
      </c>
      <c r="AF18" s="8">
        <v>0</v>
      </c>
      <c r="AG18" s="128">
        <f>SUM(AD18:AF18)</f>
        <v>4031606</v>
      </c>
      <c r="AH18" s="8">
        <v>400000</v>
      </c>
      <c r="AI18" s="8">
        <v>0</v>
      </c>
      <c r="AJ18" s="8">
        <v>0</v>
      </c>
      <c r="AK18" s="128">
        <f>SUM(AH18:AJ18)</f>
        <v>400000</v>
      </c>
      <c r="AL18" s="136">
        <f>AG18+AK18</f>
        <v>4431606</v>
      </c>
      <c r="AM18" s="8">
        <v>1359249</v>
      </c>
      <c r="AN18" s="8">
        <v>2672357</v>
      </c>
      <c r="AO18" s="8">
        <v>0</v>
      </c>
      <c r="AP18" s="128">
        <f>SUM(AM18:AO18)</f>
        <v>4031606</v>
      </c>
      <c r="AQ18" s="8">
        <v>400000</v>
      </c>
      <c r="AR18" s="8">
        <v>0</v>
      </c>
      <c r="AS18" s="8">
        <v>0</v>
      </c>
      <c r="AT18" s="128">
        <f>SUM(AQ18:AS18)</f>
        <v>400000</v>
      </c>
      <c r="AU18" s="136">
        <f t="shared" si="4"/>
        <v>4431606</v>
      </c>
      <c r="AV18" s="8">
        <v>1359249</v>
      </c>
      <c r="AW18" s="8">
        <v>2672357</v>
      </c>
      <c r="AX18" s="8">
        <v>0</v>
      </c>
      <c r="AY18" s="128">
        <f>SUM(AV18:AX18)</f>
        <v>4031606</v>
      </c>
      <c r="AZ18" s="8">
        <v>450000</v>
      </c>
      <c r="BA18" s="8">
        <v>0</v>
      </c>
      <c r="BB18" s="8">
        <v>0</v>
      </c>
      <c r="BC18" s="128">
        <f>SUM(AZ18:BB18)</f>
        <v>450000</v>
      </c>
      <c r="BD18" s="136">
        <f t="shared" si="6"/>
        <v>4481606</v>
      </c>
    </row>
    <row r="19" spans="1:56" ht="16.5" x14ac:dyDescent="0.25">
      <c r="A19" s="145" t="s">
        <v>31</v>
      </c>
      <c r="B19" s="7" t="s">
        <v>32</v>
      </c>
      <c r="C19" s="8">
        <v>6962571</v>
      </c>
      <c r="D19" s="8">
        <f>5325100-441590</f>
        <v>4883510</v>
      </c>
      <c r="E19" s="8">
        <v>54842</v>
      </c>
      <c r="F19" s="128">
        <f>SUM(C19:E19)</f>
        <v>11900923</v>
      </c>
      <c r="G19" s="8">
        <f>150000*2</f>
        <v>300000</v>
      </c>
      <c r="H19" s="8">
        <v>0</v>
      </c>
      <c r="I19" s="8">
        <v>0</v>
      </c>
      <c r="J19" s="128">
        <f>SUM(G19:I19)</f>
        <v>300000</v>
      </c>
      <c r="K19" s="136">
        <f>F19+J19</f>
        <v>12200923</v>
      </c>
      <c r="L19" s="8">
        <v>2175632</v>
      </c>
      <c r="M19" s="8">
        <v>1154252</v>
      </c>
      <c r="N19" s="8">
        <v>100000</v>
      </c>
      <c r="O19" s="128">
        <f>SUM(L19:N19)</f>
        <v>3429884</v>
      </c>
      <c r="P19" s="8">
        <v>0</v>
      </c>
      <c r="Q19" s="8">
        <v>0</v>
      </c>
      <c r="R19" s="8">
        <v>0</v>
      </c>
      <c r="S19" s="128">
        <f t="shared" si="11"/>
        <v>0</v>
      </c>
      <c r="T19" s="136">
        <f t="shared" si="2"/>
        <v>3429884</v>
      </c>
      <c r="U19" s="35">
        <v>1492712</v>
      </c>
      <c r="V19" s="35">
        <v>440974</v>
      </c>
      <c r="W19" s="35">
        <v>100000</v>
      </c>
      <c r="X19" s="128">
        <f>SUM(U19:W19)</f>
        <v>2033686</v>
      </c>
      <c r="Y19" s="35">
        <v>0</v>
      </c>
      <c r="Z19" s="35">
        <v>0</v>
      </c>
      <c r="AA19" s="35">
        <v>0</v>
      </c>
      <c r="AB19" s="128">
        <f>SUM(Y19:AA19)</f>
        <v>0</v>
      </c>
      <c r="AC19" s="136">
        <f>X19+AB19</f>
        <v>2033686</v>
      </c>
      <c r="AD19" s="8">
        <v>1254227</v>
      </c>
      <c r="AE19" s="8">
        <v>449070</v>
      </c>
      <c r="AF19" s="8">
        <v>100000</v>
      </c>
      <c r="AG19" s="128">
        <f>SUM(AD19:AF19)</f>
        <v>1803297</v>
      </c>
      <c r="AH19" s="8">
        <v>0</v>
      </c>
      <c r="AI19" s="8">
        <v>0</v>
      </c>
      <c r="AJ19" s="8">
        <v>0</v>
      </c>
      <c r="AK19" s="128">
        <f>SUM(AH19:AJ19)</f>
        <v>0</v>
      </c>
      <c r="AL19" s="136">
        <f>AG19+AK19</f>
        <v>1803297</v>
      </c>
      <c r="AM19" s="8">
        <v>1759026</v>
      </c>
      <c r="AN19" s="8">
        <v>449070</v>
      </c>
      <c r="AO19" s="8">
        <v>100000</v>
      </c>
      <c r="AP19" s="128">
        <f>SUM(AM19:AO19)</f>
        <v>2308096</v>
      </c>
      <c r="AQ19" s="8">
        <v>0</v>
      </c>
      <c r="AR19" s="8">
        <v>0</v>
      </c>
      <c r="AS19" s="8">
        <v>0</v>
      </c>
      <c r="AT19" s="128">
        <f>SUM(AQ19:AS19)</f>
        <v>0</v>
      </c>
      <c r="AU19" s="136">
        <f t="shared" si="4"/>
        <v>2308096</v>
      </c>
      <c r="AV19" s="8">
        <v>2358476</v>
      </c>
      <c r="AW19" s="8">
        <v>449070</v>
      </c>
      <c r="AX19" s="8">
        <v>100000</v>
      </c>
      <c r="AY19" s="128">
        <f>SUM(AV19:AX19)</f>
        <v>2907546</v>
      </c>
      <c r="AZ19" s="8">
        <v>0</v>
      </c>
      <c r="BA19" s="8">
        <v>0</v>
      </c>
      <c r="BB19" s="8">
        <v>0</v>
      </c>
      <c r="BC19" s="128">
        <f>SUM(AZ19:BB19)</f>
        <v>0</v>
      </c>
      <c r="BD19" s="136">
        <f t="shared" si="6"/>
        <v>2907546</v>
      </c>
    </row>
    <row r="20" spans="1:56" ht="16.5" x14ac:dyDescent="0.25">
      <c r="A20" s="145" t="s">
        <v>295</v>
      </c>
      <c r="B20" s="7" t="s">
        <v>33</v>
      </c>
      <c r="C20" s="8">
        <v>2680140</v>
      </c>
      <c r="D20" s="8">
        <v>962700</v>
      </c>
      <c r="E20" s="8">
        <v>25000</v>
      </c>
      <c r="F20" s="128">
        <f>SUM(C20:E20)</f>
        <v>3667840</v>
      </c>
      <c r="G20" s="8">
        <v>1000000</v>
      </c>
      <c r="H20" s="8">
        <v>0</v>
      </c>
      <c r="I20" s="8">
        <v>0</v>
      </c>
      <c r="J20" s="128">
        <f>SUM(G20:I20)</f>
        <v>1000000</v>
      </c>
      <c r="K20" s="136">
        <f>F20+J20</f>
        <v>4667840</v>
      </c>
      <c r="L20" s="8">
        <v>10793812</v>
      </c>
      <c r="M20" s="8">
        <v>2083600</v>
      </c>
      <c r="N20" s="8">
        <v>0</v>
      </c>
      <c r="O20" s="128">
        <f>SUM(L20:N20)</f>
        <v>12877412</v>
      </c>
      <c r="P20" s="8">
        <v>530000</v>
      </c>
      <c r="Q20" s="8">
        <v>0</v>
      </c>
      <c r="R20" s="8">
        <v>0</v>
      </c>
      <c r="S20" s="128">
        <f t="shared" si="11"/>
        <v>530000</v>
      </c>
      <c r="T20" s="136">
        <f t="shared" si="2"/>
        <v>13407412</v>
      </c>
      <c r="U20" s="35">
        <v>7138567</v>
      </c>
      <c r="V20" s="35">
        <v>2875256</v>
      </c>
      <c r="W20" s="35">
        <v>0</v>
      </c>
      <c r="X20" s="128">
        <f>SUM(U20:W20)</f>
        <v>10013823</v>
      </c>
      <c r="Y20" s="35">
        <v>340000</v>
      </c>
      <c r="Z20" s="35">
        <v>0</v>
      </c>
      <c r="AA20" s="35">
        <v>0</v>
      </c>
      <c r="AB20" s="128">
        <f>SUM(Y20:AA20)</f>
        <v>340000</v>
      </c>
      <c r="AC20" s="136">
        <f>X20+AB20</f>
        <v>10353823</v>
      </c>
      <c r="AD20" s="8">
        <v>7118948</v>
      </c>
      <c r="AE20" s="8">
        <v>3140121</v>
      </c>
      <c r="AF20" s="8">
        <v>0</v>
      </c>
      <c r="AG20" s="128">
        <f>SUM(AD20:AF20)</f>
        <v>10259069</v>
      </c>
      <c r="AH20" s="8">
        <v>300000</v>
      </c>
      <c r="AI20" s="8">
        <v>0</v>
      </c>
      <c r="AJ20" s="8">
        <v>0</v>
      </c>
      <c r="AK20" s="128">
        <f>SUM(AH20:AJ20)</f>
        <v>300000</v>
      </c>
      <c r="AL20" s="136">
        <f>AG20+AK20</f>
        <v>10559069</v>
      </c>
      <c r="AM20" s="8">
        <v>7118948</v>
      </c>
      <c r="AN20" s="8">
        <v>3140121</v>
      </c>
      <c r="AO20" s="8">
        <v>0</v>
      </c>
      <c r="AP20" s="128">
        <f>SUM(AM20:AO20)</f>
        <v>10259069</v>
      </c>
      <c r="AQ20" s="8">
        <v>300000</v>
      </c>
      <c r="AR20" s="8">
        <v>0</v>
      </c>
      <c r="AS20" s="8">
        <v>0</v>
      </c>
      <c r="AT20" s="128">
        <f>SUM(AQ20:AS20)</f>
        <v>300000</v>
      </c>
      <c r="AU20" s="136">
        <f t="shared" si="4"/>
        <v>10559069</v>
      </c>
      <c r="AV20" s="8">
        <v>7118948</v>
      </c>
      <c r="AW20" s="8">
        <v>3140121</v>
      </c>
      <c r="AX20" s="8">
        <v>0</v>
      </c>
      <c r="AY20" s="128">
        <f>SUM(AV20:AX20)</f>
        <v>10259069</v>
      </c>
      <c r="AZ20" s="8">
        <v>550000</v>
      </c>
      <c r="BA20" s="8">
        <v>0</v>
      </c>
      <c r="BB20" s="8">
        <v>0</v>
      </c>
      <c r="BC20" s="128">
        <f>SUM(AZ20:BB20)</f>
        <v>550000</v>
      </c>
      <c r="BD20" s="136">
        <f t="shared" si="6"/>
        <v>10809069</v>
      </c>
    </row>
    <row r="21" spans="1:56" ht="33" x14ac:dyDescent="0.25">
      <c r="A21" s="146" t="s">
        <v>34</v>
      </c>
      <c r="B21" s="7" t="s">
        <v>35</v>
      </c>
      <c r="C21" s="8">
        <v>138300</v>
      </c>
      <c r="D21" s="8"/>
      <c r="E21" s="8">
        <v>39750</v>
      </c>
      <c r="F21" s="128">
        <f>SUM(C21:E21)</f>
        <v>178050</v>
      </c>
      <c r="G21" s="8">
        <v>300000</v>
      </c>
      <c r="H21" s="8">
        <v>0</v>
      </c>
      <c r="I21" s="8">
        <v>0</v>
      </c>
      <c r="J21" s="128">
        <f>SUM(G21:I21)</f>
        <v>300000</v>
      </c>
      <c r="K21" s="136">
        <f>F21+J21</f>
        <v>478050</v>
      </c>
      <c r="L21" s="8">
        <v>0</v>
      </c>
      <c r="M21" s="8">
        <v>0</v>
      </c>
      <c r="N21" s="8">
        <v>0</v>
      </c>
      <c r="O21" s="128">
        <f>SUM(L21:N21)</f>
        <v>0</v>
      </c>
      <c r="P21" s="8">
        <v>0</v>
      </c>
      <c r="Q21" s="8">
        <v>0</v>
      </c>
      <c r="R21" s="8">
        <v>0</v>
      </c>
      <c r="S21" s="128">
        <f t="shared" si="11"/>
        <v>0</v>
      </c>
      <c r="T21" s="136">
        <f t="shared" si="2"/>
        <v>0</v>
      </c>
      <c r="U21" s="8">
        <v>0</v>
      </c>
      <c r="V21" s="8">
        <v>0</v>
      </c>
      <c r="W21" s="8">
        <v>0</v>
      </c>
      <c r="X21" s="128">
        <f>SUM(U21:W21)</f>
        <v>0</v>
      </c>
      <c r="Y21" s="8">
        <v>0</v>
      </c>
      <c r="Z21" s="8">
        <v>0</v>
      </c>
      <c r="AA21" s="8">
        <v>0</v>
      </c>
      <c r="AB21" s="128">
        <f>SUM(Y21:AA21)</f>
        <v>0</v>
      </c>
      <c r="AC21" s="136">
        <f>X21+AB21</f>
        <v>0</v>
      </c>
      <c r="AD21" s="8">
        <v>0</v>
      </c>
      <c r="AE21" s="8">
        <v>0</v>
      </c>
      <c r="AF21" s="8">
        <v>0</v>
      </c>
      <c r="AG21" s="128">
        <f>SUM(AD21:AF21)</f>
        <v>0</v>
      </c>
      <c r="AH21" s="8">
        <v>0</v>
      </c>
      <c r="AI21" s="8">
        <v>0</v>
      </c>
      <c r="AJ21" s="8">
        <v>0</v>
      </c>
      <c r="AK21" s="128">
        <f>SUM(AH21:AJ21)</f>
        <v>0</v>
      </c>
      <c r="AL21" s="136">
        <f>AG21+AK21</f>
        <v>0</v>
      </c>
      <c r="AM21" s="8">
        <v>0</v>
      </c>
      <c r="AN21" s="8">
        <v>0</v>
      </c>
      <c r="AO21" s="8">
        <v>0</v>
      </c>
      <c r="AP21" s="128">
        <f>SUM(AM21:AO21)</f>
        <v>0</v>
      </c>
      <c r="AQ21" s="8">
        <v>0</v>
      </c>
      <c r="AR21" s="8">
        <v>0</v>
      </c>
      <c r="AS21" s="8">
        <v>0</v>
      </c>
      <c r="AT21" s="128">
        <f>SUM(AQ21:AS21)</f>
        <v>0</v>
      </c>
      <c r="AU21" s="136">
        <f t="shared" si="4"/>
        <v>0</v>
      </c>
      <c r="AV21" s="8">
        <v>0</v>
      </c>
      <c r="AW21" s="8">
        <v>0</v>
      </c>
      <c r="AX21" s="8">
        <v>0</v>
      </c>
      <c r="AY21" s="128">
        <f>SUM(AV21:AX21)</f>
        <v>0</v>
      </c>
      <c r="AZ21" s="8">
        <v>0</v>
      </c>
      <c r="BA21" s="8">
        <v>0</v>
      </c>
      <c r="BB21" s="8">
        <v>0</v>
      </c>
      <c r="BC21" s="128">
        <f>SUM(AZ21:BB21)</f>
        <v>0</v>
      </c>
      <c r="BD21" s="136">
        <f t="shared" si="6"/>
        <v>0</v>
      </c>
    </row>
    <row r="22" spans="1:56" ht="16.5" x14ac:dyDescent="0.25">
      <c r="A22" s="96" t="s">
        <v>36</v>
      </c>
      <c r="B22" s="97"/>
      <c r="C22" s="5">
        <v>10250700</v>
      </c>
      <c r="D22" s="5">
        <v>2804456</v>
      </c>
      <c r="E22" s="5">
        <v>5282616</v>
      </c>
      <c r="F22" s="127">
        <v>18337772</v>
      </c>
      <c r="G22" s="5">
        <v>1200000</v>
      </c>
      <c r="H22" s="5">
        <v>0</v>
      </c>
      <c r="I22" s="5">
        <v>0</v>
      </c>
      <c r="J22" s="127">
        <v>1200000</v>
      </c>
      <c r="K22" s="136">
        <v>19537772</v>
      </c>
      <c r="L22" s="39">
        <f>L23+L24+L25+L26+L27</f>
        <v>10731347</v>
      </c>
      <c r="M22" s="39">
        <f t="shared" ref="M22:R22" si="12">M23+M24+M25+M26+M27</f>
        <v>3260989</v>
      </c>
      <c r="N22" s="39">
        <f t="shared" si="12"/>
        <v>4289967</v>
      </c>
      <c r="O22" s="127">
        <f t="shared" si="12"/>
        <v>18282303</v>
      </c>
      <c r="P22" s="39">
        <f t="shared" si="12"/>
        <v>7000000</v>
      </c>
      <c r="Q22" s="39">
        <f t="shared" si="12"/>
        <v>93750</v>
      </c>
      <c r="R22" s="39">
        <f t="shared" si="12"/>
        <v>0</v>
      </c>
      <c r="S22" s="127">
        <f t="shared" si="11"/>
        <v>7093750</v>
      </c>
      <c r="T22" s="136">
        <f>O22+S22</f>
        <v>25376053</v>
      </c>
      <c r="U22" s="5">
        <v>10679198</v>
      </c>
      <c r="V22" s="5">
        <v>5384298</v>
      </c>
      <c r="W22" s="5">
        <v>7953267</v>
      </c>
      <c r="X22" s="127">
        <v>24016763</v>
      </c>
      <c r="Y22" s="5">
        <v>6769333</v>
      </c>
      <c r="Z22" s="5">
        <v>0</v>
      </c>
      <c r="AA22" s="5">
        <v>0</v>
      </c>
      <c r="AB22" s="127">
        <v>6769333</v>
      </c>
      <c r="AC22" s="136">
        <v>30786096</v>
      </c>
      <c r="AD22" s="5">
        <f>AD23+AD24+AD25+AD26+AD27+AD28+AD29+AD30</f>
        <v>17193073</v>
      </c>
      <c r="AE22" s="5">
        <f t="shared" ref="AE22:AL22" si="13">AE23+AE24+AE25+AE26+AE27+AE28+AE29+AE30</f>
        <v>15359918</v>
      </c>
      <c r="AF22" s="5">
        <f t="shared" si="13"/>
        <v>115089974</v>
      </c>
      <c r="AG22" s="127">
        <f t="shared" si="13"/>
        <v>147642965</v>
      </c>
      <c r="AH22" s="5">
        <f t="shared" si="13"/>
        <v>9193618</v>
      </c>
      <c r="AI22" s="5">
        <f t="shared" si="13"/>
        <v>0</v>
      </c>
      <c r="AJ22" s="5">
        <f t="shared" si="13"/>
        <v>0</v>
      </c>
      <c r="AK22" s="127">
        <f t="shared" si="13"/>
        <v>9193618</v>
      </c>
      <c r="AL22" s="136">
        <f t="shared" si="13"/>
        <v>156836583</v>
      </c>
      <c r="AM22" s="77">
        <f>AM23+AM24+AM25+AM26+AM27+AM28+AM29+AM30</f>
        <v>17886445</v>
      </c>
      <c r="AN22" s="77">
        <f>AN23+AN24+AN25+AN26+AN27+AN28+AN29+AN30</f>
        <v>15359918</v>
      </c>
      <c r="AO22" s="77">
        <f>AO23+AO24+AO25+AO26+AO27+AO28+AO29+AO30</f>
        <v>118789974</v>
      </c>
      <c r="AP22" s="127">
        <f t="shared" ref="AP22:BD22" si="14">AP23+AP24+AP25+AP26+AP27+AP28+AP29+AP30</f>
        <v>152036337</v>
      </c>
      <c r="AQ22" s="5">
        <f t="shared" si="14"/>
        <v>7300000</v>
      </c>
      <c r="AR22" s="5">
        <f t="shared" si="14"/>
        <v>0</v>
      </c>
      <c r="AS22" s="5">
        <f t="shared" si="14"/>
        <v>0</v>
      </c>
      <c r="AT22" s="127">
        <f t="shared" si="14"/>
        <v>7300000</v>
      </c>
      <c r="AU22" s="136">
        <f t="shared" si="14"/>
        <v>159336337</v>
      </c>
      <c r="AV22" s="5">
        <f t="shared" si="14"/>
        <v>18967997</v>
      </c>
      <c r="AW22" s="5">
        <f t="shared" si="14"/>
        <v>15359918</v>
      </c>
      <c r="AX22" s="5">
        <f t="shared" si="14"/>
        <v>122489974</v>
      </c>
      <c r="AY22" s="127">
        <f t="shared" si="14"/>
        <v>156817889</v>
      </c>
      <c r="AZ22" s="5">
        <f t="shared" si="14"/>
        <v>4599784</v>
      </c>
      <c r="BA22" s="5">
        <f t="shared" si="14"/>
        <v>0</v>
      </c>
      <c r="BB22" s="5">
        <f t="shared" si="14"/>
        <v>0</v>
      </c>
      <c r="BC22" s="127">
        <f t="shared" si="14"/>
        <v>4599784</v>
      </c>
      <c r="BD22" s="136">
        <f t="shared" si="14"/>
        <v>161417673</v>
      </c>
    </row>
    <row r="23" spans="1:56" ht="16.5" x14ac:dyDescent="0.25">
      <c r="A23" s="145" t="s">
        <v>37</v>
      </c>
      <c r="B23" s="9" t="s">
        <v>38</v>
      </c>
      <c r="C23" s="8">
        <v>2252681</v>
      </c>
      <c r="D23" s="8">
        <v>1995627</v>
      </c>
      <c r="E23" s="8">
        <v>3130892</v>
      </c>
      <c r="F23" s="128">
        <f>SUM(C23:E23)</f>
        <v>7379200</v>
      </c>
      <c r="G23" s="8">
        <v>280000</v>
      </c>
      <c r="H23" s="8">
        <v>0</v>
      </c>
      <c r="I23" s="8">
        <v>0</v>
      </c>
      <c r="J23" s="128">
        <f>SUM(G23:I23)</f>
        <v>280000</v>
      </c>
      <c r="K23" s="136">
        <f>F23+J23</f>
        <v>7659200</v>
      </c>
      <c r="L23" s="8">
        <v>712013</v>
      </c>
      <c r="M23" s="8">
        <v>1627511</v>
      </c>
      <c r="N23" s="8">
        <v>1293743</v>
      </c>
      <c r="O23" s="128">
        <f>SUM(L23:N23)</f>
        <v>3633267</v>
      </c>
      <c r="P23" s="8">
        <v>2000000</v>
      </c>
      <c r="Q23" s="8"/>
      <c r="R23" s="8"/>
      <c r="S23" s="128">
        <f t="shared" si="11"/>
        <v>2000000</v>
      </c>
      <c r="T23" s="136">
        <f t="shared" ref="T23:T27" si="15">O23+S23</f>
        <v>5633267</v>
      </c>
      <c r="U23" s="33">
        <v>728580</v>
      </c>
      <c r="V23" s="33">
        <v>3323563</v>
      </c>
      <c r="W23" s="33">
        <v>0</v>
      </c>
      <c r="X23" s="128">
        <f>SUM(U23:W23)</f>
        <v>4052143</v>
      </c>
      <c r="Y23" s="33">
        <v>2600000</v>
      </c>
      <c r="Z23" s="33">
        <v>0</v>
      </c>
      <c r="AA23" s="33">
        <v>0</v>
      </c>
      <c r="AB23" s="128">
        <f>Y23+Z23+AA23</f>
        <v>2600000</v>
      </c>
      <c r="AC23" s="136">
        <f>X23+AB23</f>
        <v>6652143</v>
      </c>
      <c r="AD23" s="8">
        <v>1118969</v>
      </c>
      <c r="AE23" s="8">
        <v>4363700</v>
      </c>
      <c r="AF23" s="8">
        <v>0</v>
      </c>
      <c r="AG23" s="128">
        <f>SUM(AD23:AF23)</f>
        <v>5482669</v>
      </c>
      <c r="AH23" s="8">
        <v>2700000</v>
      </c>
      <c r="AI23" s="8"/>
      <c r="AJ23" s="8"/>
      <c r="AK23" s="128">
        <f t="shared" ref="AK23:AK30" si="16">AH23+AI23+AJ23</f>
        <v>2700000</v>
      </c>
      <c r="AL23" s="136">
        <f t="shared" ref="AL23:AL30" si="17">AG23+AK23</f>
        <v>8182669</v>
      </c>
      <c r="AM23" s="8">
        <v>1166339</v>
      </c>
      <c r="AN23" s="8">
        <v>4363700</v>
      </c>
      <c r="AO23" s="8">
        <v>0</v>
      </c>
      <c r="AP23" s="128">
        <f t="shared" ref="AP23:AP30" si="18">SUM(AM23:AO23)</f>
        <v>5530039</v>
      </c>
      <c r="AQ23" s="8">
        <v>4000000</v>
      </c>
      <c r="AR23" s="8"/>
      <c r="AS23" s="8"/>
      <c r="AT23" s="128">
        <f t="shared" ref="AT23:AT30" si="19">AQ23+AR23+AS23</f>
        <v>4000000</v>
      </c>
      <c r="AU23" s="136">
        <f t="shared" si="4"/>
        <v>9530039</v>
      </c>
      <c r="AV23" s="8">
        <v>1240229</v>
      </c>
      <c r="AW23" s="8">
        <v>4363700</v>
      </c>
      <c r="AX23" s="8">
        <v>0</v>
      </c>
      <c r="AY23" s="128">
        <f t="shared" ref="AY23:AY30" si="20">SUM(AV23:AX23)</f>
        <v>5603929</v>
      </c>
      <c r="AZ23" s="8">
        <v>3499784</v>
      </c>
      <c r="BA23" s="8"/>
      <c r="BB23" s="8"/>
      <c r="BC23" s="128">
        <f t="shared" si="5"/>
        <v>3499784</v>
      </c>
      <c r="BD23" s="136">
        <f t="shared" si="6"/>
        <v>9103713</v>
      </c>
    </row>
    <row r="24" spans="1:56" ht="16.5" x14ac:dyDescent="0.25">
      <c r="A24" s="145" t="s">
        <v>39</v>
      </c>
      <c r="B24" s="7" t="s">
        <v>40</v>
      </c>
      <c r="C24" s="8">
        <v>398360</v>
      </c>
      <c r="D24" s="8">
        <v>70121</v>
      </c>
      <c r="E24" s="8">
        <v>1350000</v>
      </c>
      <c r="F24" s="128">
        <f>SUM(C24:E24)</f>
        <v>1818481</v>
      </c>
      <c r="G24" s="8">
        <v>70000</v>
      </c>
      <c r="H24" s="8">
        <v>0</v>
      </c>
      <c r="I24" s="8">
        <v>0</v>
      </c>
      <c r="J24" s="128">
        <f>SUM(G24:I24)</f>
        <v>70000</v>
      </c>
      <c r="K24" s="136">
        <f>F24+J24</f>
        <v>1888481</v>
      </c>
      <c r="L24" s="8">
        <v>528257</v>
      </c>
      <c r="M24" s="8">
        <v>75571</v>
      </c>
      <c r="N24" s="8">
        <v>1518000</v>
      </c>
      <c r="O24" s="128">
        <f>SUM(L24:N24)</f>
        <v>2121828</v>
      </c>
      <c r="P24" s="8">
        <v>150000</v>
      </c>
      <c r="Q24" s="8">
        <v>0</v>
      </c>
      <c r="R24" s="8"/>
      <c r="S24" s="128">
        <f t="shared" si="11"/>
        <v>150000</v>
      </c>
      <c r="T24" s="136">
        <f t="shared" si="15"/>
        <v>2271828</v>
      </c>
      <c r="U24" s="35">
        <v>516459</v>
      </c>
      <c r="V24" s="35">
        <v>367571</v>
      </c>
      <c r="W24" s="35">
        <v>2865000</v>
      </c>
      <c r="X24" s="128">
        <f>SUM(U24:W24)</f>
        <v>3749030</v>
      </c>
      <c r="Y24" s="35">
        <v>250000</v>
      </c>
      <c r="Z24" s="35">
        <v>0</v>
      </c>
      <c r="AA24" s="35">
        <v>0</v>
      </c>
      <c r="AB24" s="128">
        <f>Y24+Z24+AA24</f>
        <v>250000</v>
      </c>
      <c r="AC24" s="136">
        <f>X24+AB24</f>
        <v>3999030</v>
      </c>
      <c r="AD24" s="8">
        <v>630490</v>
      </c>
      <c r="AE24" s="8">
        <v>797571</v>
      </c>
      <c r="AF24" s="8">
        <v>3550000</v>
      </c>
      <c r="AG24" s="128">
        <f>SUM(AD24:AF24)</f>
        <v>4978061</v>
      </c>
      <c r="AH24" s="8">
        <v>1708000</v>
      </c>
      <c r="AI24" s="8">
        <v>0</v>
      </c>
      <c r="AJ24" s="8"/>
      <c r="AK24" s="128">
        <f t="shared" si="16"/>
        <v>1708000</v>
      </c>
      <c r="AL24" s="136">
        <f t="shared" si="17"/>
        <v>6686061</v>
      </c>
      <c r="AM24" s="8">
        <v>674214</v>
      </c>
      <c r="AN24" s="8">
        <v>797571</v>
      </c>
      <c r="AO24" s="8">
        <v>3550000</v>
      </c>
      <c r="AP24" s="128">
        <f t="shared" si="18"/>
        <v>5021785</v>
      </c>
      <c r="AQ24" s="8">
        <v>1100000</v>
      </c>
      <c r="AR24" s="8">
        <v>0</v>
      </c>
      <c r="AS24" s="8"/>
      <c r="AT24" s="128">
        <f t="shared" si="19"/>
        <v>1100000</v>
      </c>
      <c r="AU24" s="136">
        <f t="shared" si="4"/>
        <v>6121785</v>
      </c>
      <c r="AV24" s="8">
        <v>742416</v>
      </c>
      <c r="AW24" s="8">
        <v>797571</v>
      </c>
      <c r="AX24" s="8">
        <v>3550000</v>
      </c>
      <c r="AY24" s="128">
        <f t="shared" si="20"/>
        <v>5089987</v>
      </c>
      <c r="AZ24" s="8">
        <v>1100000</v>
      </c>
      <c r="BA24" s="21">
        <v>0</v>
      </c>
      <c r="BB24" s="8"/>
      <c r="BC24" s="128">
        <f t="shared" si="5"/>
        <v>1100000</v>
      </c>
      <c r="BD24" s="136">
        <f t="shared" si="6"/>
        <v>6189987</v>
      </c>
    </row>
    <row r="25" spans="1:56" ht="33" x14ac:dyDescent="0.25">
      <c r="A25" s="145" t="s">
        <v>41</v>
      </c>
      <c r="B25" s="7" t="s">
        <v>42</v>
      </c>
      <c r="C25" s="8">
        <v>6316485</v>
      </c>
      <c r="D25" s="8">
        <v>511691</v>
      </c>
      <c r="E25" s="8">
        <v>485000</v>
      </c>
      <c r="F25" s="128">
        <f>SUM(C25:E25)</f>
        <v>7313176</v>
      </c>
      <c r="G25" s="8">
        <v>150000</v>
      </c>
      <c r="H25" s="8">
        <v>0</v>
      </c>
      <c r="I25" s="8">
        <v>0</v>
      </c>
      <c r="J25" s="128">
        <f>SUM(G25:I25)</f>
        <v>150000</v>
      </c>
      <c r="K25" s="136">
        <f>F25+J25</f>
        <v>7463176</v>
      </c>
      <c r="L25" s="8">
        <v>7648282</v>
      </c>
      <c r="M25" s="8">
        <v>1256691</v>
      </c>
      <c r="N25" s="8">
        <v>1042500</v>
      </c>
      <c r="O25" s="128">
        <f>SUM(L25:N25)</f>
        <v>9947473</v>
      </c>
      <c r="P25" s="8">
        <v>150000</v>
      </c>
      <c r="Q25" s="8">
        <v>93750</v>
      </c>
      <c r="R25" s="8">
        <v>0</v>
      </c>
      <c r="S25" s="128">
        <f t="shared" si="11"/>
        <v>243750</v>
      </c>
      <c r="T25" s="136">
        <f t="shared" si="15"/>
        <v>10191223</v>
      </c>
      <c r="U25" s="35">
        <v>7578614</v>
      </c>
      <c r="V25" s="35">
        <v>1084698</v>
      </c>
      <c r="W25" s="35">
        <v>4863293</v>
      </c>
      <c r="X25" s="128">
        <f>SUM(U25:W25)</f>
        <v>13526605</v>
      </c>
      <c r="Y25" s="35">
        <v>100000</v>
      </c>
      <c r="Z25" s="35">
        <v>0</v>
      </c>
      <c r="AA25" s="35">
        <v>0</v>
      </c>
      <c r="AB25" s="128">
        <f>Y25+Z25+AA25</f>
        <v>100000</v>
      </c>
      <c r="AC25" s="136">
        <f>X25+AB25</f>
        <v>13626605</v>
      </c>
      <c r="AD25" s="8">
        <v>12460594</v>
      </c>
      <c r="AE25" s="8">
        <v>2574698</v>
      </c>
      <c r="AF25" s="8">
        <v>615000</v>
      </c>
      <c r="AG25" s="128">
        <f>SUM(AD25:AF25)</f>
        <v>15650292</v>
      </c>
      <c r="AH25" s="8">
        <v>100000</v>
      </c>
      <c r="AI25" s="8">
        <v>0</v>
      </c>
      <c r="AJ25" s="8">
        <v>0</v>
      </c>
      <c r="AK25" s="128">
        <f t="shared" si="16"/>
        <v>100000</v>
      </c>
      <c r="AL25" s="136">
        <f t="shared" si="17"/>
        <v>15750292</v>
      </c>
      <c r="AM25" s="76">
        <v>12891278</v>
      </c>
      <c r="AN25" s="8">
        <v>2574698</v>
      </c>
      <c r="AO25" s="8">
        <v>615000</v>
      </c>
      <c r="AP25" s="128">
        <f t="shared" si="18"/>
        <v>16080976</v>
      </c>
      <c r="AQ25" s="8">
        <v>0</v>
      </c>
      <c r="AR25" s="8">
        <v>0</v>
      </c>
      <c r="AS25" s="8">
        <v>0</v>
      </c>
      <c r="AT25" s="128">
        <f t="shared" si="19"/>
        <v>0</v>
      </c>
      <c r="AU25" s="136">
        <f t="shared" si="4"/>
        <v>16080976</v>
      </c>
      <c r="AV25" s="8">
        <v>13563079</v>
      </c>
      <c r="AW25" s="8">
        <v>2574698</v>
      </c>
      <c r="AX25" s="8">
        <v>615000</v>
      </c>
      <c r="AY25" s="128">
        <f t="shared" si="20"/>
        <v>16752777</v>
      </c>
      <c r="AZ25" s="8">
        <v>0</v>
      </c>
      <c r="BA25" s="8">
        <v>0</v>
      </c>
      <c r="BB25" s="8">
        <v>0</v>
      </c>
      <c r="BC25" s="128">
        <f t="shared" si="5"/>
        <v>0</v>
      </c>
      <c r="BD25" s="136">
        <f t="shared" si="6"/>
        <v>16752777</v>
      </c>
    </row>
    <row r="26" spans="1:56" ht="16.5" x14ac:dyDescent="0.25">
      <c r="A26" s="145" t="s">
        <v>43</v>
      </c>
      <c r="B26" s="7" t="s">
        <v>44</v>
      </c>
      <c r="C26" s="8">
        <v>1114059</v>
      </c>
      <c r="D26" s="8">
        <v>207017</v>
      </c>
      <c r="E26" s="8">
        <v>185750</v>
      </c>
      <c r="F26" s="128">
        <f>SUM(C26:E26)</f>
        <v>1506826</v>
      </c>
      <c r="G26" s="8">
        <v>0</v>
      </c>
      <c r="H26" s="8">
        <v>0</v>
      </c>
      <c r="I26" s="8">
        <v>0</v>
      </c>
      <c r="J26" s="128">
        <f>SUM(G26:I26)</f>
        <v>0</v>
      </c>
      <c r="K26" s="136">
        <f>F26+J26</f>
        <v>1506826</v>
      </c>
      <c r="L26" s="8">
        <v>1603170</v>
      </c>
      <c r="M26" s="8">
        <v>276216</v>
      </c>
      <c r="N26" s="8">
        <v>200750</v>
      </c>
      <c r="O26" s="128">
        <f>SUM(L26:N26)</f>
        <v>2080136</v>
      </c>
      <c r="P26" s="8">
        <v>0</v>
      </c>
      <c r="Q26" s="8">
        <v>0</v>
      </c>
      <c r="R26" s="8">
        <v>0</v>
      </c>
      <c r="S26" s="128">
        <f t="shared" si="11"/>
        <v>0</v>
      </c>
      <c r="T26" s="136">
        <f t="shared" si="15"/>
        <v>2080136</v>
      </c>
      <c r="U26" s="35">
        <v>1598641</v>
      </c>
      <c r="V26" s="35">
        <v>573466</v>
      </c>
      <c r="W26" s="35">
        <v>0</v>
      </c>
      <c r="X26" s="128">
        <f>SUM(U26:W26)</f>
        <v>2172107</v>
      </c>
      <c r="Y26" s="35">
        <v>3819333</v>
      </c>
      <c r="Z26" s="35">
        <v>0</v>
      </c>
      <c r="AA26" s="35">
        <v>0</v>
      </c>
      <c r="AB26" s="128">
        <f>Y26+Z26+AA26</f>
        <v>3819333</v>
      </c>
      <c r="AC26" s="136">
        <f>X26+AB26</f>
        <v>5991440</v>
      </c>
      <c r="AD26" s="8">
        <v>2527505</v>
      </c>
      <c r="AE26" s="8">
        <v>827759</v>
      </c>
      <c r="AF26" s="8">
        <v>0</v>
      </c>
      <c r="AG26" s="128">
        <f>SUM(AD26:AF26)</f>
        <v>3355264</v>
      </c>
      <c r="AH26" s="8">
        <v>3985618</v>
      </c>
      <c r="AI26" s="8">
        <v>0</v>
      </c>
      <c r="AJ26" s="8">
        <v>0</v>
      </c>
      <c r="AK26" s="128">
        <f t="shared" si="16"/>
        <v>3985618</v>
      </c>
      <c r="AL26" s="136">
        <f t="shared" si="17"/>
        <v>7340882</v>
      </c>
      <c r="AM26" s="8">
        <v>2677758</v>
      </c>
      <c r="AN26" s="8">
        <v>827759</v>
      </c>
      <c r="AO26" s="8">
        <v>0</v>
      </c>
      <c r="AP26" s="128">
        <f t="shared" si="18"/>
        <v>3505517</v>
      </c>
      <c r="AQ26" s="8">
        <v>2200000</v>
      </c>
      <c r="AR26" s="8">
        <v>0</v>
      </c>
      <c r="AS26" s="8">
        <v>0</v>
      </c>
      <c r="AT26" s="128">
        <f t="shared" si="19"/>
        <v>2200000</v>
      </c>
      <c r="AU26" s="136">
        <f t="shared" si="4"/>
        <v>5705517</v>
      </c>
      <c r="AV26" s="8">
        <v>2912128</v>
      </c>
      <c r="AW26" s="8">
        <v>827759</v>
      </c>
      <c r="AX26" s="8">
        <v>0</v>
      </c>
      <c r="AY26" s="128">
        <f t="shared" si="20"/>
        <v>3739887</v>
      </c>
      <c r="AZ26" s="8">
        <v>0</v>
      </c>
      <c r="BA26" s="8">
        <v>0</v>
      </c>
      <c r="BB26" s="8">
        <v>0</v>
      </c>
      <c r="BC26" s="128">
        <f t="shared" si="5"/>
        <v>0</v>
      </c>
      <c r="BD26" s="136">
        <f t="shared" si="6"/>
        <v>3739887</v>
      </c>
    </row>
    <row r="27" spans="1:56" ht="16.5" x14ac:dyDescent="0.25">
      <c r="A27" s="146" t="s">
        <v>45</v>
      </c>
      <c r="B27" s="72" t="s">
        <v>46</v>
      </c>
      <c r="C27" s="8">
        <v>169115</v>
      </c>
      <c r="D27" s="8">
        <v>20000</v>
      </c>
      <c r="E27" s="8">
        <v>130974</v>
      </c>
      <c r="F27" s="128">
        <f>SUM(C27:E27)</f>
        <v>320089</v>
      </c>
      <c r="G27" s="8">
        <v>700000</v>
      </c>
      <c r="H27" s="8">
        <v>0</v>
      </c>
      <c r="I27" s="8">
        <v>0</v>
      </c>
      <c r="J27" s="128">
        <f>SUM(G27:I27)</f>
        <v>700000</v>
      </c>
      <c r="K27" s="136">
        <f>F27+J27</f>
        <v>1020089</v>
      </c>
      <c r="L27" s="8">
        <v>239625</v>
      </c>
      <c r="M27" s="8">
        <v>25000</v>
      </c>
      <c r="N27" s="8">
        <v>234974</v>
      </c>
      <c r="O27" s="128">
        <f>SUM(L27:N27)</f>
        <v>499599</v>
      </c>
      <c r="P27" s="8">
        <v>4700000</v>
      </c>
      <c r="Q27" s="8">
        <v>0</v>
      </c>
      <c r="R27" s="8">
        <v>0</v>
      </c>
      <c r="S27" s="128">
        <f t="shared" si="11"/>
        <v>4700000</v>
      </c>
      <c r="T27" s="136">
        <f t="shared" si="15"/>
        <v>5199599</v>
      </c>
      <c r="U27" s="40">
        <v>256904</v>
      </c>
      <c r="V27" s="40">
        <v>35000</v>
      </c>
      <c r="W27" s="40">
        <v>224974</v>
      </c>
      <c r="X27" s="128">
        <f>SUM(U27:W27)</f>
        <v>516878</v>
      </c>
      <c r="Y27" s="40">
        <v>0</v>
      </c>
      <c r="Z27" s="40">
        <v>0</v>
      </c>
      <c r="AA27" s="40">
        <v>0</v>
      </c>
      <c r="AB27" s="128">
        <f>Y27+Z27+AA27</f>
        <v>0</v>
      </c>
      <c r="AC27" s="136">
        <f>X27+AB27</f>
        <v>516878</v>
      </c>
      <c r="AD27" s="8">
        <v>305515</v>
      </c>
      <c r="AE27" s="8">
        <v>946190</v>
      </c>
      <c r="AF27" s="8">
        <v>524974</v>
      </c>
      <c r="AG27" s="128">
        <f>SUM(AD27:AF27)</f>
        <v>1776679</v>
      </c>
      <c r="AH27" s="8">
        <v>700000</v>
      </c>
      <c r="AI27" s="8">
        <v>0</v>
      </c>
      <c r="AJ27" s="8">
        <v>0</v>
      </c>
      <c r="AK27" s="128">
        <f t="shared" si="16"/>
        <v>700000</v>
      </c>
      <c r="AL27" s="136">
        <f t="shared" si="17"/>
        <v>2476679</v>
      </c>
      <c r="AM27" s="8">
        <v>326856</v>
      </c>
      <c r="AN27" s="8">
        <v>946190</v>
      </c>
      <c r="AO27" s="8">
        <v>524974</v>
      </c>
      <c r="AP27" s="128">
        <f t="shared" si="18"/>
        <v>1798020</v>
      </c>
      <c r="AQ27" s="8">
        <v>0</v>
      </c>
      <c r="AR27" s="8">
        <v>0</v>
      </c>
      <c r="AS27" s="8">
        <v>0</v>
      </c>
      <c r="AT27" s="128">
        <f t="shared" si="19"/>
        <v>0</v>
      </c>
      <c r="AU27" s="136">
        <f t="shared" si="4"/>
        <v>1798020</v>
      </c>
      <c r="AV27" s="8">
        <v>360145</v>
      </c>
      <c r="AW27" s="8">
        <v>946190</v>
      </c>
      <c r="AX27" s="8">
        <v>524974</v>
      </c>
      <c r="AY27" s="128">
        <f t="shared" si="20"/>
        <v>1831309</v>
      </c>
      <c r="AZ27" s="8">
        <v>0</v>
      </c>
      <c r="BA27" s="8">
        <v>0</v>
      </c>
      <c r="BB27" s="8">
        <v>0</v>
      </c>
      <c r="BC27" s="128">
        <f t="shared" si="5"/>
        <v>0</v>
      </c>
      <c r="BD27" s="136">
        <f t="shared" si="6"/>
        <v>1831309</v>
      </c>
    </row>
    <row r="28" spans="1:56" ht="16.5" x14ac:dyDescent="0.25">
      <c r="A28" s="148">
        <v>31</v>
      </c>
      <c r="B28" s="72" t="s">
        <v>288</v>
      </c>
      <c r="C28" s="19">
        <v>0</v>
      </c>
      <c r="D28" s="19">
        <v>0</v>
      </c>
      <c r="E28" s="19">
        <v>0</v>
      </c>
      <c r="F28" s="129">
        <v>0</v>
      </c>
      <c r="G28" s="19">
        <v>0</v>
      </c>
      <c r="H28" s="19">
        <v>0</v>
      </c>
      <c r="I28" s="19">
        <v>0</v>
      </c>
      <c r="J28" s="129">
        <v>0</v>
      </c>
      <c r="K28" s="136">
        <v>0</v>
      </c>
      <c r="L28" s="19">
        <v>0</v>
      </c>
      <c r="M28" s="19">
        <v>0</v>
      </c>
      <c r="N28" s="80">
        <v>0</v>
      </c>
      <c r="O28" s="129">
        <v>0</v>
      </c>
      <c r="P28" s="19">
        <v>0</v>
      </c>
      <c r="Q28" s="19">
        <v>0</v>
      </c>
      <c r="R28" s="19">
        <v>0</v>
      </c>
      <c r="S28" s="129">
        <v>0</v>
      </c>
      <c r="T28" s="136">
        <v>0</v>
      </c>
      <c r="U28" s="74">
        <v>0</v>
      </c>
      <c r="V28" s="43">
        <v>0</v>
      </c>
      <c r="W28" s="43">
        <v>0</v>
      </c>
      <c r="X28" s="129">
        <v>0</v>
      </c>
      <c r="Y28" s="43"/>
      <c r="Z28" s="43">
        <v>0</v>
      </c>
      <c r="AA28" s="43">
        <v>0</v>
      </c>
      <c r="AB28" s="129">
        <v>0</v>
      </c>
      <c r="AC28" s="136">
        <v>0</v>
      </c>
      <c r="AD28" s="19">
        <v>150000</v>
      </c>
      <c r="AE28" s="19">
        <v>850000</v>
      </c>
      <c r="AF28" s="19">
        <v>104400000</v>
      </c>
      <c r="AG28" s="129">
        <f>AD28+AE28+AF28</f>
        <v>105400000</v>
      </c>
      <c r="AH28" s="19">
        <v>0</v>
      </c>
      <c r="AI28" s="19">
        <v>0</v>
      </c>
      <c r="AJ28" s="19">
        <v>0</v>
      </c>
      <c r="AK28" s="129">
        <f t="shared" si="16"/>
        <v>0</v>
      </c>
      <c r="AL28" s="136">
        <f t="shared" si="17"/>
        <v>105400000</v>
      </c>
      <c r="AM28" s="8">
        <v>150000</v>
      </c>
      <c r="AN28" s="8">
        <v>850000</v>
      </c>
      <c r="AO28" s="8">
        <v>108100000</v>
      </c>
      <c r="AP28" s="129">
        <f t="shared" si="18"/>
        <v>109100000</v>
      </c>
      <c r="AQ28" s="8"/>
      <c r="AR28" s="19"/>
      <c r="AS28" s="19"/>
      <c r="AT28" s="129">
        <f t="shared" si="19"/>
        <v>0</v>
      </c>
      <c r="AU28" s="136">
        <f t="shared" si="4"/>
        <v>109100000</v>
      </c>
      <c r="AV28" s="19">
        <v>150000</v>
      </c>
      <c r="AW28" s="19">
        <v>850000</v>
      </c>
      <c r="AX28" s="19">
        <v>111800000</v>
      </c>
      <c r="AY28" s="129">
        <f t="shared" si="20"/>
        <v>112800000</v>
      </c>
      <c r="AZ28" s="19"/>
      <c r="BA28" s="19"/>
      <c r="BB28" s="19"/>
      <c r="BC28" s="129">
        <f t="shared" si="5"/>
        <v>0</v>
      </c>
      <c r="BD28" s="136">
        <f t="shared" si="6"/>
        <v>112800000</v>
      </c>
    </row>
    <row r="29" spans="1:56" ht="16.5" x14ac:dyDescent="0.25">
      <c r="A29" s="148">
        <v>107</v>
      </c>
      <c r="B29" s="75" t="s">
        <v>289</v>
      </c>
      <c r="C29" s="19">
        <v>0</v>
      </c>
      <c r="D29" s="19">
        <v>0</v>
      </c>
      <c r="E29" s="19">
        <v>0</v>
      </c>
      <c r="F29" s="129">
        <v>0</v>
      </c>
      <c r="G29" s="19">
        <v>0</v>
      </c>
      <c r="H29" s="19">
        <v>0</v>
      </c>
      <c r="I29" s="19">
        <v>0</v>
      </c>
      <c r="J29" s="129">
        <v>0</v>
      </c>
      <c r="K29" s="136">
        <v>0</v>
      </c>
      <c r="L29" s="19">
        <v>0</v>
      </c>
      <c r="M29" s="19">
        <v>0</v>
      </c>
      <c r="N29" s="80">
        <v>0</v>
      </c>
      <c r="O29" s="129">
        <v>0</v>
      </c>
      <c r="P29" s="19">
        <v>0</v>
      </c>
      <c r="Q29" s="19">
        <v>0</v>
      </c>
      <c r="R29" s="19">
        <v>0</v>
      </c>
      <c r="S29" s="129">
        <v>0</v>
      </c>
      <c r="T29" s="136">
        <v>0</v>
      </c>
      <c r="U29" s="74">
        <v>0</v>
      </c>
      <c r="V29" s="43">
        <v>0</v>
      </c>
      <c r="W29" s="43">
        <v>0</v>
      </c>
      <c r="X29" s="129">
        <v>0</v>
      </c>
      <c r="Y29" s="43">
        <v>0</v>
      </c>
      <c r="Z29" s="43">
        <v>0</v>
      </c>
      <c r="AA29" s="75">
        <v>0</v>
      </c>
      <c r="AB29" s="129">
        <v>0</v>
      </c>
      <c r="AC29" s="136">
        <v>0</v>
      </c>
      <c r="AD29" s="19">
        <v>0</v>
      </c>
      <c r="AE29" s="19">
        <v>5000000</v>
      </c>
      <c r="AF29" s="19">
        <v>0</v>
      </c>
      <c r="AG29" s="129">
        <f>AD29+AE29+AF29</f>
        <v>5000000</v>
      </c>
      <c r="AH29" s="19">
        <v>0</v>
      </c>
      <c r="AI29" s="19">
        <v>0</v>
      </c>
      <c r="AJ29" s="19">
        <v>0</v>
      </c>
      <c r="AK29" s="129">
        <f t="shared" si="16"/>
        <v>0</v>
      </c>
      <c r="AL29" s="136">
        <f t="shared" si="17"/>
        <v>5000000</v>
      </c>
      <c r="AM29" s="8"/>
      <c r="AN29" s="8">
        <v>5000000</v>
      </c>
      <c r="AO29" s="8">
        <v>0</v>
      </c>
      <c r="AP29" s="129">
        <f t="shared" si="18"/>
        <v>5000000</v>
      </c>
      <c r="AQ29" s="19"/>
      <c r="AR29" s="19"/>
      <c r="AS29" s="19"/>
      <c r="AT29" s="129">
        <f t="shared" si="19"/>
        <v>0</v>
      </c>
      <c r="AU29" s="136">
        <f t="shared" si="4"/>
        <v>5000000</v>
      </c>
      <c r="AV29" s="19"/>
      <c r="AW29" s="19">
        <v>5000000</v>
      </c>
      <c r="AX29" s="19">
        <v>0</v>
      </c>
      <c r="AY29" s="129">
        <f t="shared" si="20"/>
        <v>5000000</v>
      </c>
      <c r="AZ29" s="19"/>
      <c r="BA29" s="19"/>
      <c r="BB29" s="19"/>
      <c r="BC29" s="129">
        <f t="shared" si="5"/>
        <v>0</v>
      </c>
      <c r="BD29" s="136">
        <f t="shared" si="6"/>
        <v>5000000</v>
      </c>
    </row>
    <row r="30" spans="1:56" ht="16.5" x14ac:dyDescent="0.25">
      <c r="A30" s="148">
        <v>108</v>
      </c>
      <c r="B30" s="75" t="s">
        <v>290</v>
      </c>
      <c r="C30" s="19">
        <v>0</v>
      </c>
      <c r="D30" s="19">
        <v>0</v>
      </c>
      <c r="E30" s="19">
        <v>0</v>
      </c>
      <c r="F30" s="129">
        <v>0</v>
      </c>
      <c r="G30" s="19">
        <v>0</v>
      </c>
      <c r="H30" s="19">
        <v>0</v>
      </c>
      <c r="I30" s="19">
        <v>0</v>
      </c>
      <c r="J30" s="129">
        <v>0</v>
      </c>
      <c r="K30" s="136">
        <v>0</v>
      </c>
      <c r="L30" s="19">
        <v>0</v>
      </c>
      <c r="M30" s="19">
        <v>0</v>
      </c>
      <c r="N30" s="80">
        <v>0</v>
      </c>
      <c r="O30" s="129">
        <v>0</v>
      </c>
      <c r="P30" s="19">
        <v>0</v>
      </c>
      <c r="Q30" s="19">
        <v>0</v>
      </c>
      <c r="R30" s="19">
        <v>0</v>
      </c>
      <c r="S30" s="129">
        <v>0</v>
      </c>
      <c r="T30" s="136">
        <v>0</v>
      </c>
      <c r="U30" s="74">
        <v>0</v>
      </c>
      <c r="V30" s="43">
        <v>0</v>
      </c>
      <c r="W30" s="43">
        <v>0</v>
      </c>
      <c r="X30" s="129">
        <v>0</v>
      </c>
      <c r="Y30" s="43">
        <v>0</v>
      </c>
      <c r="Z30" s="43">
        <v>0</v>
      </c>
      <c r="AA30" s="43">
        <v>0</v>
      </c>
      <c r="AB30" s="129">
        <v>0</v>
      </c>
      <c r="AC30" s="136">
        <v>0</v>
      </c>
      <c r="AD30" s="19">
        <v>0</v>
      </c>
      <c r="AE30" s="19">
        <v>0</v>
      </c>
      <c r="AF30" s="19">
        <v>6000000</v>
      </c>
      <c r="AG30" s="129">
        <f>AD30+AE30+AF30</f>
        <v>6000000</v>
      </c>
      <c r="AH30" s="19">
        <v>0</v>
      </c>
      <c r="AI30" s="19">
        <v>0</v>
      </c>
      <c r="AJ30" s="19">
        <v>0</v>
      </c>
      <c r="AK30" s="129">
        <f t="shared" si="16"/>
        <v>0</v>
      </c>
      <c r="AL30" s="136">
        <f t="shared" si="17"/>
        <v>6000000</v>
      </c>
      <c r="AM30" s="8"/>
      <c r="AN30" s="8">
        <v>0</v>
      </c>
      <c r="AO30" s="19">
        <v>6000000</v>
      </c>
      <c r="AP30" s="129">
        <f t="shared" si="18"/>
        <v>6000000</v>
      </c>
      <c r="AQ30" s="19"/>
      <c r="AR30" s="19"/>
      <c r="AS30" s="19"/>
      <c r="AT30" s="129">
        <f t="shared" si="19"/>
        <v>0</v>
      </c>
      <c r="AU30" s="136">
        <f t="shared" si="4"/>
        <v>6000000</v>
      </c>
      <c r="AV30" s="19"/>
      <c r="AW30" s="19">
        <v>0</v>
      </c>
      <c r="AX30" s="19">
        <v>6000000</v>
      </c>
      <c r="AY30" s="129">
        <f t="shared" si="20"/>
        <v>6000000</v>
      </c>
      <c r="AZ30" s="19"/>
      <c r="BA30" s="19"/>
      <c r="BB30" s="19"/>
      <c r="BC30" s="129">
        <f t="shared" si="5"/>
        <v>0</v>
      </c>
      <c r="BD30" s="136">
        <f t="shared" si="6"/>
        <v>6000000</v>
      </c>
    </row>
    <row r="31" spans="1:56" ht="16.5" x14ac:dyDescent="0.25">
      <c r="A31" s="96" t="s">
        <v>47</v>
      </c>
      <c r="B31" s="97"/>
      <c r="C31" s="5">
        <v>31109120</v>
      </c>
      <c r="D31" s="5">
        <v>4759490</v>
      </c>
      <c r="E31" s="5">
        <v>2258352</v>
      </c>
      <c r="F31" s="127">
        <v>38126962</v>
      </c>
      <c r="G31" s="5">
        <v>3850000</v>
      </c>
      <c r="H31" s="5">
        <v>0</v>
      </c>
      <c r="I31" s="5">
        <v>0</v>
      </c>
      <c r="J31" s="127">
        <v>3850000</v>
      </c>
      <c r="K31" s="136">
        <v>41976962</v>
      </c>
      <c r="L31" s="5">
        <f>L32+L33+L34+L35+L36</f>
        <v>33313823</v>
      </c>
      <c r="M31" s="5">
        <f t="shared" ref="M31:S31" si="21">M32+M33+M34+M35+M36</f>
        <v>8302983</v>
      </c>
      <c r="N31" s="5">
        <f t="shared" si="21"/>
        <v>615000</v>
      </c>
      <c r="O31" s="127">
        <f t="shared" si="21"/>
        <v>42231806</v>
      </c>
      <c r="P31" s="5">
        <f t="shared" si="21"/>
        <v>7995029</v>
      </c>
      <c r="Q31" s="5">
        <f t="shared" si="21"/>
        <v>0</v>
      </c>
      <c r="R31" s="5">
        <f t="shared" si="21"/>
        <v>0</v>
      </c>
      <c r="S31" s="127">
        <f t="shared" si="21"/>
        <v>7995029</v>
      </c>
      <c r="T31" s="136">
        <f>O31+S31</f>
        <v>50226835</v>
      </c>
      <c r="U31" s="5">
        <v>34710377.024000004</v>
      </c>
      <c r="V31" s="5">
        <v>8198983</v>
      </c>
      <c r="W31" s="5">
        <v>719000</v>
      </c>
      <c r="X31" s="127">
        <v>43628360.024000004</v>
      </c>
      <c r="Y31" s="5">
        <v>14121254</v>
      </c>
      <c r="Z31" s="5">
        <v>1573437</v>
      </c>
      <c r="AA31" s="5">
        <v>530714</v>
      </c>
      <c r="AB31" s="127">
        <v>16225405</v>
      </c>
      <c r="AC31" s="136">
        <v>59853765.024000004</v>
      </c>
      <c r="AD31" s="5">
        <f>AD32+AD33+AD35+AD34+AD36</f>
        <v>42168365</v>
      </c>
      <c r="AE31" s="5">
        <f t="shared" ref="AE31:BD31" si="22">AE32+AE33+AE35+AE34+AE36</f>
        <v>8948990</v>
      </c>
      <c r="AF31" s="5">
        <f t="shared" si="22"/>
        <v>509000</v>
      </c>
      <c r="AG31" s="127">
        <f>AD31+AE31+AF31</f>
        <v>51626355</v>
      </c>
      <c r="AH31" s="5">
        <f t="shared" si="22"/>
        <v>11944762</v>
      </c>
      <c r="AI31" s="5">
        <f t="shared" si="22"/>
        <v>0</v>
      </c>
      <c r="AJ31" s="5">
        <f t="shared" si="22"/>
        <v>0</v>
      </c>
      <c r="AK31" s="127">
        <f t="shared" si="22"/>
        <v>11944762</v>
      </c>
      <c r="AL31" s="136">
        <f t="shared" si="22"/>
        <v>63571117</v>
      </c>
      <c r="AM31" s="5">
        <f t="shared" si="22"/>
        <v>45284844</v>
      </c>
      <c r="AN31" s="5">
        <f t="shared" si="22"/>
        <v>8948990</v>
      </c>
      <c r="AO31" s="5">
        <f t="shared" si="22"/>
        <v>509000</v>
      </c>
      <c r="AP31" s="127">
        <f t="shared" si="22"/>
        <v>54742834</v>
      </c>
      <c r="AQ31" s="5">
        <f t="shared" si="22"/>
        <v>12394762</v>
      </c>
      <c r="AR31" s="5">
        <f t="shared" si="22"/>
        <v>0</v>
      </c>
      <c r="AS31" s="5">
        <f t="shared" si="22"/>
        <v>0</v>
      </c>
      <c r="AT31" s="127">
        <f t="shared" si="22"/>
        <v>12394762</v>
      </c>
      <c r="AU31" s="136">
        <f t="shared" si="22"/>
        <v>67137596</v>
      </c>
      <c r="AV31" s="5">
        <f t="shared" si="22"/>
        <v>47960392</v>
      </c>
      <c r="AW31" s="5">
        <f t="shared" si="22"/>
        <v>8948990</v>
      </c>
      <c r="AX31" s="5">
        <f t="shared" si="22"/>
        <v>509000</v>
      </c>
      <c r="AY31" s="127">
        <f t="shared" si="22"/>
        <v>57418382</v>
      </c>
      <c r="AZ31" s="5">
        <f t="shared" si="22"/>
        <v>11644762</v>
      </c>
      <c r="BA31" s="5">
        <f t="shared" si="22"/>
        <v>0</v>
      </c>
      <c r="BB31" s="5">
        <f t="shared" si="22"/>
        <v>0</v>
      </c>
      <c r="BC31" s="127">
        <f t="shared" si="22"/>
        <v>11644762</v>
      </c>
      <c r="BD31" s="136">
        <f t="shared" si="22"/>
        <v>69063144</v>
      </c>
    </row>
    <row r="32" spans="1:56" ht="16.5" x14ac:dyDescent="0.3">
      <c r="A32" s="145" t="s">
        <v>48</v>
      </c>
      <c r="B32" s="7" t="s">
        <v>49</v>
      </c>
      <c r="C32" s="8">
        <v>298084</v>
      </c>
      <c r="D32" s="8">
        <v>1161261</v>
      </c>
      <c r="E32" s="8">
        <v>403196</v>
      </c>
      <c r="F32" s="128">
        <f>SUM(C32:E32)</f>
        <v>1862541</v>
      </c>
      <c r="G32" s="8">
        <v>0</v>
      </c>
      <c r="H32" s="8">
        <v>0</v>
      </c>
      <c r="I32" s="8">
        <v>0</v>
      </c>
      <c r="J32" s="128">
        <f>SUM(G32:I32)</f>
        <v>0</v>
      </c>
      <c r="K32" s="136">
        <f>F32+J32</f>
        <v>1862541</v>
      </c>
      <c r="L32" s="8">
        <v>298084</v>
      </c>
      <c r="M32" s="8">
        <v>2131644</v>
      </c>
      <c r="N32" s="8">
        <v>0</v>
      </c>
      <c r="O32" s="128">
        <f>SUM(L32:N32)</f>
        <v>2429728</v>
      </c>
      <c r="P32" s="8">
        <v>0</v>
      </c>
      <c r="Q32" s="8">
        <v>0</v>
      </c>
      <c r="R32" s="8">
        <v>0</v>
      </c>
      <c r="S32" s="128">
        <f>SUM(P32:R32)</f>
        <v>0</v>
      </c>
      <c r="T32" s="136">
        <f t="shared" ref="T32:T36" si="23">O32+S32</f>
        <v>2429728</v>
      </c>
      <c r="U32" s="33">
        <v>278183</v>
      </c>
      <c r="V32" s="33">
        <v>2121644</v>
      </c>
      <c r="W32" s="33">
        <v>0</v>
      </c>
      <c r="X32" s="128">
        <f>SUM(U32:W32)</f>
        <v>2399827</v>
      </c>
      <c r="Y32" s="33">
        <v>1000000</v>
      </c>
      <c r="Z32" s="33">
        <v>0</v>
      </c>
      <c r="AA32" s="33">
        <v>0</v>
      </c>
      <c r="AB32" s="128">
        <f>SUM(Y32:AA32)</f>
        <v>1000000</v>
      </c>
      <c r="AC32" s="136">
        <f>X32+AB32</f>
        <v>3399827</v>
      </c>
      <c r="AD32" s="23">
        <v>3493942</v>
      </c>
      <c r="AE32" s="44">
        <v>3039651</v>
      </c>
      <c r="AF32" s="8">
        <v>0</v>
      </c>
      <c r="AG32" s="128">
        <f>SUM(AD32:AF32)</f>
        <v>6533593</v>
      </c>
      <c r="AH32" s="8">
        <v>1600000</v>
      </c>
      <c r="AI32" s="8">
        <v>0</v>
      </c>
      <c r="AJ32" s="8">
        <v>0</v>
      </c>
      <c r="AK32" s="128">
        <f>SUM(AH32:AJ32)</f>
        <v>1600000</v>
      </c>
      <c r="AL32" s="136">
        <f>AG32+AK32</f>
        <v>8133593</v>
      </c>
      <c r="AM32" s="23">
        <v>4897100</v>
      </c>
      <c r="AN32" s="44">
        <v>3039651</v>
      </c>
      <c r="AO32" s="8">
        <v>0</v>
      </c>
      <c r="AP32" s="128">
        <f>SUM(AM32:AO32)</f>
        <v>7936751</v>
      </c>
      <c r="AQ32" s="8">
        <v>1660277</v>
      </c>
      <c r="AR32" s="8">
        <v>0</v>
      </c>
      <c r="AS32" s="8">
        <v>0</v>
      </c>
      <c r="AT32" s="128">
        <f>SUM(AQ32:AS32)</f>
        <v>1660277</v>
      </c>
      <c r="AU32" s="136">
        <f t="shared" si="4"/>
        <v>9597028</v>
      </c>
      <c r="AV32" s="44">
        <v>6101734</v>
      </c>
      <c r="AW32" s="44">
        <v>3039651</v>
      </c>
      <c r="AX32" s="8">
        <v>0</v>
      </c>
      <c r="AY32" s="128">
        <f>SUM(AV32:AX32)</f>
        <v>9141385</v>
      </c>
      <c r="AZ32" s="8">
        <v>1559815</v>
      </c>
      <c r="BA32" s="8">
        <v>0</v>
      </c>
      <c r="BB32" s="8">
        <v>0</v>
      </c>
      <c r="BC32" s="128">
        <f>SUM(AZ32:BB32)</f>
        <v>1559815</v>
      </c>
      <c r="BD32" s="136">
        <f t="shared" si="6"/>
        <v>10701200</v>
      </c>
    </row>
    <row r="33" spans="1:56" ht="16.5" x14ac:dyDescent="0.3">
      <c r="A33" s="145" t="s">
        <v>50</v>
      </c>
      <c r="B33" s="7" t="s">
        <v>51</v>
      </c>
      <c r="C33" s="8">
        <v>27681626</v>
      </c>
      <c r="D33" s="8">
        <v>3277344</v>
      </c>
      <c r="E33" s="8">
        <v>1304156</v>
      </c>
      <c r="F33" s="128">
        <f>SUM(C33:E33)</f>
        <v>32263126</v>
      </c>
      <c r="G33" s="8">
        <v>818286</v>
      </c>
      <c r="H33" s="8">
        <v>0</v>
      </c>
      <c r="I33" s="8">
        <v>0</v>
      </c>
      <c r="J33" s="128">
        <f>SUM(G33:I33)</f>
        <v>818286</v>
      </c>
      <c r="K33" s="136">
        <f>F33+J33</f>
        <v>33081412</v>
      </c>
      <c r="L33" s="8">
        <v>29886329</v>
      </c>
      <c r="M33" s="8">
        <v>5761454</v>
      </c>
      <c r="N33" s="8">
        <v>235000</v>
      </c>
      <c r="O33" s="128">
        <f>SUM(L33:N33)</f>
        <v>35882783</v>
      </c>
      <c r="P33" s="8">
        <v>1450000</v>
      </c>
      <c r="Q33" s="8"/>
      <c r="R33" s="8"/>
      <c r="S33" s="128">
        <f>SUM(P33:R33)</f>
        <v>1450000</v>
      </c>
      <c r="T33" s="136">
        <f t="shared" si="23"/>
        <v>37332783</v>
      </c>
      <c r="U33" s="35">
        <v>31029446.024</v>
      </c>
      <c r="V33" s="35">
        <v>5517454</v>
      </c>
      <c r="W33" s="35">
        <v>459000</v>
      </c>
      <c r="X33" s="128">
        <f>SUM(U33:W33)</f>
        <v>37005900.024000004</v>
      </c>
      <c r="Y33" s="35">
        <f>4250000+2250000</f>
        <v>6500000</v>
      </c>
      <c r="Z33" s="35">
        <v>0</v>
      </c>
      <c r="AA33" s="35">
        <v>0</v>
      </c>
      <c r="AB33" s="128">
        <f>SUM(Y33:AA33)</f>
        <v>6500000</v>
      </c>
      <c r="AC33" s="136">
        <f>X33+AB33</f>
        <v>43505900.024000004</v>
      </c>
      <c r="AD33" s="23">
        <v>34179793</v>
      </c>
      <c r="AE33" s="23">
        <v>5264954</v>
      </c>
      <c r="AF33" s="8">
        <v>209000</v>
      </c>
      <c r="AG33" s="128">
        <f>SUM(AD33:AF33)</f>
        <v>39653747</v>
      </c>
      <c r="AH33" s="8">
        <v>5844762</v>
      </c>
      <c r="AI33" s="8"/>
      <c r="AJ33" s="8"/>
      <c r="AK33" s="128">
        <f>SUM(AH33:AJ33)</f>
        <v>5844762</v>
      </c>
      <c r="AL33" s="136">
        <f>AG33+AK33</f>
        <v>45498509</v>
      </c>
      <c r="AM33" s="23">
        <v>35385739</v>
      </c>
      <c r="AN33" s="23">
        <v>5264954</v>
      </c>
      <c r="AO33" s="8">
        <v>209000</v>
      </c>
      <c r="AP33" s="128">
        <f>SUM(AM33:AO33)</f>
        <v>40859693</v>
      </c>
      <c r="AQ33" s="8">
        <v>6064954</v>
      </c>
      <c r="AR33" s="8"/>
      <c r="AS33" s="8"/>
      <c r="AT33" s="128">
        <f>SUM(AQ33:AS33)</f>
        <v>6064954</v>
      </c>
      <c r="AU33" s="136">
        <f t="shared" si="4"/>
        <v>46924647</v>
      </c>
      <c r="AV33" s="8">
        <v>36421061</v>
      </c>
      <c r="AW33" s="8">
        <v>5264954</v>
      </c>
      <c r="AX33" s="8">
        <v>209000</v>
      </c>
      <c r="AY33" s="128">
        <f>SUM(AV33:AX33)</f>
        <v>41895015</v>
      </c>
      <c r="AZ33" s="8">
        <v>5697967</v>
      </c>
      <c r="BA33" s="8"/>
      <c r="BB33" s="8"/>
      <c r="BC33" s="128">
        <f>SUM(AZ33:BB33)</f>
        <v>5697967</v>
      </c>
      <c r="BD33" s="136">
        <f t="shared" si="6"/>
        <v>47592982</v>
      </c>
    </row>
    <row r="34" spans="1:56" ht="16.5" x14ac:dyDescent="0.25">
      <c r="A34" s="145" t="s">
        <v>52</v>
      </c>
      <c r="B34" s="7" t="s">
        <v>286</v>
      </c>
      <c r="C34" s="8">
        <v>3011892</v>
      </c>
      <c r="D34" s="8">
        <v>290385</v>
      </c>
      <c r="E34" s="8">
        <v>400000</v>
      </c>
      <c r="F34" s="128">
        <f>SUM(C34:E34)</f>
        <v>3702277</v>
      </c>
      <c r="G34" s="8">
        <v>500000</v>
      </c>
      <c r="H34" s="8">
        <v>0</v>
      </c>
      <c r="I34" s="8">
        <v>0</v>
      </c>
      <c r="J34" s="128">
        <f>SUM(G34:I34)</f>
        <v>500000</v>
      </c>
      <c r="K34" s="136">
        <f>F34+J34</f>
        <v>4202277</v>
      </c>
      <c r="L34" s="8">
        <v>3011892</v>
      </c>
      <c r="M34" s="8">
        <v>280385</v>
      </c>
      <c r="N34" s="8">
        <v>360000</v>
      </c>
      <c r="O34" s="128">
        <f>SUM(L34:N34)</f>
        <v>3652277</v>
      </c>
      <c r="P34" s="8">
        <v>250000</v>
      </c>
      <c r="Q34" s="8"/>
      <c r="R34" s="8"/>
      <c r="S34" s="128">
        <f>SUM(P34:R34)</f>
        <v>250000</v>
      </c>
      <c r="T34" s="136">
        <f t="shared" si="23"/>
        <v>3902277</v>
      </c>
      <c r="U34" s="35">
        <v>3265935</v>
      </c>
      <c r="V34" s="35">
        <v>430385</v>
      </c>
      <c r="W34" s="35">
        <v>240000</v>
      </c>
      <c r="X34" s="128">
        <f>SUM(U34:W34)</f>
        <v>3936320</v>
      </c>
      <c r="Y34" s="35">
        <v>1000000</v>
      </c>
      <c r="Z34" s="35">
        <v>0</v>
      </c>
      <c r="AA34" s="35">
        <v>0</v>
      </c>
      <c r="AB34" s="128">
        <f>SUM(Y34:AA34)</f>
        <v>1000000</v>
      </c>
      <c r="AC34" s="136">
        <f>X34+AB34</f>
        <v>4936320</v>
      </c>
      <c r="AD34" s="8">
        <v>3840490</v>
      </c>
      <c r="AE34" s="8">
        <v>430385</v>
      </c>
      <c r="AF34" s="8">
        <v>280000</v>
      </c>
      <c r="AG34" s="128">
        <f>SUM(AD34:AF34)</f>
        <v>4550875</v>
      </c>
      <c r="AH34" s="8">
        <v>2500000</v>
      </c>
      <c r="AI34" s="8"/>
      <c r="AJ34" s="8"/>
      <c r="AK34" s="128">
        <f>SUM(AH34:AJ34)</f>
        <v>2500000</v>
      </c>
      <c r="AL34" s="136">
        <f>AG34+AK34</f>
        <v>7050875</v>
      </c>
      <c r="AM34" s="8">
        <v>4079645</v>
      </c>
      <c r="AN34" s="8">
        <v>430385</v>
      </c>
      <c r="AO34" s="8">
        <v>280000</v>
      </c>
      <c r="AP34" s="128">
        <f>SUM(AM34:AO34)</f>
        <v>4790030</v>
      </c>
      <c r="AQ34" s="8">
        <v>2594184</v>
      </c>
      <c r="AR34" s="8"/>
      <c r="AS34" s="8"/>
      <c r="AT34" s="128">
        <f>SUM(AQ34:AS34)</f>
        <v>2594184</v>
      </c>
      <c r="AU34" s="136">
        <f t="shared" si="4"/>
        <v>7384214</v>
      </c>
      <c r="AV34" s="8">
        <v>4284963</v>
      </c>
      <c r="AW34" s="8">
        <v>430385</v>
      </c>
      <c r="AX34" s="8">
        <v>280000</v>
      </c>
      <c r="AY34" s="128">
        <f>SUM(AV34:AX34)</f>
        <v>4995348</v>
      </c>
      <c r="AZ34" s="8">
        <v>2437211</v>
      </c>
      <c r="BA34" s="8"/>
      <c r="BB34" s="8"/>
      <c r="BC34" s="128">
        <f>SUM(AZ34:BB34)</f>
        <v>2437211</v>
      </c>
      <c r="BD34" s="136">
        <f t="shared" si="6"/>
        <v>7432559</v>
      </c>
    </row>
    <row r="35" spans="1:56" ht="16.5" x14ac:dyDescent="0.25">
      <c r="A35" s="145" t="s">
        <v>53</v>
      </c>
      <c r="B35" s="7" t="s">
        <v>54</v>
      </c>
      <c r="C35" s="8">
        <v>41160</v>
      </c>
      <c r="D35" s="8">
        <v>0</v>
      </c>
      <c r="E35" s="8">
        <v>25000</v>
      </c>
      <c r="F35" s="128">
        <f>SUM(C35:E35)</f>
        <v>66160</v>
      </c>
      <c r="G35" s="8">
        <v>887993</v>
      </c>
      <c r="H35" s="8">
        <v>0</v>
      </c>
      <c r="I35" s="8">
        <v>0</v>
      </c>
      <c r="J35" s="128">
        <f>SUM(G35:I35)</f>
        <v>887993</v>
      </c>
      <c r="K35" s="136">
        <f>F35+J35</f>
        <v>954153</v>
      </c>
      <c r="L35" s="8">
        <v>41160</v>
      </c>
      <c r="M35" s="8">
        <v>0</v>
      </c>
      <c r="N35" s="8">
        <v>20000</v>
      </c>
      <c r="O35" s="128">
        <f>L35+M35+N35</f>
        <v>61160</v>
      </c>
      <c r="P35" s="8">
        <v>1500000</v>
      </c>
      <c r="Q35" s="8"/>
      <c r="R35" s="8"/>
      <c r="S35" s="128">
        <f>SUM(P35:R35)</f>
        <v>1500000</v>
      </c>
      <c r="T35" s="136">
        <f t="shared" si="23"/>
        <v>1561160</v>
      </c>
      <c r="U35" s="40">
        <v>46258</v>
      </c>
      <c r="V35" s="40">
        <v>0</v>
      </c>
      <c r="W35" s="40">
        <v>20000</v>
      </c>
      <c r="X35" s="128">
        <f>SUM(U35:W35)</f>
        <v>66258</v>
      </c>
      <c r="Y35" s="40">
        <v>1500000</v>
      </c>
      <c r="Z35" s="40">
        <v>0</v>
      </c>
      <c r="AA35" s="40">
        <v>0</v>
      </c>
      <c r="AB35" s="128">
        <f>SUM(Y35:AA35)</f>
        <v>1500000</v>
      </c>
      <c r="AC35" s="136">
        <f>X35+AB35</f>
        <v>1566258</v>
      </c>
      <c r="AD35" s="8">
        <v>87911</v>
      </c>
      <c r="AE35" s="8">
        <v>0</v>
      </c>
      <c r="AF35" s="8">
        <v>20000</v>
      </c>
      <c r="AG35" s="128">
        <f>AD35+AE35+AF35</f>
        <v>107911</v>
      </c>
      <c r="AH35" s="8">
        <v>2000000</v>
      </c>
      <c r="AI35" s="8"/>
      <c r="AJ35" s="8"/>
      <c r="AK35" s="128">
        <f>SUM(AH35:AJ35)</f>
        <v>2000000</v>
      </c>
      <c r="AL35" s="136">
        <f>AG35+AK35</f>
        <v>2107911</v>
      </c>
      <c r="AM35" s="8">
        <v>124015</v>
      </c>
      <c r="AN35" s="8">
        <v>0</v>
      </c>
      <c r="AO35" s="8">
        <v>20000</v>
      </c>
      <c r="AP35" s="128">
        <f>AM35+AN35+AO35</f>
        <v>144015</v>
      </c>
      <c r="AQ35" s="8">
        <v>2075347</v>
      </c>
      <c r="AR35" s="8"/>
      <c r="AS35" s="8"/>
      <c r="AT35" s="128">
        <f>SUM(AQ35:AS35)</f>
        <v>2075347</v>
      </c>
      <c r="AU35" s="136">
        <f t="shared" si="4"/>
        <v>2219362</v>
      </c>
      <c r="AV35" s="8">
        <v>155012</v>
      </c>
      <c r="AW35" s="8">
        <v>0</v>
      </c>
      <c r="AX35" s="8">
        <v>20000</v>
      </c>
      <c r="AY35" s="128">
        <f>AV35+AW35+AX35</f>
        <v>175012</v>
      </c>
      <c r="AZ35" s="8">
        <v>1949769</v>
      </c>
      <c r="BA35" s="8"/>
      <c r="BB35" s="8"/>
      <c r="BC35" s="128">
        <f>SUM(AZ35:BB35)</f>
        <v>1949769</v>
      </c>
      <c r="BD35" s="136">
        <f t="shared" si="6"/>
        <v>2124781</v>
      </c>
    </row>
    <row r="36" spans="1:56" ht="16.5" x14ac:dyDescent="0.25">
      <c r="A36" s="146" t="s">
        <v>55</v>
      </c>
      <c r="B36" s="7" t="s">
        <v>56</v>
      </c>
      <c r="C36" s="8">
        <v>76358</v>
      </c>
      <c r="D36" s="8">
        <v>30500</v>
      </c>
      <c r="E36" s="8">
        <v>126000</v>
      </c>
      <c r="F36" s="128">
        <f>SUM(C36:E36)</f>
        <v>232858</v>
      </c>
      <c r="G36" s="8">
        <v>1643721</v>
      </c>
      <c r="H36" s="8">
        <v>0</v>
      </c>
      <c r="I36" s="8">
        <v>0</v>
      </c>
      <c r="J36" s="128">
        <f>SUM(G36:I36)</f>
        <v>1643721</v>
      </c>
      <c r="K36" s="136">
        <f>F36+J36</f>
        <v>1876579</v>
      </c>
      <c r="L36" s="8">
        <v>76358</v>
      </c>
      <c r="M36" s="8">
        <v>129500</v>
      </c>
      <c r="N36" s="8">
        <v>0</v>
      </c>
      <c r="O36" s="128">
        <f>SUM(L36:N36)</f>
        <v>205858</v>
      </c>
      <c r="P36" s="8">
        <v>4795029</v>
      </c>
      <c r="Q36" s="8"/>
      <c r="R36" s="8"/>
      <c r="S36" s="128">
        <f>SUM(P36:R36)</f>
        <v>4795029</v>
      </c>
      <c r="T36" s="136">
        <f t="shared" si="23"/>
        <v>5000887</v>
      </c>
      <c r="U36" s="35">
        <v>90555</v>
      </c>
      <c r="V36" s="35">
        <v>129500</v>
      </c>
      <c r="W36" s="35">
        <v>0</v>
      </c>
      <c r="X36" s="128">
        <f>SUM(U36:W36)</f>
        <v>220055</v>
      </c>
      <c r="Y36" s="35">
        <v>4121254</v>
      </c>
      <c r="Z36" s="35">
        <v>1573437</v>
      </c>
      <c r="AA36" s="35">
        <v>530714</v>
      </c>
      <c r="AB36" s="128">
        <f>SUM(Y36:AA36)</f>
        <v>6225405</v>
      </c>
      <c r="AC36" s="136">
        <f>X36+AB36</f>
        <v>6445460</v>
      </c>
      <c r="AD36" s="8">
        <v>566229</v>
      </c>
      <c r="AE36" s="8">
        <v>214000</v>
      </c>
      <c r="AF36" s="8">
        <v>0</v>
      </c>
      <c r="AG36" s="128">
        <f>SUM(AD36:AF36)</f>
        <v>780229</v>
      </c>
      <c r="AH36" s="8">
        <v>0</v>
      </c>
      <c r="AI36" s="8"/>
      <c r="AJ36" s="8">
        <v>0</v>
      </c>
      <c r="AK36" s="128">
        <f>SUM(AH36:AJ36)</f>
        <v>0</v>
      </c>
      <c r="AL36" s="136">
        <f>AG36+AK36</f>
        <v>780229</v>
      </c>
      <c r="AM36" s="8">
        <v>798345</v>
      </c>
      <c r="AN36" s="8">
        <v>214000</v>
      </c>
      <c r="AO36" s="8">
        <v>0</v>
      </c>
      <c r="AP36" s="128">
        <f>SUM(AM36:AO36)</f>
        <v>1012345</v>
      </c>
      <c r="AQ36" s="8">
        <v>0</v>
      </c>
      <c r="AR36" s="8"/>
      <c r="AS36" s="8">
        <v>0</v>
      </c>
      <c r="AT36" s="128">
        <f>SUM(AQ36:AS36)</f>
        <v>0</v>
      </c>
      <c r="AU36" s="136">
        <f t="shared" si="4"/>
        <v>1012345</v>
      </c>
      <c r="AV36" s="8">
        <v>997622</v>
      </c>
      <c r="AW36" s="8">
        <v>214000</v>
      </c>
      <c r="AX36" s="8">
        <v>0</v>
      </c>
      <c r="AY36" s="128">
        <f>SUM(AV36:AX36)</f>
        <v>1211622</v>
      </c>
      <c r="AZ36" s="8">
        <v>0</v>
      </c>
      <c r="BA36" s="8"/>
      <c r="BB36" s="8">
        <v>0</v>
      </c>
      <c r="BC36" s="128">
        <f>SUM(AZ36:BB36)</f>
        <v>0</v>
      </c>
      <c r="BD36" s="136">
        <f t="shared" si="6"/>
        <v>1211622</v>
      </c>
    </row>
    <row r="37" spans="1:56" ht="16.5" x14ac:dyDescent="0.25">
      <c r="A37" s="96" t="s">
        <v>57</v>
      </c>
      <c r="B37" s="97"/>
      <c r="C37" s="5">
        <v>7980100</v>
      </c>
      <c r="D37" s="5">
        <v>4080974</v>
      </c>
      <c r="E37" s="5">
        <v>17865147</v>
      </c>
      <c r="F37" s="127">
        <v>29926221</v>
      </c>
      <c r="G37" s="5">
        <v>11256000</v>
      </c>
      <c r="H37" s="5">
        <v>9500000</v>
      </c>
      <c r="I37" s="5">
        <v>12659149</v>
      </c>
      <c r="J37" s="127">
        <v>33415149</v>
      </c>
      <c r="K37" s="136">
        <v>63341370</v>
      </c>
      <c r="L37" s="5">
        <f>L38+L39+L40+L41</f>
        <v>7346424</v>
      </c>
      <c r="M37" s="5">
        <f t="shared" ref="M37:S37" si="24">M38+M39+M40+M41</f>
        <v>10566046</v>
      </c>
      <c r="N37" s="5">
        <f t="shared" si="24"/>
        <v>14980186</v>
      </c>
      <c r="O37" s="127">
        <f t="shared" si="24"/>
        <v>32892656</v>
      </c>
      <c r="P37" s="5">
        <f t="shared" si="24"/>
        <v>21807828</v>
      </c>
      <c r="Q37" s="5">
        <f t="shared" si="24"/>
        <v>3000000</v>
      </c>
      <c r="R37" s="5">
        <f t="shared" si="24"/>
        <v>20000000</v>
      </c>
      <c r="S37" s="127">
        <f t="shared" si="24"/>
        <v>44807828</v>
      </c>
      <c r="T37" s="136">
        <f>O37+S37</f>
        <v>77700484</v>
      </c>
      <c r="U37" s="5">
        <v>7106569</v>
      </c>
      <c r="V37" s="5">
        <v>10566046</v>
      </c>
      <c r="W37" s="5">
        <v>14980186</v>
      </c>
      <c r="X37" s="127">
        <v>32652801</v>
      </c>
      <c r="Y37" s="5">
        <v>32000000</v>
      </c>
      <c r="Z37" s="5">
        <v>8049358</v>
      </c>
      <c r="AA37" s="5">
        <v>15193762</v>
      </c>
      <c r="AB37" s="127">
        <v>55243120</v>
      </c>
      <c r="AC37" s="136">
        <v>87895921</v>
      </c>
      <c r="AD37" s="5">
        <f>AD38+AD40+AD39+AD41</f>
        <v>8565778</v>
      </c>
      <c r="AE37" s="5">
        <f t="shared" ref="AE37:BD37" si="25">AE38+AE40+AE39+AE41</f>
        <v>13048985</v>
      </c>
      <c r="AF37" s="5">
        <f t="shared" si="25"/>
        <v>12713623</v>
      </c>
      <c r="AG37" s="127">
        <f t="shared" si="25"/>
        <v>34328386</v>
      </c>
      <c r="AH37" s="5">
        <f t="shared" si="25"/>
        <v>32049831</v>
      </c>
      <c r="AI37" s="5">
        <f t="shared" si="25"/>
        <v>10280000</v>
      </c>
      <c r="AJ37" s="5">
        <f t="shared" si="25"/>
        <v>23100000</v>
      </c>
      <c r="AK37" s="127">
        <f t="shared" si="25"/>
        <v>65429831</v>
      </c>
      <c r="AL37" s="136">
        <f t="shared" si="25"/>
        <v>99758217</v>
      </c>
      <c r="AM37" s="5">
        <f t="shared" si="25"/>
        <v>8973892</v>
      </c>
      <c r="AN37" s="5">
        <f t="shared" si="25"/>
        <v>13410822</v>
      </c>
      <c r="AO37" s="5">
        <f t="shared" si="25"/>
        <v>12351786</v>
      </c>
      <c r="AP37" s="127">
        <f t="shared" si="25"/>
        <v>34736500</v>
      </c>
      <c r="AQ37" s="5">
        <f t="shared" si="25"/>
        <v>38294572</v>
      </c>
      <c r="AR37" s="5">
        <f t="shared" si="25"/>
        <v>8405773</v>
      </c>
      <c r="AS37" s="5">
        <f t="shared" si="25"/>
        <v>23052932</v>
      </c>
      <c r="AT37" s="127">
        <f t="shared" si="25"/>
        <v>69753277</v>
      </c>
      <c r="AU37" s="136">
        <f t="shared" si="25"/>
        <v>104489777</v>
      </c>
      <c r="AV37" s="5">
        <f t="shared" si="25"/>
        <v>9466638</v>
      </c>
      <c r="AW37" s="5">
        <f t="shared" si="25"/>
        <v>13410822</v>
      </c>
      <c r="AX37" s="5">
        <f t="shared" si="25"/>
        <v>12351786</v>
      </c>
      <c r="AY37" s="127">
        <f t="shared" si="25"/>
        <v>35229246</v>
      </c>
      <c r="AZ37" s="5">
        <f t="shared" si="25"/>
        <v>38493972</v>
      </c>
      <c r="BA37" s="5">
        <f t="shared" si="25"/>
        <v>6423192</v>
      </c>
      <c r="BB37" s="5">
        <f t="shared" si="25"/>
        <v>26494076</v>
      </c>
      <c r="BC37" s="127">
        <f t="shared" si="25"/>
        <v>71411240</v>
      </c>
      <c r="BD37" s="136">
        <f t="shared" si="25"/>
        <v>106640486</v>
      </c>
    </row>
    <row r="38" spans="1:56" ht="16.5" x14ac:dyDescent="0.25">
      <c r="A38" s="145" t="s">
        <v>58</v>
      </c>
      <c r="B38" s="7" t="s">
        <v>59</v>
      </c>
      <c r="C38" s="8">
        <v>2107032</v>
      </c>
      <c r="D38" s="8">
        <v>2285339</v>
      </c>
      <c r="E38" s="8">
        <v>250000</v>
      </c>
      <c r="F38" s="128">
        <f>SUM(C38:E38)</f>
        <v>4642371</v>
      </c>
      <c r="G38" s="8">
        <v>6554325</v>
      </c>
      <c r="H38" s="8">
        <v>0</v>
      </c>
      <c r="I38" s="8">
        <v>0</v>
      </c>
      <c r="J38" s="128">
        <f>SUM(G38:I38)</f>
        <v>6554325</v>
      </c>
      <c r="K38" s="136">
        <f>F38+J38</f>
        <v>11196696</v>
      </c>
      <c r="L38" s="8">
        <v>779263</v>
      </c>
      <c r="M38" s="8">
        <v>6093070</v>
      </c>
      <c r="N38" s="8">
        <v>2738400</v>
      </c>
      <c r="O38" s="128">
        <f>SUM(L38:N38)</f>
        <v>9610733</v>
      </c>
      <c r="P38" s="8">
        <v>3313950</v>
      </c>
      <c r="Q38" s="8">
        <v>0</v>
      </c>
      <c r="R38" s="8">
        <v>0</v>
      </c>
      <c r="S38" s="128">
        <f>SUM(P38:R38)</f>
        <v>3313950</v>
      </c>
      <c r="T38" s="136">
        <f t="shared" ref="T38:T41" si="26">O38+S38</f>
        <v>12924683</v>
      </c>
      <c r="U38" s="33">
        <v>737021</v>
      </c>
      <c r="V38" s="33">
        <v>7838342</v>
      </c>
      <c r="W38" s="33">
        <v>330000</v>
      </c>
      <c r="X38" s="128">
        <f>SUM(U38:W38)</f>
        <v>8905363</v>
      </c>
      <c r="Y38" s="33">
        <f>1250000+50000</f>
        <v>1300000</v>
      </c>
      <c r="Z38" s="33">
        <v>0</v>
      </c>
      <c r="AA38" s="33">
        <v>0</v>
      </c>
      <c r="AB38" s="128">
        <f>SUM(Y38:AA38)</f>
        <v>1300000</v>
      </c>
      <c r="AC38" s="136">
        <f>X38+AB38</f>
        <v>10205363</v>
      </c>
      <c r="AD38" s="8">
        <v>899425</v>
      </c>
      <c r="AE38" s="8">
        <v>7494205</v>
      </c>
      <c r="AF38" s="8">
        <v>691837</v>
      </c>
      <c r="AG38" s="128">
        <f>SUM(AD38:AF38)</f>
        <v>9085467</v>
      </c>
      <c r="AH38" s="8">
        <v>1100000</v>
      </c>
      <c r="AI38" s="8">
        <v>0</v>
      </c>
      <c r="AJ38" s="8">
        <v>0</v>
      </c>
      <c r="AK38" s="128">
        <f>SUM(AH38:AJ38)</f>
        <v>1100000</v>
      </c>
      <c r="AL38" s="136">
        <f>AG38+AK38</f>
        <v>10185467</v>
      </c>
      <c r="AM38" s="8">
        <v>941887</v>
      </c>
      <c r="AN38" s="8">
        <v>7856042</v>
      </c>
      <c r="AO38" s="8">
        <v>330000</v>
      </c>
      <c r="AP38" s="128">
        <f>SUM(AM38:AO38)</f>
        <v>9127929</v>
      </c>
      <c r="AQ38" s="8">
        <v>1314329</v>
      </c>
      <c r="AR38" s="8">
        <v>0</v>
      </c>
      <c r="AS38" s="8">
        <v>0</v>
      </c>
      <c r="AT38" s="128">
        <f>SUM(AQ38:AS38)</f>
        <v>1314329</v>
      </c>
      <c r="AU38" s="136">
        <f t="shared" si="4"/>
        <v>10442258</v>
      </c>
      <c r="AV38" s="8">
        <v>993150</v>
      </c>
      <c r="AW38" s="8">
        <v>7856042</v>
      </c>
      <c r="AX38" s="8">
        <v>330000</v>
      </c>
      <c r="AY38" s="128">
        <f>SUM(AV38:AX38)</f>
        <v>9179192</v>
      </c>
      <c r="AZ38" s="8">
        <v>1321173</v>
      </c>
      <c r="BA38" s="21">
        <v>0</v>
      </c>
      <c r="BB38" s="8">
        <v>0</v>
      </c>
      <c r="BC38" s="128">
        <f>SUM(AZ38:BB38)</f>
        <v>1321173</v>
      </c>
      <c r="BD38" s="136">
        <f t="shared" si="6"/>
        <v>10500365</v>
      </c>
    </row>
    <row r="39" spans="1:56" ht="16.5" x14ac:dyDescent="0.3">
      <c r="A39" s="145" t="s">
        <v>60</v>
      </c>
      <c r="B39" s="7" t="s">
        <v>61</v>
      </c>
      <c r="C39" s="8">
        <v>5455867</v>
      </c>
      <c r="D39" s="8">
        <v>1672559</v>
      </c>
      <c r="E39" s="8">
        <v>17615147</v>
      </c>
      <c r="F39" s="128">
        <f>SUM(C39:E39)</f>
        <v>24743573</v>
      </c>
      <c r="G39" s="8">
        <v>2560134</v>
      </c>
      <c r="H39" s="8">
        <v>9200000</v>
      </c>
      <c r="I39" s="8">
        <v>12659149</v>
      </c>
      <c r="J39" s="128">
        <f>SUM(G39:I39)</f>
        <v>24419283</v>
      </c>
      <c r="K39" s="136">
        <f>F39+J39</f>
        <v>49162856</v>
      </c>
      <c r="L39" s="8">
        <v>6086603</v>
      </c>
      <c r="M39" s="8">
        <v>3927268</v>
      </c>
      <c r="N39" s="8">
        <v>12241786</v>
      </c>
      <c r="O39" s="128">
        <f>SUM(L39:N39)</f>
        <v>22255657</v>
      </c>
      <c r="P39" s="8">
        <v>13155344</v>
      </c>
      <c r="Q39" s="82">
        <v>2904000</v>
      </c>
      <c r="R39" s="28">
        <v>19680000</v>
      </c>
      <c r="S39" s="128">
        <f>SUM(P39:R39)</f>
        <v>35739344</v>
      </c>
      <c r="T39" s="136">
        <f t="shared" si="26"/>
        <v>57995001</v>
      </c>
      <c r="U39" s="35">
        <v>5843301</v>
      </c>
      <c r="V39" s="35">
        <v>1803462</v>
      </c>
      <c r="W39" s="35">
        <v>14650186</v>
      </c>
      <c r="X39" s="128">
        <f>SUM(U39:W39)</f>
        <v>22296949</v>
      </c>
      <c r="Y39" s="35">
        <f>7634000+17140128</f>
        <v>24774128</v>
      </c>
      <c r="Z39" s="35">
        <f>4642000+2811358</f>
        <v>7453358</v>
      </c>
      <c r="AA39" s="35">
        <f>12703762+1730000</f>
        <v>14433762</v>
      </c>
      <c r="AB39" s="128">
        <f>SUM(Y39:AA39)</f>
        <v>46661248</v>
      </c>
      <c r="AC39" s="136">
        <f>X39+AB39</f>
        <v>68958197</v>
      </c>
      <c r="AD39" s="8">
        <v>6965820</v>
      </c>
      <c r="AE39" s="8">
        <v>4630538</v>
      </c>
      <c r="AF39" s="8">
        <v>12021786</v>
      </c>
      <c r="AG39" s="128">
        <f>SUM(AD39:AF39)</f>
        <v>23618144</v>
      </c>
      <c r="AH39" s="28">
        <v>22258831</v>
      </c>
      <c r="AI39" s="28">
        <v>9380000</v>
      </c>
      <c r="AJ39" s="28">
        <v>21600000</v>
      </c>
      <c r="AK39" s="128">
        <f>SUM(AH39:AJ39)</f>
        <v>53238831</v>
      </c>
      <c r="AL39" s="136">
        <f>AG39+AK39</f>
        <v>76856975</v>
      </c>
      <c r="AM39" s="8">
        <v>7299828</v>
      </c>
      <c r="AN39" s="8">
        <v>4630538</v>
      </c>
      <c r="AO39" s="8">
        <v>12021786</v>
      </c>
      <c r="AP39" s="128">
        <f>SUM(AM39:AO39)</f>
        <v>23952152</v>
      </c>
      <c r="AQ39" s="28">
        <v>27329116</v>
      </c>
      <c r="AR39" s="28">
        <v>7669859</v>
      </c>
      <c r="AS39" s="28">
        <v>21555988</v>
      </c>
      <c r="AT39" s="128">
        <f>SUM(AQ39:AS39)</f>
        <v>56554963</v>
      </c>
      <c r="AU39" s="136">
        <f t="shared" si="4"/>
        <v>80507115</v>
      </c>
      <c r="AV39" s="8">
        <v>7703101</v>
      </c>
      <c r="AW39" s="8">
        <v>4630538</v>
      </c>
      <c r="AX39" s="8">
        <v>12021786</v>
      </c>
      <c r="AY39" s="128">
        <f>SUM(AV39:AX39)</f>
        <v>24355425</v>
      </c>
      <c r="AZ39" s="8">
        <v>23278584</v>
      </c>
      <c r="BA39" s="8">
        <v>5860850</v>
      </c>
      <c r="BB39" s="21">
        <v>24773681</v>
      </c>
      <c r="BC39" s="128">
        <f>SUM(AZ39:BB39)</f>
        <v>53913115</v>
      </c>
      <c r="BD39" s="136">
        <f t="shared" si="6"/>
        <v>78268540</v>
      </c>
    </row>
    <row r="40" spans="1:56" ht="16.5" x14ac:dyDescent="0.25">
      <c r="A40" s="145" t="s">
        <v>62</v>
      </c>
      <c r="B40" s="7" t="s">
        <v>63</v>
      </c>
      <c r="C40" s="8">
        <v>281006</v>
      </c>
      <c r="D40" s="8">
        <v>56538</v>
      </c>
      <c r="E40" s="8">
        <v>0</v>
      </c>
      <c r="F40" s="128">
        <f>SUM(C40:E40)</f>
        <v>337544</v>
      </c>
      <c r="G40" s="8">
        <v>1291541</v>
      </c>
      <c r="H40" s="8">
        <v>0</v>
      </c>
      <c r="I40" s="8">
        <v>0</v>
      </c>
      <c r="J40" s="128">
        <f>SUM(G40:I40)</f>
        <v>1291541</v>
      </c>
      <c r="K40" s="136">
        <f>F40+J40</f>
        <v>1629085</v>
      </c>
      <c r="L40" s="8">
        <v>323695</v>
      </c>
      <c r="M40" s="8">
        <v>245955</v>
      </c>
      <c r="N40" s="8">
        <v>0</v>
      </c>
      <c r="O40" s="128">
        <f>SUM(L40:N40)</f>
        <v>569650</v>
      </c>
      <c r="P40" s="8">
        <v>3540200</v>
      </c>
      <c r="R40" s="28">
        <v>320000</v>
      </c>
      <c r="S40" s="128">
        <f>SUM(P40:R40)</f>
        <v>3860200</v>
      </c>
      <c r="T40" s="136">
        <f t="shared" si="26"/>
        <v>4429850</v>
      </c>
      <c r="U40" s="35">
        <v>341817</v>
      </c>
      <c r="V40" s="35">
        <v>426155</v>
      </c>
      <c r="W40" s="35">
        <v>0</v>
      </c>
      <c r="X40" s="128">
        <f>SUM(U40:W40)</f>
        <v>767972</v>
      </c>
      <c r="Y40" s="35">
        <f>2000000+1700000</f>
        <v>3700000</v>
      </c>
      <c r="Z40" s="35">
        <v>0</v>
      </c>
      <c r="AA40" s="35">
        <f>500000+160000</f>
        <v>660000</v>
      </c>
      <c r="AB40" s="128">
        <f>SUM(Y40:AA40)</f>
        <v>4360000</v>
      </c>
      <c r="AC40" s="136">
        <f>X40+AB40</f>
        <v>5127972</v>
      </c>
      <c r="AD40" s="8">
        <v>409312</v>
      </c>
      <c r="AE40" s="8">
        <v>426155</v>
      </c>
      <c r="AF40" s="8">
        <v>0</v>
      </c>
      <c r="AG40" s="128">
        <f>SUM(AD40:AF40)</f>
        <v>835467</v>
      </c>
      <c r="AH40" s="8">
        <v>4778000</v>
      </c>
      <c r="AI40" s="71">
        <v>500000</v>
      </c>
      <c r="AJ40" s="28">
        <v>1000000</v>
      </c>
      <c r="AK40" s="128">
        <f>SUM(AH40:AJ40)</f>
        <v>6278000</v>
      </c>
      <c r="AL40" s="136">
        <f>AG40+AK40</f>
        <v>7113467</v>
      </c>
      <c r="AM40" s="21">
        <v>426906</v>
      </c>
      <c r="AN40" s="8">
        <v>426155</v>
      </c>
      <c r="AO40" s="8">
        <v>0</v>
      </c>
      <c r="AP40" s="128">
        <f>SUM(AM40:AO40)</f>
        <v>853061</v>
      </c>
      <c r="AQ40" s="8">
        <v>5367186</v>
      </c>
      <c r="AR40" s="71">
        <v>408841</v>
      </c>
      <c r="AS40" s="28">
        <v>997963</v>
      </c>
      <c r="AT40" s="128">
        <f>SUM(AQ40:AS40)</f>
        <v>6773990</v>
      </c>
      <c r="AU40" s="136">
        <f t="shared" si="4"/>
        <v>7627051</v>
      </c>
      <c r="AV40" s="21">
        <v>448152</v>
      </c>
      <c r="AW40" s="8">
        <v>426155</v>
      </c>
      <c r="AX40" s="8">
        <v>0</v>
      </c>
      <c r="AY40" s="128">
        <f>SUM(AV40:AX40)</f>
        <v>874307</v>
      </c>
      <c r="AZ40" s="8">
        <v>9575187</v>
      </c>
      <c r="BA40" s="71">
        <v>312412</v>
      </c>
      <c r="BB40" s="28">
        <v>1146930</v>
      </c>
      <c r="BC40" s="128">
        <f>SUM(AZ40:BB40)</f>
        <v>11034529</v>
      </c>
      <c r="BD40" s="136">
        <f t="shared" si="6"/>
        <v>11908836</v>
      </c>
    </row>
    <row r="41" spans="1:56" ht="16.5" x14ac:dyDescent="0.25">
      <c r="A41" s="146" t="s">
        <v>64</v>
      </c>
      <c r="B41" s="7" t="s">
        <v>65</v>
      </c>
      <c r="C41" s="8">
        <v>136195</v>
      </c>
      <c r="D41" s="8">
        <v>66538</v>
      </c>
      <c r="E41" s="8">
        <v>0</v>
      </c>
      <c r="F41" s="128">
        <f>SUM(C41:E41)</f>
        <v>202733</v>
      </c>
      <c r="G41" s="8">
        <v>850000</v>
      </c>
      <c r="H41" s="8">
        <v>300000</v>
      </c>
      <c r="I41" s="8">
        <v>0</v>
      </c>
      <c r="J41" s="128">
        <f>SUM(G41:I41)</f>
        <v>1150000</v>
      </c>
      <c r="K41" s="136">
        <f>F41+J41</f>
        <v>1352733</v>
      </c>
      <c r="L41" s="8">
        <v>156863</v>
      </c>
      <c r="M41" s="8">
        <v>299753</v>
      </c>
      <c r="N41" s="8">
        <v>0</v>
      </c>
      <c r="O41" s="128">
        <f>SUM(L41:N41)</f>
        <v>456616</v>
      </c>
      <c r="P41" s="8">
        <v>1798334</v>
      </c>
      <c r="Q41" s="28">
        <v>96000</v>
      </c>
      <c r="R41" s="8">
        <v>0</v>
      </c>
      <c r="S41" s="128">
        <f>SUM(P41:R41)</f>
        <v>1894334</v>
      </c>
      <c r="T41" s="136">
        <f t="shared" si="26"/>
        <v>2350950</v>
      </c>
      <c r="U41" s="40">
        <v>184430</v>
      </c>
      <c r="V41" s="40">
        <v>498087</v>
      </c>
      <c r="W41" s="40">
        <v>0</v>
      </c>
      <c r="X41" s="128">
        <f>SUM(U41:W41)</f>
        <v>682517</v>
      </c>
      <c r="Y41" s="40">
        <f>1200000+1025872</f>
        <v>2225872</v>
      </c>
      <c r="Z41" s="40">
        <v>596000</v>
      </c>
      <c r="AA41" s="40">
        <v>100000</v>
      </c>
      <c r="AB41" s="128">
        <f>SUM(Y41:AA41)</f>
        <v>2921872</v>
      </c>
      <c r="AC41" s="136">
        <f>X41+AB41</f>
        <v>3604389</v>
      </c>
      <c r="AD41" s="8">
        <v>291221</v>
      </c>
      <c r="AE41" s="8">
        <v>498087</v>
      </c>
      <c r="AF41" s="8">
        <v>0</v>
      </c>
      <c r="AG41" s="128">
        <f>SUM(AD41:AF41)</f>
        <v>789308</v>
      </c>
      <c r="AH41" s="8">
        <v>3913000</v>
      </c>
      <c r="AI41" s="28">
        <v>400000</v>
      </c>
      <c r="AJ41" s="8">
        <v>500000</v>
      </c>
      <c r="AK41" s="128">
        <f>SUM(AH41:AJ41)</f>
        <v>4813000</v>
      </c>
      <c r="AL41" s="136">
        <f>AG41+AK41</f>
        <v>5602308</v>
      </c>
      <c r="AM41" s="21">
        <v>305271</v>
      </c>
      <c r="AN41" s="8">
        <v>498087</v>
      </c>
      <c r="AO41" s="8">
        <v>0</v>
      </c>
      <c r="AP41" s="128">
        <f>SUM(AM41:AO41)</f>
        <v>803358</v>
      </c>
      <c r="AQ41" s="8">
        <v>4283941</v>
      </c>
      <c r="AR41" s="28">
        <v>327073</v>
      </c>
      <c r="AS41" s="8">
        <v>498981</v>
      </c>
      <c r="AT41" s="128">
        <f>SUM(AQ41:AS41)</f>
        <v>5109995</v>
      </c>
      <c r="AU41" s="136">
        <f t="shared" si="4"/>
        <v>5913353</v>
      </c>
      <c r="AV41" s="21">
        <v>322235</v>
      </c>
      <c r="AW41" s="8">
        <v>498087</v>
      </c>
      <c r="AX41" s="8">
        <v>0</v>
      </c>
      <c r="AY41" s="128">
        <f>SUM(AV41:AX41)</f>
        <v>820322</v>
      </c>
      <c r="AZ41" s="8">
        <v>4319028</v>
      </c>
      <c r="BA41" s="28">
        <v>249930</v>
      </c>
      <c r="BB41" s="8">
        <v>573465</v>
      </c>
      <c r="BC41" s="128">
        <f>SUM(AZ41:BB41)</f>
        <v>5142423</v>
      </c>
      <c r="BD41" s="136">
        <f t="shared" si="6"/>
        <v>5962745</v>
      </c>
    </row>
    <row r="42" spans="1:56" ht="16.5" x14ac:dyDescent="0.25">
      <c r="A42" s="96" t="s">
        <v>66</v>
      </c>
      <c r="B42" s="97"/>
      <c r="C42" s="5">
        <v>1970600</v>
      </c>
      <c r="D42" s="5">
        <v>3460065</v>
      </c>
      <c r="E42" s="5">
        <v>4252183</v>
      </c>
      <c r="F42" s="127">
        <v>9682848</v>
      </c>
      <c r="G42" s="5">
        <v>15300000</v>
      </c>
      <c r="H42" s="5">
        <v>19405501</v>
      </c>
      <c r="I42" s="5">
        <v>0</v>
      </c>
      <c r="J42" s="127">
        <v>34705501</v>
      </c>
      <c r="K42" s="136">
        <v>44388349</v>
      </c>
      <c r="L42" s="5">
        <f>L43+L44+L45+L46</f>
        <v>1786770</v>
      </c>
      <c r="M42" s="5">
        <f t="shared" ref="M42:S42" si="27">M43+M44+M45+M46</f>
        <v>3743639</v>
      </c>
      <c r="N42" s="5">
        <f t="shared" si="27"/>
        <v>4778680</v>
      </c>
      <c r="O42" s="127">
        <f t="shared" si="27"/>
        <v>10309089</v>
      </c>
      <c r="P42" s="5">
        <f t="shared" si="27"/>
        <v>16000000</v>
      </c>
      <c r="Q42" s="5">
        <f t="shared" si="27"/>
        <v>15862546</v>
      </c>
      <c r="R42" s="5">
        <f t="shared" si="27"/>
        <v>0</v>
      </c>
      <c r="S42" s="127">
        <f t="shared" si="27"/>
        <v>31862546</v>
      </c>
      <c r="T42" s="136">
        <f>O42+S42</f>
        <v>42171635</v>
      </c>
      <c r="U42" s="5">
        <v>1826052</v>
      </c>
      <c r="V42" s="5">
        <v>3333066</v>
      </c>
      <c r="W42" s="5">
        <v>8612046</v>
      </c>
      <c r="X42" s="127">
        <v>13771164</v>
      </c>
      <c r="Y42" s="5">
        <v>21000000</v>
      </c>
      <c r="Z42" s="5">
        <v>8121631</v>
      </c>
      <c r="AA42" s="5">
        <v>0</v>
      </c>
      <c r="AB42" s="127">
        <v>29121631</v>
      </c>
      <c r="AC42" s="136">
        <v>42892795</v>
      </c>
      <c r="AD42" s="5">
        <f>AD43+AD44+AD45+AD46</f>
        <v>2162527</v>
      </c>
      <c r="AE42" s="5">
        <f t="shared" ref="AE42:BD42" si="28">AE43+AE44+AE45+AE46</f>
        <v>2960259</v>
      </c>
      <c r="AF42" s="5">
        <f t="shared" si="28"/>
        <v>21429874</v>
      </c>
      <c r="AG42" s="127">
        <f t="shared" si="28"/>
        <v>26552660</v>
      </c>
      <c r="AH42" s="5">
        <f t="shared" si="28"/>
        <v>22509000</v>
      </c>
      <c r="AI42" s="5">
        <f t="shared" si="28"/>
        <v>18681689</v>
      </c>
      <c r="AJ42" s="5">
        <f t="shared" si="28"/>
        <v>0</v>
      </c>
      <c r="AK42" s="127">
        <f t="shared" si="28"/>
        <v>41190689</v>
      </c>
      <c r="AL42" s="136">
        <f t="shared" si="28"/>
        <v>67743349</v>
      </c>
      <c r="AM42" s="5">
        <f t="shared" si="28"/>
        <v>2248045</v>
      </c>
      <c r="AN42" s="5">
        <f t="shared" si="28"/>
        <v>4541355</v>
      </c>
      <c r="AO42" s="5">
        <f t="shared" si="28"/>
        <v>19848778</v>
      </c>
      <c r="AP42" s="127">
        <f t="shared" si="28"/>
        <v>26638178</v>
      </c>
      <c r="AQ42" s="5">
        <f t="shared" si="28"/>
        <v>22911533</v>
      </c>
      <c r="AR42" s="5">
        <f t="shared" si="28"/>
        <v>11286915</v>
      </c>
      <c r="AS42" s="5">
        <f t="shared" si="28"/>
        <v>0</v>
      </c>
      <c r="AT42" s="127">
        <f t="shared" si="28"/>
        <v>34198448</v>
      </c>
      <c r="AU42" s="136">
        <f t="shared" si="28"/>
        <v>60836626</v>
      </c>
      <c r="AV42" s="5">
        <f t="shared" si="28"/>
        <v>2363228</v>
      </c>
      <c r="AW42" s="5">
        <f t="shared" si="28"/>
        <v>2986448</v>
      </c>
      <c r="AX42" s="5">
        <f t="shared" si="28"/>
        <v>21403686</v>
      </c>
      <c r="AY42" s="127">
        <f t="shared" si="28"/>
        <v>26753362</v>
      </c>
      <c r="AZ42" s="5">
        <f t="shared" si="28"/>
        <v>42047234</v>
      </c>
      <c r="BA42" s="5">
        <f t="shared" si="28"/>
        <v>2152586</v>
      </c>
      <c r="BB42" s="5">
        <f t="shared" si="28"/>
        <v>0</v>
      </c>
      <c r="BC42" s="127">
        <f t="shared" si="28"/>
        <v>44199820</v>
      </c>
      <c r="BD42" s="136">
        <f t="shared" si="28"/>
        <v>70953182</v>
      </c>
    </row>
    <row r="43" spans="1:56" ht="16.5" x14ac:dyDescent="0.25">
      <c r="A43" s="145" t="s">
        <v>67</v>
      </c>
      <c r="B43" s="9" t="s">
        <v>68</v>
      </c>
      <c r="C43" s="8">
        <v>587405</v>
      </c>
      <c r="D43" s="8">
        <v>1275569</v>
      </c>
      <c r="E43" s="8">
        <v>507087</v>
      </c>
      <c r="F43" s="128">
        <f>SUM(C43:E43)</f>
        <v>2370061</v>
      </c>
      <c r="G43" s="8">
        <v>303198</v>
      </c>
      <c r="H43" s="8">
        <v>0</v>
      </c>
      <c r="I43" s="8">
        <v>0</v>
      </c>
      <c r="J43" s="128">
        <f>SUM(G43:I43)</f>
        <v>303198</v>
      </c>
      <c r="K43" s="136">
        <f>F43+J43</f>
        <v>2673259</v>
      </c>
      <c r="L43" s="8">
        <v>424407</v>
      </c>
      <c r="M43" s="8">
        <v>2103968</v>
      </c>
      <c r="N43" s="8">
        <v>462681</v>
      </c>
      <c r="O43" s="128">
        <f>SUM(L43:N43)</f>
        <v>2991056</v>
      </c>
      <c r="P43" s="8">
        <v>1050000</v>
      </c>
      <c r="Q43" s="8">
        <v>0</v>
      </c>
      <c r="R43" s="8">
        <v>0</v>
      </c>
      <c r="S43" s="128">
        <f>SUM(P43:R43)</f>
        <v>1050000</v>
      </c>
      <c r="T43" s="136">
        <f t="shared" ref="T43:T50" si="29">O43+S43</f>
        <v>4041056</v>
      </c>
      <c r="U43" s="33">
        <v>492855</v>
      </c>
      <c r="V43" s="33">
        <v>2296466</v>
      </c>
      <c r="W43" s="33">
        <v>60000</v>
      </c>
      <c r="X43" s="128">
        <f>SUM(U43:W43)</f>
        <v>2849321</v>
      </c>
      <c r="Y43" s="33">
        <v>808800</v>
      </c>
      <c r="Z43" s="33">
        <v>0</v>
      </c>
      <c r="AA43" s="33">
        <v>0</v>
      </c>
      <c r="AB43" s="128">
        <f>Y43+Z43+AA43</f>
        <v>808800</v>
      </c>
      <c r="AC43" s="136">
        <f>X43+AB43</f>
        <v>3658121</v>
      </c>
      <c r="AD43" s="8">
        <v>491062</v>
      </c>
      <c r="AE43" s="8">
        <v>2018518</v>
      </c>
      <c r="AF43" s="8">
        <v>60000</v>
      </c>
      <c r="AG43" s="128">
        <f>SUM(AD43:AF43)</f>
        <v>2569580</v>
      </c>
      <c r="AH43" s="8">
        <v>1013699</v>
      </c>
      <c r="AI43" s="8">
        <v>0</v>
      </c>
      <c r="AJ43" s="8">
        <v>0</v>
      </c>
      <c r="AK43" s="128">
        <f>AH43+AI43+AJ43</f>
        <v>1013699</v>
      </c>
      <c r="AL43" s="136">
        <f>AG43+AK43</f>
        <v>3583279</v>
      </c>
      <c r="AM43" s="8">
        <v>510021</v>
      </c>
      <c r="AN43" s="8">
        <v>3057577</v>
      </c>
      <c r="AO43" s="8">
        <v>100000</v>
      </c>
      <c r="AP43" s="128">
        <f>SUM(AM43:AO43)</f>
        <v>3667598</v>
      </c>
      <c r="AQ43" s="8">
        <v>800000</v>
      </c>
      <c r="AR43" s="8">
        <v>0</v>
      </c>
      <c r="AS43" s="8">
        <v>0</v>
      </c>
      <c r="AT43" s="128">
        <f>AQ43+AR43+AS43</f>
        <v>800000</v>
      </c>
      <c r="AU43" s="136">
        <f t="shared" si="4"/>
        <v>4467598</v>
      </c>
      <c r="AV43" s="8">
        <v>535557</v>
      </c>
      <c r="AW43" s="8">
        <v>2018518</v>
      </c>
      <c r="AX43" s="8">
        <v>60000</v>
      </c>
      <c r="AY43" s="128">
        <f>SUM(AV43:AX43)</f>
        <v>2614075</v>
      </c>
      <c r="AZ43" s="8">
        <v>1000000</v>
      </c>
      <c r="BA43" s="8">
        <v>0</v>
      </c>
      <c r="BB43" s="8">
        <v>0</v>
      </c>
      <c r="BC43" s="128">
        <f t="shared" si="5"/>
        <v>1000000</v>
      </c>
      <c r="BD43" s="136">
        <f t="shared" si="6"/>
        <v>3614075</v>
      </c>
    </row>
    <row r="44" spans="1:56" ht="16.5" x14ac:dyDescent="0.25">
      <c r="A44" s="145" t="s">
        <v>69</v>
      </c>
      <c r="B44" s="9" t="s">
        <v>70</v>
      </c>
      <c r="C44" s="8">
        <v>204450</v>
      </c>
      <c r="D44" s="8">
        <v>454148</v>
      </c>
      <c r="E44" s="8">
        <v>3745096</v>
      </c>
      <c r="F44" s="128">
        <f>SUM(C44:E44)</f>
        <v>4403694</v>
      </c>
      <c r="G44" s="8">
        <v>14900000</v>
      </c>
      <c r="H44" s="8">
        <v>19405501</v>
      </c>
      <c r="I44" s="8">
        <v>0</v>
      </c>
      <c r="J44" s="128">
        <f>SUM(G44:I44)</f>
        <v>34305501</v>
      </c>
      <c r="K44" s="136">
        <f>F44+J44</f>
        <v>38709195</v>
      </c>
      <c r="L44" s="8">
        <v>143267</v>
      </c>
      <c r="M44" s="8">
        <v>193105</v>
      </c>
      <c r="N44" s="8">
        <v>4315999</v>
      </c>
      <c r="O44" s="128">
        <f>SUM(L44:N44)</f>
        <v>4652371</v>
      </c>
      <c r="P44" s="8">
        <v>14950000</v>
      </c>
      <c r="Q44" s="28">
        <v>15862546</v>
      </c>
      <c r="R44" s="8">
        <v>0</v>
      </c>
      <c r="S44" s="128">
        <f>SUM(P44:R44)</f>
        <v>30812546</v>
      </c>
      <c r="T44" s="136">
        <f t="shared" si="29"/>
        <v>35464917</v>
      </c>
      <c r="U44" s="35">
        <v>152717</v>
      </c>
      <c r="V44" s="35">
        <v>137734</v>
      </c>
      <c r="W44" s="35">
        <v>7981303</v>
      </c>
      <c r="X44" s="128">
        <f>SUM(U44:W44)</f>
        <v>8271754</v>
      </c>
      <c r="Y44" s="35">
        <f>141200+20050000</f>
        <v>20191200</v>
      </c>
      <c r="Z44" s="35">
        <v>8121631</v>
      </c>
      <c r="AA44" s="35">
        <v>0</v>
      </c>
      <c r="AB44" s="128">
        <f>Y44+Z44+AA44</f>
        <v>28312831</v>
      </c>
      <c r="AC44" s="136">
        <f>X44+AB44</f>
        <v>36584585</v>
      </c>
      <c r="AD44" s="8">
        <v>213546</v>
      </c>
      <c r="AE44" s="8">
        <v>93993</v>
      </c>
      <c r="AF44" s="8">
        <v>20413478</v>
      </c>
      <c r="AG44" s="128">
        <f>SUM(AD44:AF44)</f>
        <v>20721017</v>
      </c>
      <c r="AH44" s="8">
        <v>21495301</v>
      </c>
      <c r="AI44" s="28">
        <v>18681689</v>
      </c>
      <c r="AJ44" s="8">
        <v>0</v>
      </c>
      <c r="AK44" s="128">
        <f>AH44+AI44+AJ44</f>
        <v>40176990</v>
      </c>
      <c r="AL44" s="136">
        <f>AG44+AK44</f>
        <v>60898007</v>
      </c>
      <c r="AM44" s="8">
        <v>221807</v>
      </c>
      <c r="AN44" s="8">
        <v>301531</v>
      </c>
      <c r="AO44" s="8">
        <v>18792382</v>
      </c>
      <c r="AP44" s="128">
        <f>SUM(AM44:AO44)</f>
        <v>19315720</v>
      </c>
      <c r="AQ44" s="8">
        <v>22111533</v>
      </c>
      <c r="AR44" s="28">
        <v>11286915</v>
      </c>
      <c r="AS44" s="8">
        <v>0</v>
      </c>
      <c r="AT44" s="128">
        <f>AQ44+AR44+AS44</f>
        <v>33398448</v>
      </c>
      <c r="AU44" s="136">
        <f t="shared" si="4"/>
        <v>52714168</v>
      </c>
      <c r="AV44" s="8">
        <v>232933</v>
      </c>
      <c r="AW44" s="8">
        <v>120182</v>
      </c>
      <c r="AX44" s="8">
        <v>20387290</v>
      </c>
      <c r="AY44" s="128">
        <f>SUM(AV44:AX44)</f>
        <v>20740405</v>
      </c>
      <c r="AZ44" s="8">
        <v>41047234</v>
      </c>
      <c r="BA44" s="8">
        <v>2152586</v>
      </c>
      <c r="BB44" s="8">
        <v>0</v>
      </c>
      <c r="BC44" s="128">
        <f t="shared" si="5"/>
        <v>43199820</v>
      </c>
      <c r="BD44" s="136">
        <f t="shared" si="6"/>
        <v>63940225</v>
      </c>
    </row>
    <row r="45" spans="1:56" ht="33" x14ac:dyDescent="0.25">
      <c r="A45" s="145" t="s">
        <v>71</v>
      </c>
      <c r="B45" s="9" t="s">
        <v>72</v>
      </c>
      <c r="C45" s="8">
        <v>0</v>
      </c>
      <c r="D45" s="8">
        <v>0</v>
      </c>
      <c r="E45" s="8">
        <v>0</v>
      </c>
      <c r="F45" s="128">
        <v>0</v>
      </c>
      <c r="G45" s="8">
        <v>0</v>
      </c>
      <c r="H45" s="8">
        <v>0</v>
      </c>
      <c r="I45" s="8">
        <v>0</v>
      </c>
      <c r="J45" s="128">
        <v>0</v>
      </c>
      <c r="K45" s="136">
        <f>F45+J45</f>
        <v>0</v>
      </c>
      <c r="L45" s="8">
        <v>0</v>
      </c>
      <c r="M45" s="8">
        <v>0</v>
      </c>
      <c r="N45" s="8">
        <v>0</v>
      </c>
      <c r="O45" s="128">
        <v>0</v>
      </c>
      <c r="P45" s="8">
        <v>0</v>
      </c>
      <c r="Q45" s="8">
        <v>0</v>
      </c>
      <c r="R45" s="8">
        <v>0</v>
      </c>
      <c r="S45" s="128">
        <v>0</v>
      </c>
      <c r="T45" s="136">
        <f t="shared" si="29"/>
        <v>0</v>
      </c>
      <c r="U45" s="8">
        <v>0</v>
      </c>
      <c r="V45" s="8">
        <v>0</v>
      </c>
      <c r="W45" s="8">
        <v>0</v>
      </c>
      <c r="X45" s="128">
        <v>0</v>
      </c>
      <c r="Y45" s="8">
        <v>0</v>
      </c>
      <c r="Z45" s="8">
        <v>0</v>
      </c>
      <c r="AA45" s="8">
        <v>0</v>
      </c>
      <c r="AB45" s="128">
        <v>0</v>
      </c>
      <c r="AC45" s="136">
        <v>0</v>
      </c>
      <c r="AD45" s="8">
        <v>0</v>
      </c>
      <c r="AE45" s="8">
        <v>0</v>
      </c>
      <c r="AF45" s="8">
        <v>0</v>
      </c>
      <c r="AG45" s="128">
        <v>0</v>
      </c>
      <c r="AH45" s="8">
        <v>0</v>
      </c>
      <c r="AI45" s="8">
        <v>0</v>
      </c>
      <c r="AJ45" s="8">
        <v>0</v>
      </c>
      <c r="AK45" s="128">
        <v>0</v>
      </c>
      <c r="AL45" s="136">
        <v>0</v>
      </c>
      <c r="AM45" s="8">
        <v>0</v>
      </c>
      <c r="AN45" s="8">
        <v>0</v>
      </c>
      <c r="AO45" s="8">
        <v>0</v>
      </c>
      <c r="AP45" s="128">
        <v>0</v>
      </c>
      <c r="AQ45" s="8">
        <v>0</v>
      </c>
      <c r="AR45" s="8">
        <v>0</v>
      </c>
      <c r="AS45" s="8">
        <v>0</v>
      </c>
      <c r="AT45" s="128">
        <v>0</v>
      </c>
      <c r="AU45" s="136">
        <v>0</v>
      </c>
      <c r="AV45" s="8">
        <v>0</v>
      </c>
      <c r="AW45" s="8">
        <v>0</v>
      </c>
      <c r="AX45" s="8">
        <v>0</v>
      </c>
      <c r="AY45" s="128">
        <v>0</v>
      </c>
      <c r="AZ45" s="8">
        <v>0</v>
      </c>
      <c r="BA45" s="8">
        <v>0</v>
      </c>
      <c r="BB45" s="8">
        <v>0</v>
      </c>
      <c r="BC45" s="128">
        <v>0</v>
      </c>
      <c r="BD45" s="136">
        <v>0</v>
      </c>
    </row>
    <row r="46" spans="1:56" ht="16.5" x14ac:dyDescent="0.25">
      <c r="A46" s="146" t="s">
        <v>73</v>
      </c>
      <c r="B46" s="9" t="s">
        <v>74</v>
      </c>
      <c r="C46" s="8">
        <v>1178745</v>
      </c>
      <c r="D46" s="8">
        <v>1730348</v>
      </c>
      <c r="E46" s="8">
        <v>0</v>
      </c>
      <c r="F46" s="128">
        <f>SUM(C46:E46)</f>
        <v>2909093</v>
      </c>
      <c r="G46" s="8">
        <v>96802</v>
      </c>
      <c r="H46" s="8">
        <v>0</v>
      </c>
      <c r="I46" s="8">
        <v>0</v>
      </c>
      <c r="J46" s="128">
        <f>SUM(G46:I46)</f>
        <v>96802</v>
      </c>
      <c r="K46" s="136">
        <f>F46+J46</f>
        <v>3005895</v>
      </c>
      <c r="L46" s="8">
        <v>1219096</v>
      </c>
      <c r="M46" s="8">
        <v>1446566</v>
      </c>
      <c r="N46" s="8">
        <v>0</v>
      </c>
      <c r="O46" s="128">
        <f>SUM(L46:N46)</f>
        <v>2665662</v>
      </c>
      <c r="P46" s="8">
        <v>0</v>
      </c>
      <c r="Q46" s="8"/>
      <c r="R46" s="8"/>
      <c r="S46" s="128">
        <f>SUM(P46:R46)</f>
        <v>0</v>
      </c>
      <c r="T46" s="136">
        <f t="shared" si="29"/>
        <v>2665662</v>
      </c>
      <c r="U46" s="40">
        <v>1180480</v>
      </c>
      <c r="V46" s="40">
        <v>898866</v>
      </c>
      <c r="W46" s="40">
        <v>570743</v>
      </c>
      <c r="X46" s="128">
        <f>U46+V46+W46</f>
        <v>2650089</v>
      </c>
      <c r="Y46" s="40">
        <v>0</v>
      </c>
      <c r="Z46" s="40">
        <v>0</v>
      </c>
      <c r="AA46" s="40">
        <v>0</v>
      </c>
      <c r="AB46" s="128">
        <f>Y46+Z46+AA46</f>
        <v>0</v>
      </c>
      <c r="AC46" s="136">
        <f>X46+AB46</f>
        <v>2650089</v>
      </c>
      <c r="AD46" s="8">
        <v>1457919</v>
      </c>
      <c r="AE46" s="8">
        <v>847748</v>
      </c>
      <c r="AF46" s="8">
        <v>956396</v>
      </c>
      <c r="AG46" s="128">
        <f>SUM(AD46:AF46)</f>
        <v>3262063</v>
      </c>
      <c r="AH46" s="8">
        <v>0</v>
      </c>
      <c r="AI46" s="8"/>
      <c r="AJ46" s="8"/>
      <c r="AK46" s="128">
        <f>AH46+AI46+AJ46</f>
        <v>0</v>
      </c>
      <c r="AL46" s="136">
        <f>AG46+AK46</f>
        <v>3262063</v>
      </c>
      <c r="AM46" s="8">
        <v>1516217</v>
      </c>
      <c r="AN46" s="8">
        <v>1182247</v>
      </c>
      <c r="AO46" s="8">
        <v>956396</v>
      </c>
      <c r="AP46" s="128">
        <f>SUM(AM46:AO46)</f>
        <v>3654860</v>
      </c>
      <c r="AQ46" s="8">
        <v>0</v>
      </c>
      <c r="AR46" s="8"/>
      <c r="AS46" s="8"/>
      <c r="AT46" s="128">
        <f t="shared" ref="AT46:AT54" si="30">AQ46+AR46+AS46</f>
        <v>0</v>
      </c>
      <c r="AU46" s="136">
        <f t="shared" ref="AU46:AU75" si="31">AP46+AT46</f>
        <v>3654860</v>
      </c>
      <c r="AV46" s="8">
        <v>1594738</v>
      </c>
      <c r="AW46" s="8">
        <v>847748</v>
      </c>
      <c r="AX46" s="8">
        <v>956396</v>
      </c>
      <c r="AY46" s="128">
        <f>SUM(AV46:AX46)</f>
        <v>3398882</v>
      </c>
      <c r="AZ46" s="8">
        <v>0</v>
      </c>
      <c r="BA46" s="8"/>
      <c r="BB46" s="8"/>
      <c r="BC46" s="128">
        <f t="shared" si="5"/>
        <v>0</v>
      </c>
      <c r="BD46" s="136">
        <f t="shared" si="6"/>
        <v>3398882</v>
      </c>
    </row>
    <row r="47" spans="1:56" ht="16.5" x14ac:dyDescent="0.25">
      <c r="A47" s="96" t="s">
        <v>75</v>
      </c>
      <c r="B47" s="97"/>
      <c r="C47" s="5">
        <v>2913800</v>
      </c>
      <c r="D47" s="5">
        <v>1787820</v>
      </c>
      <c r="E47" s="5">
        <v>2304270</v>
      </c>
      <c r="F47" s="127">
        <v>7005890</v>
      </c>
      <c r="G47" s="5">
        <v>450000</v>
      </c>
      <c r="H47" s="5">
        <v>0</v>
      </c>
      <c r="I47" s="5">
        <v>0</v>
      </c>
      <c r="J47" s="127">
        <v>450000</v>
      </c>
      <c r="K47" s="136">
        <v>7455890</v>
      </c>
      <c r="L47" s="5">
        <f>L48+L49+L50</f>
        <v>1757705</v>
      </c>
      <c r="M47" s="5">
        <f t="shared" ref="M47:S47" si="32">M48+M49+M50</f>
        <v>3652088</v>
      </c>
      <c r="N47" s="5">
        <f t="shared" si="32"/>
        <v>1253000</v>
      </c>
      <c r="O47" s="127">
        <f t="shared" si="32"/>
        <v>6662793</v>
      </c>
      <c r="P47" s="5">
        <f t="shared" si="32"/>
        <v>400000</v>
      </c>
      <c r="Q47" s="5">
        <f t="shared" si="32"/>
        <v>165000</v>
      </c>
      <c r="R47" s="5">
        <f t="shared" si="32"/>
        <v>0</v>
      </c>
      <c r="S47" s="127">
        <f t="shared" si="32"/>
        <v>565000</v>
      </c>
      <c r="T47" s="136">
        <f t="shared" si="29"/>
        <v>7227793</v>
      </c>
      <c r="U47" s="5">
        <v>1818794</v>
      </c>
      <c r="V47" s="5">
        <v>3904088</v>
      </c>
      <c r="W47" s="5">
        <v>1001000</v>
      </c>
      <c r="X47" s="127">
        <v>6723882</v>
      </c>
      <c r="Y47" s="5">
        <v>300000</v>
      </c>
      <c r="Z47" s="5">
        <v>165000</v>
      </c>
      <c r="AA47" s="5">
        <v>0</v>
      </c>
      <c r="AB47" s="127">
        <v>465000</v>
      </c>
      <c r="AC47" s="136">
        <v>7188882</v>
      </c>
      <c r="AD47" s="5">
        <f>AD48+AD49+AD50+0</f>
        <v>2751406</v>
      </c>
      <c r="AE47" s="5">
        <f t="shared" ref="AE47:BD47" si="33">AE48+AE49+AE50+0</f>
        <v>4365768</v>
      </c>
      <c r="AF47" s="5">
        <f t="shared" si="33"/>
        <v>196000</v>
      </c>
      <c r="AG47" s="127">
        <f t="shared" si="33"/>
        <v>7313174</v>
      </c>
      <c r="AH47" s="5">
        <f t="shared" si="33"/>
        <v>700000</v>
      </c>
      <c r="AI47" s="5">
        <f t="shared" si="33"/>
        <v>165000</v>
      </c>
      <c r="AJ47" s="5">
        <f t="shared" si="33"/>
        <v>0</v>
      </c>
      <c r="AK47" s="127">
        <f t="shared" si="33"/>
        <v>865000</v>
      </c>
      <c r="AL47" s="136">
        <f t="shared" si="33"/>
        <v>8178174</v>
      </c>
      <c r="AM47" s="5">
        <f t="shared" si="33"/>
        <v>2835716</v>
      </c>
      <c r="AN47" s="5">
        <f t="shared" si="33"/>
        <v>4365768</v>
      </c>
      <c r="AO47" s="5">
        <f t="shared" si="33"/>
        <v>196000</v>
      </c>
      <c r="AP47" s="127">
        <f t="shared" si="33"/>
        <v>7397484</v>
      </c>
      <c r="AQ47" s="5">
        <f t="shared" si="33"/>
        <v>700000</v>
      </c>
      <c r="AR47" s="5">
        <f t="shared" si="33"/>
        <v>165000</v>
      </c>
      <c r="AS47" s="5">
        <f t="shared" si="33"/>
        <v>0</v>
      </c>
      <c r="AT47" s="127">
        <f t="shared" si="33"/>
        <v>865000</v>
      </c>
      <c r="AU47" s="136">
        <f t="shared" si="33"/>
        <v>8262484</v>
      </c>
      <c r="AV47" s="5">
        <f t="shared" si="33"/>
        <v>2931834</v>
      </c>
      <c r="AW47" s="5">
        <f t="shared" si="33"/>
        <v>4365768</v>
      </c>
      <c r="AX47" s="5">
        <f t="shared" si="33"/>
        <v>196000</v>
      </c>
      <c r="AY47" s="127">
        <f t="shared" si="33"/>
        <v>7493602</v>
      </c>
      <c r="AZ47" s="5">
        <f t="shared" si="33"/>
        <v>700000</v>
      </c>
      <c r="BA47" s="5">
        <f t="shared" si="33"/>
        <v>165000</v>
      </c>
      <c r="BB47" s="5">
        <f t="shared" si="33"/>
        <v>0</v>
      </c>
      <c r="BC47" s="127">
        <f t="shared" si="33"/>
        <v>865000</v>
      </c>
      <c r="BD47" s="136">
        <f t="shared" si="33"/>
        <v>8358602</v>
      </c>
    </row>
    <row r="48" spans="1:56" ht="16.5" x14ac:dyDescent="0.3">
      <c r="A48" s="145" t="s">
        <v>76</v>
      </c>
      <c r="B48" s="9" t="s">
        <v>77</v>
      </c>
      <c r="C48" s="8">
        <v>2058687</v>
      </c>
      <c r="D48" s="8">
        <v>904677</v>
      </c>
      <c r="E48" s="8">
        <v>975413</v>
      </c>
      <c r="F48" s="128">
        <f>SUM(C48:E48)</f>
        <v>3938777</v>
      </c>
      <c r="G48" s="8">
        <v>423000</v>
      </c>
      <c r="H48" s="8"/>
      <c r="I48" s="8"/>
      <c r="J48" s="128">
        <f>SUM(G48:I48)</f>
        <v>423000</v>
      </c>
      <c r="K48" s="136">
        <f>F48+J48</f>
        <v>4361777</v>
      </c>
      <c r="L48" s="8">
        <v>854474</v>
      </c>
      <c r="M48" s="8">
        <v>2525058</v>
      </c>
      <c r="N48" s="8">
        <v>478000</v>
      </c>
      <c r="O48" s="128">
        <f>SUM(L48:N48)</f>
        <v>3857532</v>
      </c>
      <c r="P48" s="8">
        <v>373000</v>
      </c>
      <c r="Q48" s="8">
        <v>0</v>
      </c>
      <c r="R48" s="8">
        <v>0</v>
      </c>
      <c r="S48" s="128">
        <f>SUM(P48:R48)</f>
        <v>373000</v>
      </c>
      <c r="T48" s="136">
        <f t="shared" si="29"/>
        <v>4230532</v>
      </c>
      <c r="U48" s="33">
        <v>1037723</v>
      </c>
      <c r="V48" s="33">
        <v>2957058</v>
      </c>
      <c r="W48" s="33">
        <v>46000</v>
      </c>
      <c r="X48" s="128">
        <f>SUM(U48:W48)</f>
        <v>4040781</v>
      </c>
      <c r="Y48" s="33">
        <v>173000</v>
      </c>
      <c r="Z48" s="33">
        <v>0</v>
      </c>
      <c r="AA48" s="33">
        <v>0</v>
      </c>
      <c r="AB48" s="128">
        <f>Y48+Z48+AA48</f>
        <v>173000</v>
      </c>
      <c r="AC48" s="136">
        <f>X48+AB48</f>
        <v>4213781</v>
      </c>
      <c r="AD48" s="23">
        <v>1576446</v>
      </c>
      <c r="AE48" s="8">
        <v>2893738</v>
      </c>
      <c r="AF48" s="8">
        <v>46000</v>
      </c>
      <c r="AG48" s="128">
        <f>SUM(AD48:AF48)</f>
        <v>4516184</v>
      </c>
      <c r="AH48" s="8">
        <v>223000</v>
      </c>
      <c r="AI48" s="8">
        <v>0</v>
      </c>
      <c r="AJ48" s="8">
        <v>0</v>
      </c>
      <c r="AK48" s="128">
        <f>AH48+AI48+AJ48</f>
        <v>223000</v>
      </c>
      <c r="AL48" s="136">
        <f>AG48+AK48</f>
        <v>4739184</v>
      </c>
      <c r="AM48" s="23">
        <v>1625761</v>
      </c>
      <c r="AN48" s="8">
        <v>2893738</v>
      </c>
      <c r="AO48" s="8">
        <v>46000</v>
      </c>
      <c r="AP48" s="128">
        <f>SUM(AM48:AO48)</f>
        <v>4565499</v>
      </c>
      <c r="AQ48" s="8">
        <v>223000</v>
      </c>
      <c r="AR48" s="8">
        <v>0</v>
      </c>
      <c r="AS48" s="8">
        <v>0</v>
      </c>
      <c r="AT48" s="128">
        <f t="shared" si="30"/>
        <v>223000</v>
      </c>
      <c r="AU48" s="136">
        <f t="shared" si="31"/>
        <v>4788499</v>
      </c>
      <c r="AV48" s="23">
        <v>1681983</v>
      </c>
      <c r="AW48" s="8">
        <v>2893738</v>
      </c>
      <c r="AX48" s="8">
        <v>46000</v>
      </c>
      <c r="AY48" s="128">
        <f>SUM(AV48:AX48)</f>
        <v>4621721</v>
      </c>
      <c r="AZ48" s="8">
        <v>223000</v>
      </c>
      <c r="BA48" s="8">
        <v>0</v>
      </c>
      <c r="BB48" s="8">
        <v>0</v>
      </c>
      <c r="BC48" s="128">
        <f t="shared" si="5"/>
        <v>223000</v>
      </c>
      <c r="BD48" s="136">
        <f t="shared" si="6"/>
        <v>4844721</v>
      </c>
    </row>
    <row r="49" spans="1:56" ht="16.5" x14ac:dyDescent="0.3">
      <c r="A49" s="145" t="s">
        <v>78</v>
      </c>
      <c r="B49" s="9" t="s">
        <v>79</v>
      </c>
      <c r="C49" s="23">
        <v>171934</v>
      </c>
      <c r="D49" s="8">
        <v>350000</v>
      </c>
      <c r="E49" s="8">
        <v>675000</v>
      </c>
      <c r="F49" s="128">
        <f>SUM(C49:E49)</f>
        <v>1196934</v>
      </c>
      <c r="G49" s="8">
        <v>0</v>
      </c>
      <c r="H49" s="8"/>
      <c r="I49" s="8"/>
      <c r="J49" s="128">
        <f>SUM(G49:I49)</f>
        <v>0</v>
      </c>
      <c r="K49" s="136">
        <f>F49+J49</f>
        <v>1196934</v>
      </c>
      <c r="L49" s="23">
        <v>155411</v>
      </c>
      <c r="M49" s="8">
        <v>450000</v>
      </c>
      <c r="N49" s="8">
        <v>300000</v>
      </c>
      <c r="O49" s="128">
        <f>SUM(L49:N49)</f>
        <v>905411</v>
      </c>
      <c r="P49" s="8">
        <v>0</v>
      </c>
      <c r="Q49" s="8">
        <v>0</v>
      </c>
      <c r="R49" s="8">
        <v>0</v>
      </c>
      <c r="S49" s="128">
        <f>SUM(P49:R49)</f>
        <v>0</v>
      </c>
      <c r="T49" s="136">
        <f t="shared" si="29"/>
        <v>905411</v>
      </c>
      <c r="U49" s="35">
        <v>137614</v>
      </c>
      <c r="V49" s="35">
        <v>370000</v>
      </c>
      <c r="W49" s="35">
        <v>530000</v>
      </c>
      <c r="X49" s="128">
        <f>SUM(U49:W49)</f>
        <v>1037614</v>
      </c>
      <c r="Y49" s="35">
        <v>0</v>
      </c>
      <c r="Z49" s="35">
        <v>0</v>
      </c>
      <c r="AA49" s="35">
        <v>0</v>
      </c>
      <c r="AB49" s="128">
        <f>Y49+Z49+AA49</f>
        <v>0</v>
      </c>
      <c r="AC49" s="136">
        <f>X49+AB49</f>
        <v>1037614</v>
      </c>
      <c r="AD49" s="23">
        <v>290761</v>
      </c>
      <c r="AE49" s="23">
        <v>595000</v>
      </c>
      <c r="AF49" s="23">
        <v>150000</v>
      </c>
      <c r="AG49" s="128">
        <f>SUM(AD49:AF49)</f>
        <v>1035761</v>
      </c>
      <c r="AH49" s="8">
        <v>0</v>
      </c>
      <c r="AI49" s="8">
        <v>0</v>
      </c>
      <c r="AJ49" s="8">
        <v>0</v>
      </c>
      <c r="AK49" s="128">
        <f>AH49+AI49+AJ49</f>
        <v>0</v>
      </c>
      <c r="AL49" s="136">
        <f>AG49+AK49</f>
        <v>1035761</v>
      </c>
      <c r="AM49" s="23">
        <v>299184</v>
      </c>
      <c r="AN49" s="23">
        <v>595000</v>
      </c>
      <c r="AO49" s="23">
        <v>150000</v>
      </c>
      <c r="AP49" s="128">
        <f>SUM(AM49:AO49)</f>
        <v>1044184</v>
      </c>
      <c r="AQ49" s="8">
        <v>0</v>
      </c>
      <c r="AR49" s="8">
        <v>0</v>
      </c>
      <c r="AS49" s="8">
        <v>0</v>
      </c>
      <c r="AT49" s="128">
        <f t="shared" si="30"/>
        <v>0</v>
      </c>
      <c r="AU49" s="136">
        <f t="shared" si="31"/>
        <v>1044184</v>
      </c>
      <c r="AV49" s="8">
        <v>308787</v>
      </c>
      <c r="AW49" s="8">
        <v>595000</v>
      </c>
      <c r="AX49" s="8">
        <v>150000</v>
      </c>
      <c r="AY49" s="128">
        <f>SUM(AV49:AX49)</f>
        <v>1053787</v>
      </c>
      <c r="AZ49" s="8">
        <v>0</v>
      </c>
      <c r="BA49" s="8">
        <v>0</v>
      </c>
      <c r="BB49" s="8">
        <v>0</v>
      </c>
      <c r="BC49" s="128">
        <f t="shared" si="5"/>
        <v>0</v>
      </c>
      <c r="BD49" s="136">
        <f t="shared" si="6"/>
        <v>1053787</v>
      </c>
    </row>
    <row r="50" spans="1:56" ht="16.5" x14ac:dyDescent="0.25">
      <c r="A50" s="146" t="s">
        <v>80</v>
      </c>
      <c r="B50" s="9" t="s">
        <v>81</v>
      </c>
      <c r="C50" s="8">
        <v>683179</v>
      </c>
      <c r="D50" s="8">
        <v>533143</v>
      </c>
      <c r="E50" s="8">
        <v>653857</v>
      </c>
      <c r="F50" s="128">
        <f>SUM(C50:E50)</f>
        <v>1870179</v>
      </c>
      <c r="G50" s="8">
        <v>27000</v>
      </c>
      <c r="H50" s="8"/>
      <c r="I50" s="8"/>
      <c r="J50" s="128">
        <f>SUM(G50:I50)</f>
        <v>27000</v>
      </c>
      <c r="K50" s="136">
        <f>F50+J50</f>
        <v>1897179</v>
      </c>
      <c r="L50" s="8">
        <v>747820</v>
      </c>
      <c r="M50" s="8">
        <v>677030</v>
      </c>
      <c r="N50" s="8">
        <v>475000</v>
      </c>
      <c r="O50" s="128">
        <f>SUM(L50:N50)</f>
        <v>1899850</v>
      </c>
      <c r="P50" s="8">
        <v>27000</v>
      </c>
      <c r="Q50" s="28">
        <v>165000</v>
      </c>
      <c r="R50" s="8">
        <v>0</v>
      </c>
      <c r="S50" s="128">
        <f>SUM(P50:R50)</f>
        <v>192000</v>
      </c>
      <c r="T50" s="136">
        <f t="shared" si="29"/>
        <v>2091850</v>
      </c>
      <c r="U50" s="40">
        <v>643457</v>
      </c>
      <c r="V50" s="40">
        <v>577030</v>
      </c>
      <c r="W50" s="40">
        <v>425000</v>
      </c>
      <c r="X50" s="128">
        <f>SUM(U50:W50)</f>
        <v>1645487</v>
      </c>
      <c r="Y50" s="40">
        <v>127000</v>
      </c>
      <c r="Z50" s="40">
        <v>165000</v>
      </c>
      <c r="AA50" s="40">
        <v>0</v>
      </c>
      <c r="AB50" s="128">
        <f>Y50+Z50+AA50</f>
        <v>292000</v>
      </c>
      <c r="AC50" s="136">
        <f>X50+AB50</f>
        <v>1937487</v>
      </c>
      <c r="AD50" s="44">
        <v>884199</v>
      </c>
      <c r="AE50" s="44">
        <v>877030</v>
      </c>
      <c r="AF50" s="44">
        <v>0</v>
      </c>
      <c r="AG50" s="128">
        <f>SUM(AD50:AF50)</f>
        <v>1761229</v>
      </c>
      <c r="AH50" s="44">
        <v>477000</v>
      </c>
      <c r="AI50" s="28">
        <v>165000</v>
      </c>
      <c r="AJ50" s="8">
        <v>0</v>
      </c>
      <c r="AK50" s="128">
        <f>AH50+AI50+AJ50</f>
        <v>642000</v>
      </c>
      <c r="AL50" s="136">
        <f>AG50+AK50</f>
        <v>2403229</v>
      </c>
      <c r="AM50" s="44">
        <v>910771</v>
      </c>
      <c r="AN50" s="44">
        <v>877030</v>
      </c>
      <c r="AO50" s="44">
        <v>0</v>
      </c>
      <c r="AP50" s="128">
        <f>SUM(AM50:AO50)</f>
        <v>1787801</v>
      </c>
      <c r="AQ50" s="44">
        <v>477000</v>
      </c>
      <c r="AR50" s="28">
        <v>165000</v>
      </c>
      <c r="AS50" s="8">
        <v>0</v>
      </c>
      <c r="AT50" s="128">
        <f t="shared" si="30"/>
        <v>642000</v>
      </c>
      <c r="AU50" s="136">
        <f t="shared" si="31"/>
        <v>2429801</v>
      </c>
      <c r="AV50" s="44">
        <v>941064</v>
      </c>
      <c r="AW50" s="44">
        <v>877030</v>
      </c>
      <c r="AX50" s="44">
        <v>0</v>
      </c>
      <c r="AY50" s="128">
        <f>SUM(AV50:AX50)</f>
        <v>1818094</v>
      </c>
      <c r="AZ50" s="8">
        <v>477000</v>
      </c>
      <c r="BA50" s="28">
        <v>165000</v>
      </c>
      <c r="BB50" s="8">
        <v>0</v>
      </c>
      <c r="BC50" s="128">
        <f t="shared" si="5"/>
        <v>642000</v>
      </c>
      <c r="BD50" s="136">
        <f t="shared" si="6"/>
        <v>2460094</v>
      </c>
    </row>
    <row r="51" spans="1:56" ht="16.5" x14ac:dyDescent="0.25">
      <c r="A51" s="96" t="s">
        <v>82</v>
      </c>
      <c r="B51" s="97"/>
      <c r="C51" s="5">
        <v>24095900</v>
      </c>
      <c r="D51" s="5">
        <v>7183388</v>
      </c>
      <c r="E51" s="5">
        <v>17391842</v>
      </c>
      <c r="F51" s="127">
        <v>48671130</v>
      </c>
      <c r="G51" s="5">
        <v>32600000</v>
      </c>
      <c r="H51" s="5">
        <v>6000000</v>
      </c>
      <c r="I51" s="5">
        <v>22200690</v>
      </c>
      <c r="J51" s="127">
        <v>60800690</v>
      </c>
      <c r="K51" s="136">
        <v>109471820</v>
      </c>
      <c r="L51" s="5">
        <f>L52+L53+L54</f>
        <v>24267045</v>
      </c>
      <c r="M51" s="5">
        <f t="shared" ref="M51:S51" si="34">M52+M53+M54</f>
        <v>11407603</v>
      </c>
      <c r="N51" s="5">
        <f t="shared" si="34"/>
        <v>17268300</v>
      </c>
      <c r="O51" s="127">
        <f t="shared" si="34"/>
        <v>52942948</v>
      </c>
      <c r="P51" s="5">
        <f t="shared" si="34"/>
        <v>15000000</v>
      </c>
      <c r="Q51" s="5">
        <f t="shared" si="34"/>
        <v>11249946</v>
      </c>
      <c r="R51" s="5">
        <f t="shared" si="34"/>
        <v>12444133</v>
      </c>
      <c r="S51" s="127">
        <f t="shared" si="34"/>
        <v>38694079</v>
      </c>
      <c r="T51" s="136">
        <f>O51+S51</f>
        <v>91637027</v>
      </c>
      <c r="U51" s="5">
        <v>30679655</v>
      </c>
      <c r="V51" s="5">
        <v>11192020</v>
      </c>
      <c r="W51" s="5">
        <v>17709277</v>
      </c>
      <c r="X51" s="127">
        <v>59580952</v>
      </c>
      <c r="Y51" s="5">
        <v>15140000</v>
      </c>
      <c r="Z51" s="5">
        <v>3983302</v>
      </c>
      <c r="AA51" s="5">
        <v>19395403</v>
      </c>
      <c r="AB51" s="127">
        <v>38518705</v>
      </c>
      <c r="AC51" s="136">
        <v>98099657</v>
      </c>
      <c r="AD51" s="5">
        <f>AD52+AD53+AD54</f>
        <v>40086805</v>
      </c>
      <c r="AE51" s="5">
        <f t="shared" ref="AE51:BD51" si="35">AE52+AE53+AE54</f>
        <v>11003405</v>
      </c>
      <c r="AF51" s="5">
        <f t="shared" si="35"/>
        <v>28232573</v>
      </c>
      <c r="AG51" s="127">
        <f t="shared" si="35"/>
        <v>79322783</v>
      </c>
      <c r="AH51" s="5">
        <f t="shared" si="35"/>
        <v>18000000</v>
      </c>
      <c r="AI51" s="5">
        <f t="shared" si="35"/>
        <v>12231953</v>
      </c>
      <c r="AJ51" s="5">
        <f t="shared" si="35"/>
        <v>16231225</v>
      </c>
      <c r="AK51" s="127">
        <f t="shared" si="35"/>
        <v>46463178</v>
      </c>
      <c r="AL51" s="136">
        <f t="shared" si="35"/>
        <v>125785961</v>
      </c>
      <c r="AM51" s="5">
        <f t="shared" si="35"/>
        <v>46643899</v>
      </c>
      <c r="AN51" s="5">
        <f t="shared" si="35"/>
        <v>15140821</v>
      </c>
      <c r="AO51" s="5">
        <f t="shared" si="35"/>
        <v>24095157</v>
      </c>
      <c r="AP51" s="127">
        <f t="shared" si="35"/>
        <v>85879877</v>
      </c>
      <c r="AQ51" s="5">
        <f t="shared" si="35"/>
        <v>18000000</v>
      </c>
      <c r="AR51" s="5">
        <f t="shared" si="35"/>
        <v>22194138</v>
      </c>
      <c r="AS51" s="5">
        <f t="shared" si="35"/>
        <v>11434289</v>
      </c>
      <c r="AT51" s="127">
        <f t="shared" si="35"/>
        <v>51628427</v>
      </c>
      <c r="AU51" s="136">
        <f t="shared" si="35"/>
        <v>137508304</v>
      </c>
      <c r="AV51" s="5">
        <f t="shared" si="35"/>
        <v>55122890</v>
      </c>
      <c r="AW51" s="5">
        <f t="shared" si="35"/>
        <v>15140821</v>
      </c>
      <c r="AX51" s="5">
        <f t="shared" si="35"/>
        <v>24095157</v>
      </c>
      <c r="AY51" s="127">
        <f t="shared" si="35"/>
        <v>94358868</v>
      </c>
      <c r="AZ51" s="5">
        <f t="shared" si="35"/>
        <v>22000000</v>
      </c>
      <c r="BA51" s="5">
        <f t="shared" si="35"/>
        <v>34191587</v>
      </c>
      <c r="BB51" s="5">
        <f t="shared" si="35"/>
        <v>12299696</v>
      </c>
      <c r="BC51" s="127">
        <f t="shared" si="35"/>
        <v>68491283</v>
      </c>
      <c r="BD51" s="136">
        <f t="shared" si="35"/>
        <v>162850151</v>
      </c>
    </row>
    <row r="52" spans="1:56" ht="16.5" x14ac:dyDescent="0.25">
      <c r="A52" s="145" t="s">
        <v>83</v>
      </c>
      <c r="B52" s="9" t="s">
        <v>84</v>
      </c>
      <c r="C52" s="8">
        <v>2602644</v>
      </c>
      <c r="D52" s="8">
        <v>550000</v>
      </c>
      <c r="E52" s="8">
        <f>7117172-186559</f>
        <v>6930613</v>
      </c>
      <c r="F52" s="128">
        <f>SUM(C52:E52)</f>
        <v>10083257</v>
      </c>
      <c r="G52" s="8">
        <v>13799223</v>
      </c>
      <c r="H52" s="8">
        <f>1609000+1813220+445000+288000+200000+54000</f>
        <v>4409220</v>
      </c>
      <c r="I52" s="8">
        <v>12100690</v>
      </c>
      <c r="J52" s="128">
        <f>SUM(G52:I52)</f>
        <v>30309133</v>
      </c>
      <c r="K52" s="136">
        <f>F52+J52</f>
        <v>40392390</v>
      </c>
      <c r="L52" s="8">
        <v>2307888</v>
      </c>
      <c r="M52" s="8">
        <v>357000</v>
      </c>
      <c r="N52" s="8">
        <v>6633000</v>
      </c>
      <c r="O52" s="128">
        <f>SUM(L52:N52)</f>
        <v>9297888</v>
      </c>
      <c r="P52" s="8">
        <v>5752000</v>
      </c>
      <c r="Q52" s="8">
        <v>150000</v>
      </c>
      <c r="R52" s="8">
        <v>8694000</v>
      </c>
      <c r="S52" s="128">
        <f>SUM(P52:R52)</f>
        <v>14596000</v>
      </c>
      <c r="T52" s="136">
        <f t="shared" ref="T52:T64" si="36">O52+S52</f>
        <v>23893888</v>
      </c>
      <c r="U52" s="35">
        <v>3388812</v>
      </c>
      <c r="V52" s="35">
        <v>394400</v>
      </c>
      <c r="W52" s="35">
        <v>6931014</v>
      </c>
      <c r="X52" s="128">
        <f>SUM(U52:W52)</f>
        <v>10714226</v>
      </c>
      <c r="Y52" s="35">
        <f>5100000+550000</f>
        <v>5650000</v>
      </c>
      <c r="Z52" s="35">
        <v>2977500</v>
      </c>
      <c r="AA52" s="35">
        <v>0</v>
      </c>
      <c r="AB52" s="128">
        <f>Y52+Z52+AA52</f>
        <v>8627500</v>
      </c>
      <c r="AC52" s="136">
        <f>X52+AB52</f>
        <v>19341726</v>
      </c>
      <c r="AD52" s="8">
        <v>1567225</v>
      </c>
      <c r="AE52" s="8">
        <v>216031</v>
      </c>
      <c r="AF52" s="8">
        <v>7182014</v>
      </c>
      <c r="AG52" s="128">
        <f>SUM(AD52:AF52)</f>
        <v>8965270</v>
      </c>
      <c r="AH52" s="8">
        <v>6590000</v>
      </c>
      <c r="AI52" s="8">
        <v>11731953</v>
      </c>
      <c r="AJ52" s="71">
        <v>0</v>
      </c>
      <c r="AK52" s="128">
        <f>AH52+AI52</f>
        <v>18321953</v>
      </c>
      <c r="AL52" s="136">
        <f>AG52+AK52</f>
        <v>27287223</v>
      </c>
      <c r="AM52" s="8">
        <v>5930054</v>
      </c>
      <c r="AN52" s="8">
        <v>1694401</v>
      </c>
      <c r="AO52" s="8">
        <v>8538894</v>
      </c>
      <c r="AP52" s="128">
        <f>SUM(AM52:AO52)</f>
        <v>16163349</v>
      </c>
      <c r="AQ52" s="8">
        <v>15484000</v>
      </c>
      <c r="AR52" s="8">
        <v>13300138</v>
      </c>
      <c r="AT52" s="128">
        <f>AQ52+AR52+AS52</f>
        <v>28784138</v>
      </c>
      <c r="AU52" s="136">
        <f t="shared" si="31"/>
        <v>44947487</v>
      </c>
      <c r="AV52" s="8">
        <v>7041518</v>
      </c>
      <c r="AW52" s="8">
        <v>1694401</v>
      </c>
      <c r="AX52" s="8">
        <v>8538894</v>
      </c>
      <c r="AY52" s="128">
        <f>SUM(AV52:AX52)</f>
        <v>17274813</v>
      </c>
      <c r="AZ52" s="8">
        <v>18600000</v>
      </c>
      <c r="BA52" s="8">
        <v>34191587</v>
      </c>
      <c r="BB52" s="8">
        <v>0</v>
      </c>
      <c r="BC52" s="128">
        <f>AZ52+BA52+BB52</f>
        <v>52791587</v>
      </c>
      <c r="BD52" s="136">
        <f t="shared" si="6"/>
        <v>70066400</v>
      </c>
    </row>
    <row r="53" spans="1:56" ht="16.5" x14ac:dyDescent="0.25">
      <c r="A53" s="145" t="s">
        <v>85</v>
      </c>
      <c r="B53" s="9" t="s">
        <v>86</v>
      </c>
      <c r="C53" s="8">
        <v>1909086</v>
      </c>
      <c r="D53" s="8">
        <v>395000</v>
      </c>
      <c r="E53" s="8">
        <v>5354367</v>
      </c>
      <c r="F53" s="128">
        <f>SUM(C53:E53)</f>
        <v>7658453</v>
      </c>
      <c r="G53" s="8">
        <v>8516777</v>
      </c>
      <c r="H53" s="8">
        <f>400000+1190780</f>
        <v>1590780</v>
      </c>
      <c r="I53" s="8">
        <v>10100000</v>
      </c>
      <c r="J53" s="128">
        <f>SUM(G53:I53)</f>
        <v>20207557</v>
      </c>
      <c r="K53" s="136">
        <f>F53+J53</f>
        <v>27866010</v>
      </c>
      <c r="L53" s="8">
        <v>1206535</v>
      </c>
      <c r="M53" s="8">
        <v>105000</v>
      </c>
      <c r="N53" s="8">
        <v>7900000</v>
      </c>
      <c r="O53" s="128">
        <f>SUM(L53:N53)</f>
        <v>9211535</v>
      </c>
      <c r="P53" s="8">
        <v>8580000</v>
      </c>
      <c r="Q53" s="28">
        <v>11099946</v>
      </c>
      <c r="R53" s="8">
        <v>3750133</v>
      </c>
      <c r="S53" s="128">
        <f>SUM(P53:R53)</f>
        <v>23430079</v>
      </c>
      <c r="T53" s="136">
        <f t="shared" si="36"/>
        <v>32641614</v>
      </c>
      <c r="U53" s="40">
        <v>889960</v>
      </c>
      <c r="V53" s="40">
        <v>105000</v>
      </c>
      <c r="W53" s="40">
        <v>8481964</v>
      </c>
      <c r="X53" s="128">
        <f>SUM(U53:W53)</f>
        <v>9476924</v>
      </c>
      <c r="Y53" s="40">
        <f>2780000+6110000</f>
        <v>8890000</v>
      </c>
      <c r="Z53" s="40">
        <v>1005802</v>
      </c>
      <c r="AA53" s="40">
        <v>19395403</v>
      </c>
      <c r="AB53" s="128">
        <f>Y53+Z53+AA53</f>
        <v>29291205</v>
      </c>
      <c r="AC53" s="136">
        <f>X53+AB53</f>
        <v>38768129</v>
      </c>
      <c r="AD53" s="8">
        <v>331041</v>
      </c>
      <c r="AE53" s="8">
        <v>249719</v>
      </c>
      <c r="AF53" s="8">
        <v>14710562</v>
      </c>
      <c r="AG53" s="128">
        <f>SUM(AD53:AF53)</f>
        <v>15291322</v>
      </c>
      <c r="AH53" s="8">
        <v>10110000</v>
      </c>
      <c r="AI53" s="8">
        <v>0</v>
      </c>
      <c r="AJ53" s="8">
        <v>10798268</v>
      </c>
      <c r="AK53" s="128">
        <f>AH53+AI53+AJ53</f>
        <v>20908268</v>
      </c>
      <c r="AL53" s="136">
        <f>AG53+AK53</f>
        <v>36199590</v>
      </c>
      <c r="AM53" s="8">
        <v>4384718</v>
      </c>
      <c r="AN53" s="8">
        <v>605001</v>
      </c>
      <c r="AO53" s="8">
        <v>11359964</v>
      </c>
      <c r="AP53" s="128">
        <f>SUM(AM53:AO53)</f>
        <v>16349683</v>
      </c>
      <c r="AQ53" s="8">
        <v>1216000</v>
      </c>
      <c r="AR53" s="8">
        <v>8894000</v>
      </c>
      <c r="AS53" s="8">
        <v>11434289</v>
      </c>
      <c r="AT53" s="128">
        <f>AQ53+AR53+AS53</f>
        <v>21544289</v>
      </c>
      <c r="AU53" s="136">
        <f t="shared" si="31"/>
        <v>37893972</v>
      </c>
      <c r="AV53" s="8">
        <v>5206541</v>
      </c>
      <c r="AW53" s="8">
        <v>605000</v>
      </c>
      <c r="AX53" s="8">
        <v>11359964</v>
      </c>
      <c r="AY53" s="128">
        <f>SUM(AV53:AX53)</f>
        <v>17171505</v>
      </c>
      <c r="AZ53" s="8">
        <v>1300000</v>
      </c>
      <c r="BA53" s="8">
        <v>0</v>
      </c>
      <c r="BB53" s="8">
        <v>12299696</v>
      </c>
      <c r="BC53" s="128">
        <f t="shared" si="5"/>
        <v>13599696</v>
      </c>
      <c r="BD53" s="136">
        <f t="shared" si="6"/>
        <v>30771201</v>
      </c>
    </row>
    <row r="54" spans="1:56" ht="16.5" x14ac:dyDescent="0.25">
      <c r="A54" s="145" t="s">
        <v>87</v>
      </c>
      <c r="B54" s="9" t="s">
        <v>88</v>
      </c>
      <c r="C54" s="8">
        <v>19584170</v>
      </c>
      <c r="D54" s="8">
        <v>6238388</v>
      </c>
      <c r="E54" s="8">
        <v>5106862</v>
      </c>
      <c r="F54" s="128">
        <f>SUM(C54:E54)</f>
        <v>30929420</v>
      </c>
      <c r="G54" s="8">
        <v>10284000</v>
      </c>
      <c r="H54" s="8">
        <v>0</v>
      </c>
      <c r="I54" s="8"/>
      <c r="J54" s="128">
        <f>SUM(G54:I54)</f>
        <v>10284000</v>
      </c>
      <c r="K54" s="136">
        <f>F54+J54</f>
        <v>41213420</v>
      </c>
      <c r="L54" s="8">
        <v>20752622</v>
      </c>
      <c r="M54" s="8">
        <v>10945603</v>
      </c>
      <c r="N54" s="8">
        <v>2735300</v>
      </c>
      <c r="O54" s="128">
        <f>SUM(L54:N54)</f>
        <v>34433525</v>
      </c>
      <c r="P54" s="8">
        <v>668000</v>
      </c>
      <c r="Q54" s="8">
        <v>0</v>
      </c>
      <c r="R54" s="8"/>
      <c r="S54" s="128">
        <f>SUM(P54:R54)</f>
        <v>668000</v>
      </c>
      <c r="T54" s="136">
        <f t="shared" si="36"/>
        <v>35101525</v>
      </c>
      <c r="U54" s="33">
        <v>26400883</v>
      </c>
      <c r="V54" s="33">
        <v>10692620</v>
      </c>
      <c r="W54" s="33">
        <v>2296299</v>
      </c>
      <c r="X54" s="128">
        <f>SUM(U54:W54)</f>
        <v>39389802</v>
      </c>
      <c r="Y54" s="33">
        <v>600000</v>
      </c>
      <c r="Z54" s="33">
        <v>0</v>
      </c>
      <c r="AA54" s="33">
        <v>0</v>
      </c>
      <c r="AB54" s="128">
        <f>Y54+Z54+AA54</f>
        <v>600000</v>
      </c>
      <c r="AC54" s="136">
        <f>X54+AB54</f>
        <v>39989802</v>
      </c>
      <c r="AD54" s="8">
        <v>38188539</v>
      </c>
      <c r="AE54" s="8">
        <v>10537655</v>
      </c>
      <c r="AF54" s="8">
        <v>6339997</v>
      </c>
      <c r="AG54" s="128">
        <f>SUM(AD54:AF54)</f>
        <v>55066191</v>
      </c>
      <c r="AH54" s="8">
        <v>1300000</v>
      </c>
      <c r="AI54" s="8">
        <v>500000</v>
      </c>
      <c r="AJ54" s="8">
        <v>5432957</v>
      </c>
      <c r="AK54" s="128">
        <f>AH54+AI54+AJ54</f>
        <v>7232957</v>
      </c>
      <c r="AL54" s="136">
        <f>AG54+AK54</f>
        <v>62299148</v>
      </c>
      <c r="AM54" s="8">
        <v>36329127</v>
      </c>
      <c r="AN54" s="8">
        <v>12841419</v>
      </c>
      <c r="AO54" s="8">
        <v>4196299</v>
      </c>
      <c r="AP54" s="128">
        <f>SUM(AM54:AO54)</f>
        <v>53366845</v>
      </c>
      <c r="AQ54" s="8">
        <v>1300000</v>
      </c>
      <c r="AR54" s="8">
        <v>0</v>
      </c>
      <c r="AS54" s="8"/>
      <c r="AT54" s="128">
        <f t="shared" si="30"/>
        <v>1300000</v>
      </c>
      <c r="AU54" s="136">
        <f t="shared" si="31"/>
        <v>54666845</v>
      </c>
      <c r="AV54" s="8">
        <v>42874831</v>
      </c>
      <c r="AW54" s="8">
        <v>12841420</v>
      </c>
      <c r="AX54" s="8">
        <v>4196299</v>
      </c>
      <c r="AY54" s="128">
        <f>SUM(AV54:AX54)</f>
        <v>59912550</v>
      </c>
      <c r="AZ54" s="8">
        <v>2100000</v>
      </c>
      <c r="BA54" s="8"/>
      <c r="BB54" s="8"/>
      <c r="BC54" s="128">
        <f t="shared" si="5"/>
        <v>2100000</v>
      </c>
      <c r="BD54" s="136">
        <f t="shared" si="6"/>
        <v>62012550</v>
      </c>
    </row>
    <row r="55" spans="1:56" ht="16.5" x14ac:dyDescent="0.25">
      <c r="A55" s="96" t="s">
        <v>89</v>
      </c>
      <c r="B55" s="97"/>
      <c r="C55" s="5">
        <v>28031000</v>
      </c>
      <c r="D55" s="5">
        <v>890425</v>
      </c>
      <c r="E55" s="5">
        <v>14764642</v>
      </c>
      <c r="F55" s="127">
        <v>43686067</v>
      </c>
      <c r="G55" s="5">
        <v>11500000</v>
      </c>
      <c r="H55" s="5">
        <v>0</v>
      </c>
      <c r="I55" s="5">
        <v>2500000</v>
      </c>
      <c r="J55" s="127">
        <v>14000000</v>
      </c>
      <c r="K55" s="136">
        <v>57686067</v>
      </c>
      <c r="L55" s="5">
        <f>L56+L57+L58+L59</f>
        <v>27765295</v>
      </c>
      <c r="M55" s="5">
        <f t="shared" ref="M55:S55" si="37">M56+M57+M58+M59</f>
        <v>3585168</v>
      </c>
      <c r="N55" s="5">
        <f t="shared" si="37"/>
        <v>21164000</v>
      </c>
      <c r="O55" s="127">
        <f t="shared" si="37"/>
        <v>52514463</v>
      </c>
      <c r="P55" s="5">
        <f t="shared" si="37"/>
        <v>17000000</v>
      </c>
      <c r="Q55" s="5">
        <f t="shared" si="37"/>
        <v>0</v>
      </c>
      <c r="R55" s="5">
        <f t="shared" si="37"/>
        <v>5732502</v>
      </c>
      <c r="S55" s="127">
        <f t="shared" si="37"/>
        <v>22732502</v>
      </c>
      <c r="T55" s="136">
        <f t="shared" si="36"/>
        <v>75246965</v>
      </c>
      <c r="U55" s="5">
        <v>27269884</v>
      </c>
      <c r="V55" s="5">
        <v>4392169</v>
      </c>
      <c r="W55" s="5">
        <v>20357000</v>
      </c>
      <c r="X55" s="127">
        <v>52019053</v>
      </c>
      <c r="Y55" s="5">
        <v>12280722</v>
      </c>
      <c r="Z55" s="5">
        <v>1000000</v>
      </c>
      <c r="AA55" s="5">
        <v>6222435</v>
      </c>
      <c r="AB55" s="127">
        <v>19503157</v>
      </c>
      <c r="AC55" s="136">
        <v>71522210</v>
      </c>
      <c r="AD55" s="5">
        <f>AD56+AD57+AD58+AD59</f>
        <v>36561225</v>
      </c>
      <c r="AE55" s="5">
        <f t="shared" ref="AE55:BD55" si="38">AE56+AE57+AE58+AE59</f>
        <v>4790508</v>
      </c>
      <c r="AF55" s="5">
        <f t="shared" si="38"/>
        <v>21357000</v>
      </c>
      <c r="AG55" s="127">
        <f t="shared" si="38"/>
        <v>62708733</v>
      </c>
      <c r="AH55" s="5">
        <f t="shared" si="38"/>
        <v>12280722</v>
      </c>
      <c r="AI55" s="5">
        <f t="shared" si="38"/>
        <v>1000000</v>
      </c>
      <c r="AJ55" s="5">
        <f t="shared" si="38"/>
        <v>9630434</v>
      </c>
      <c r="AK55" s="127">
        <f t="shared" si="38"/>
        <v>22911156</v>
      </c>
      <c r="AL55" s="136">
        <f t="shared" si="38"/>
        <v>85619889</v>
      </c>
      <c r="AM55" s="5">
        <f t="shared" si="38"/>
        <v>37592554</v>
      </c>
      <c r="AN55" s="5">
        <f t="shared" si="38"/>
        <v>4790508</v>
      </c>
      <c r="AO55" s="5">
        <f t="shared" si="38"/>
        <v>21357000</v>
      </c>
      <c r="AP55" s="127">
        <f t="shared" si="38"/>
        <v>63740062</v>
      </c>
      <c r="AQ55" s="5">
        <f t="shared" si="38"/>
        <v>11280722</v>
      </c>
      <c r="AR55" s="5">
        <f t="shared" si="38"/>
        <v>1000000</v>
      </c>
      <c r="AS55" s="5">
        <f t="shared" si="38"/>
        <v>10222435</v>
      </c>
      <c r="AT55" s="127">
        <f t="shared" si="38"/>
        <v>22503157</v>
      </c>
      <c r="AU55" s="136">
        <f t="shared" si="38"/>
        <v>86243219</v>
      </c>
      <c r="AV55" s="5">
        <f t="shared" si="38"/>
        <v>39068518</v>
      </c>
      <c r="AW55" s="5">
        <f t="shared" si="38"/>
        <v>4790508</v>
      </c>
      <c r="AX55" s="5">
        <f t="shared" si="38"/>
        <v>21357000</v>
      </c>
      <c r="AY55" s="127">
        <f t="shared" si="38"/>
        <v>65216026</v>
      </c>
      <c r="AZ55" s="5">
        <f t="shared" si="38"/>
        <v>12280722</v>
      </c>
      <c r="BA55" s="5">
        <f t="shared" si="38"/>
        <v>1765683</v>
      </c>
      <c r="BB55" s="5">
        <f t="shared" si="38"/>
        <v>12222435</v>
      </c>
      <c r="BC55" s="127">
        <f t="shared" si="38"/>
        <v>26268840</v>
      </c>
      <c r="BD55" s="136">
        <f t="shared" si="38"/>
        <v>91484866</v>
      </c>
    </row>
    <row r="56" spans="1:56" ht="16.5" x14ac:dyDescent="0.25">
      <c r="A56" s="145" t="s">
        <v>90</v>
      </c>
      <c r="B56" s="7" t="s">
        <v>91</v>
      </c>
      <c r="C56" s="8">
        <v>611412</v>
      </c>
      <c r="D56" s="8">
        <v>505950</v>
      </c>
      <c r="E56" s="8">
        <v>1863777</v>
      </c>
      <c r="F56" s="128">
        <f>C56+D56+E56</f>
        <v>2981139</v>
      </c>
      <c r="G56" s="8">
        <v>0</v>
      </c>
      <c r="H56" s="8">
        <v>0</v>
      </c>
      <c r="I56" s="8">
        <v>0</v>
      </c>
      <c r="J56" s="128">
        <f>SUM(G56:I56)</f>
        <v>0</v>
      </c>
      <c r="K56" s="136">
        <f>F56+J56</f>
        <v>2981139</v>
      </c>
      <c r="L56" s="8">
        <v>3920090</v>
      </c>
      <c r="M56" s="8">
        <v>2951668</v>
      </c>
      <c r="N56" s="8">
        <v>0</v>
      </c>
      <c r="O56" s="128">
        <f>L56+M56+N56</f>
        <v>6871758</v>
      </c>
      <c r="P56" s="8">
        <v>0</v>
      </c>
      <c r="Q56" s="8">
        <v>0</v>
      </c>
      <c r="R56" s="8">
        <v>0</v>
      </c>
      <c r="S56" s="128">
        <f>SUM(P56:R56)</f>
        <v>0</v>
      </c>
      <c r="T56" s="136">
        <f t="shared" si="36"/>
        <v>6871758</v>
      </c>
      <c r="U56" s="33">
        <v>568799</v>
      </c>
      <c r="V56" s="33">
        <v>2571669</v>
      </c>
      <c r="W56" s="33">
        <v>430000</v>
      </c>
      <c r="X56" s="128">
        <f>SUM(U56:W56)</f>
        <v>3570468</v>
      </c>
      <c r="Y56" s="33">
        <v>0</v>
      </c>
      <c r="Z56" s="33">
        <v>0</v>
      </c>
      <c r="AA56" s="33">
        <v>0</v>
      </c>
      <c r="AB56" s="128">
        <f>SUM(Y56:AA56)</f>
        <v>0</v>
      </c>
      <c r="AC56" s="136">
        <f>X56+AB56</f>
        <v>3570468</v>
      </c>
      <c r="AD56" s="8">
        <v>1063023</v>
      </c>
      <c r="AE56" s="8">
        <v>3510008</v>
      </c>
      <c r="AF56" s="8">
        <v>430000</v>
      </c>
      <c r="AG56" s="128">
        <f>AD56+AE56+AF56</f>
        <v>5003031</v>
      </c>
      <c r="AH56" s="33">
        <v>0</v>
      </c>
      <c r="AI56" s="33">
        <v>0</v>
      </c>
      <c r="AJ56" s="33">
        <v>0</v>
      </c>
      <c r="AK56" s="128">
        <f>SUM(AH56:AJ56)</f>
        <v>0</v>
      </c>
      <c r="AL56" s="136">
        <f>AG56+AK56</f>
        <v>5003031</v>
      </c>
      <c r="AM56" s="8">
        <v>1090071</v>
      </c>
      <c r="AN56" s="8">
        <v>3296640</v>
      </c>
      <c r="AO56" s="8">
        <v>430000</v>
      </c>
      <c r="AP56" s="128">
        <f>AM56+AN56+AO56</f>
        <v>4816711</v>
      </c>
      <c r="AQ56" s="33">
        <v>0</v>
      </c>
      <c r="AR56" s="33">
        <v>0</v>
      </c>
      <c r="AS56" s="33">
        <v>0</v>
      </c>
      <c r="AT56" s="128">
        <f>SUM(AQ56:AS56)</f>
        <v>0</v>
      </c>
      <c r="AU56" s="136">
        <f t="shared" si="31"/>
        <v>4816711</v>
      </c>
      <c r="AV56" s="8">
        <v>1128779</v>
      </c>
      <c r="AW56" s="8">
        <v>3274722</v>
      </c>
      <c r="AX56" s="8">
        <v>463705</v>
      </c>
      <c r="AY56" s="128">
        <f>AV56+AW56+AX56</f>
        <v>4867206</v>
      </c>
      <c r="AZ56" s="33">
        <v>0</v>
      </c>
      <c r="BA56" s="33">
        <v>0</v>
      </c>
      <c r="BB56" s="33">
        <v>0</v>
      </c>
      <c r="BC56" s="128">
        <f>SUM(AZ56:BB56)</f>
        <v>0</v>
      </c>
      <c r="BD56" s="136">
        <f t="shared" si="6"/>
        <v>4867206</v>
      </c>
    </row>
    <row r="57" spans="1:56" ht="16.5" x14ac:dyDescent="0.25">
      <c r="A57" s="145" t="s">
        <v>92</v>
      </c>
      <c r="B57" s="7" t="s">
        <v>93</v>
      </c>
      <c r="C57" s="8">
        <v>23810845</v>
      </c>
      <c r="D57" s="8">
        <v>321050</v>
      </c>
      <c r="E57" s="8">
        <v>6758000</v>
      </c>
      <c r="F57" s="128">
        <f>SUM(C57:E57)</f>
        <v>30889895</v>
      </c>
      <c r="G57" s="8">
        <v>11180000</v>
      </c>
      <c r="H57" s="8">
        <v>0</v>
      </c>
      <c r="I57" s="8">
        <v>1500000</v>
      </c>
      <c r="J57" s="128">
        <f>SUM(G57:I57)</f>
        <v>12680000</v>
      </c>
      <c r="K57" s="136">
        <f>F57+J57</f>
        <v>43569895</v>
      </c>
      <c r="L57" s="8">
        <v>23411623</v>
      </c>
      <c r="M57" s="8">
        <v>473100</v>
      </c>
      <c r="N57" s="8">
        <v>5754000</v>
      </c>
      <c r="O57" s="128">
        <f>SUM(L57:N57)</f>
        <v>29638723</v>
      </c>
      <c r="P57" s="8">
        <v>16744500</v>
      </c>
      <c r="R57" s="28">
        <v>4500000</v>
      </c>
      <c r="S57" s="128">
        <f>SUM(P57:R57)</f>
        <v>21244500</v>
      </c>
      <c r="T57" s="136">
        <f t="shared" si="36"/>
        <v>50883223</v>
      </c>
      <c r="U57" s="35">
        <v>26379855</v>
      </c>
      <c r="V57" s="35">
        <v>1685100</v>
      </c>
      <c r="W57" s="35">
        <v>5252000</v>
      </c>
      <c r="X57" s="128">
        <f>SUM(U57:W57)</f>
        <v>33316955</v>
      </c>
      <c r="Y57" s="35">
        <f>443922+11622793</f>
        <v>12066715</v>
      </c>
      <c r="Z57" s="35">
        <v>1000000</v>
      </c>
      <c r="AA57" s="35">
        <f>500000+4299703</f>
        <v>4799703</v>
      </c>
      <c r="AB57" s="128">
        <f>SUM(Y57:AA57)</f>
        <v>17866418</v>
      </c>
      <c r="AC57" s="136">
        <f>X57+AB57</f>
        <v>51183373</v>
      </c>
      <c r="AD57" s="8">
        <v>35018129</v>
      </c>
      <c r="AE57" s="8">
        <v>1045100</v>
      </c>
      <c r="AF57" s="8">
        <v>5252000</v>
      </c>
      <c r="AG57" s="128">
        <f>SUM(AD57:AF57)</f>
        <v>41315229</v>
      </c>
      <c r="AH57" s="40">
        <v>12068315</v>
      </c>
      <c r="AI57" s="35">
        <v>1000000</v>
      </c>
      <c r="AJ57" s="35">
        <v>7525479</v>
      </c>
      <c r="AK57" s="128">
        <f>SUM(AH57:AJ57)</f>
        <v>20593794</v>
      </c>
      <c r="AL57" s="136">
        <f>AG57+AK57</f>
        <v>61909023</v>
      </c>
      <c r="AM57" s="8">
        <v>36004144</v>
      </c>
      <c r="AN57" s="8">
        <v>1404798</v>
      </c>
      <c r="AO57" s="8">
        <v>4793370</v>
      </c>
      <c r="AP57" s="128">
        <f>SUM(AM57:AO57)</f>
        <v>42202312</v>
      </c>
      <c r="AQ57" s="40">
        <v>11068315</v>
      </c>
      <c r="AR57" s="35">
        <v>1000000</v>
      </c>
      <c r="AS57" s="35">
        <v>8347060</v>
      </c>
      <c r="AT57" s="128">
        <f>SUM(AQ57:AS57)</f>
        <v>20415375</v>
      </c>
      <c r="AU57" s="136">
        <f t="shared" si="31"/>
        <v>62617687</v>
      </c>
      <c r="AV57" s="8">
        <v>37415259</v>
      </c>
      <c r="AW57" s="8">
        <v>1425086</v>
      </c>
      <c r="AX57" s="8">
        <v>4960137</v>
      </c>
      <c r="AY57" s="128">
        <f>SUM(AV57:AX57)</f>
        <v>43800482</v>
      </c>
      <c r="AZ57" s="40">
        <v>12068315</v>
      </c>
      <c r="BA57" s="35">
        <v>1765683</v>
      </c>
      <c r="BB57" s="35">
        <v>10117479</v>
      </c>
      <c r="BC57" s="128">
        <f>SUM(AZ57:BB57)</f>
        <v>23951477</v>
      </c>
      <c r="BD57" s="136">
        <f t="shared" si="6"/>
        <v>67751959</v>
      </c>
    </row>
    <row r="58" spans="1:56" ht="16.5" x14ac:dyDescent="0.25">
      <c r="A58" s="145" t="s">
        <v>94</v>
      </c>
      <c r="B58" s="7" t="s">
        <v>95</v>
      </c>
      <c r="C58" s="8">
        <v>3446554</v>
      </c>
      <c r="D58" s="8">
        <v>30425</v>
      </c>
      <c r="E58" s="8">
        <v>749000</v>
      </c>
      <c r="F58" s="128">
        <f>SUM(C58:E58)</f>
        <v>4225979</v>
      </c>
      <c r="G58" s="8"/>
      <c r="H58" s="8">
        <v>0</v>
      </c>
      <c r="I58" s="8">
        <v>0</v>
      </c>
      <c r="J58" s="128">
        <f>SUM(G58:I58)</f>
        <v>0</v>
      </c>
      <c r="K58" s="136">
        <f>F58+J58</f>
        <v>4225979</v>
      </c>
      <c r="L58" s="8">
        <v>312409</v>
      </c>
      <c r="M58" s="8">
        <v>56900</v>
      </c>
      <c r="N58" s="8">
        <v>675000</v>
      </c>
      <c r="O58" s="128">
        <f>SUM(L58:N58)</f>
        <v>1044309</v>
      </c>
      <c r="P58" s="8">
        <v>0</v>
      </c>
      <c r="Q58" s="8">
        <v>0</v>
      </c>
      <c r="R58" s="8">
        <v>0</v>
      </c>
      <c r="S58" s="128">
        <f>SUM(P58:R58)</f>
        <v>0</v>
      </c>
      <c r="T58" s="136">
        <f t="shared" si="36"/>
        <v>1044309</v>
      </c>
      <c r="U58" s="35">
        <v>225091</v>
      </c>
      <c r="V58" s="35">
        <v>56900</v>
      </c>
      <c r="W58" s="35">
        <v>675000</v>
      </c>
      <c r="X58" s="128">
        <f>SUM(U58:W58)</f>
        <v>956991</v>
      </c>
      <c r="Y58" s="35">
        <v>0</v>
      </c>
      <c r="Z58" s="35">
        <v>0</v>
      </c>
      <c r="AA58" s="35">
        <v>0</v>
      </c>
      <c r="AB58" s="128">
        <f>SUM(Y58:AA58)</f>
        <v>0</v>
      </c>
      <c r="AC58" s="136">
        <f>X58+AB58</f>
        <v>956991</v>
      </c>
      <c r="AD58" s="8">
        <v>339613</v>
      </c>
      <c r="AE58" s="8">
        <v>56900</v>
      </c>
      <c r="AF58" s="8">
        <v>675000</v>
      </c>
      <c r="AG58" s="128">
        <f>SUM(AD58:AF58)</f>
        <v>1071513</v>
      </c>
      <c r="AH58" s="35">
        <v>0</v>
      </c>
      <c r="AI58" s="35">
        <v>0</v>
      </c>
      <c r="AJ58" s="35">
        <v>0</v>
      </c>
      <c r="AK58" s="128">
        <f>SUM(AH58:AJ58)</f>
        <v>0</v>
      </c>
      <c r="AL58" s="136">
        <f>AG58+AK58</f>
        <v>1071513</v>
      </c>
      <c r="AM58" s="8">
        <v>352422</v>
      </c>
      <c r="AN58" s="8">
        <v>57565</v>
      </c>
      <c r="AO58" s="8">
        <v>706708</v>
      </c>
      <c r="AP58" s="128">
        <f>SUM(AM58:AO58)</f>
        <v>1116695</v>
      </c>
      <c r="AQ58" s="35">
        <v>0</v>
      </c>
      <c r="AR58" s="35">
        <v>0</v>
      </c>
      <c r="AS58" s="35">
        <v>0</v>
      </c>
      <c r="AT58" s="128">
        <f>SUM(AQ58:AS58)</f>
        <v>0</v>
      </c>
      <c r="AU58" s="136">
        <f t="shared" si="31"/>
        <v>1116695</v>
      </c>
      <c r="AV58" s="8">
        <v>370753</v>
      </c>
      <c r="AW58" s="8">
        <v>58250</v>
      </c>
      <c r="AX58" s="8">
        <v>727909</v>
      </c>
      <c r="AY58" s="128">
        <f>SUM(AV58:AX58)</f>
        <v>1156912</v>
      </c>
      <c r="AZ58" s="35">
        <v>0</v>
      </c>
      <c r="BA58" s="35">
        <v>0</v>
      </c>
      <c r="BB58" s="35">
        <v>0</v>
      </c>
      <c r="BC58" s="128">
        <f>SUM(AZ58:BB58)</f>
        <v>0</v>
      </c>
      <c r="BD58" s="136">
        <f t="shared" si="6"/>
        <v>1156912</v>
      </c>
    </row>
    <row r="59" spans="1:56" ht="16.5" x14ac:dyDescent="0.25">
      <c r="A59" s="146" t="s">
        <v>96</v>
      </c>
      <c r="B59" s="7" t="s">
        <v>97</v>
      </c>
      <c r="C59" s="8">
        <v>162189</v>
      </c>
      <c r="D59" s="8">
        <v>33000</v>
      </c>
      <c r="E59" s="8">
        <v>5393865</v>
      </c>
      <c r="F59" s="128">
        <f>SUM(C59:E59)</f>
        <v>5589054</v>
      </c>
      <c r="G59" s="8">
        <v>320000</v>
      </c>
      <c r="H59" s="8">
        <v>0</v>
      </c>
      <c r="I59" s="8">
        <v>1000000</v>
      </c>
      <c r="J59" s="128">
        <f>SUM(G59:I59)</f>
        <v>1320000</v>
      </c>
      <c r="K59" s="136">
        <f>F59+J59</f>
        <v>6909054</v>
      </c>
      <c r="L59" s="8">
        <v>121173</v>
      </c>
      <c r="M59" s="8">
        <v>103500</v>
      </c>
      <c r="N59" s="8">
        <v>14735000</v>
      </c>
      <c r="O59" s="128">
        <f>SUM(L59:N59)</f>
        <v>14959673</v>
      </c>
      <c r="P59" s="8">
        <v>255500</v>
      </c>
      <c r="Q59" s="8">
        <v>0</v>
      </c>
      <c r="R59" s="8">
        <v>1232502</v>
      </c>
      <c r="S59" s="128">
        <f>SUM(P59:R59)</f>
        <v>1488002</v>
      </c>
      <c r="T59" s="136">
        <f t="shared" si="36"/>
        <v>16447675</v>
      </c>
      <c r="U59" s="40">
        <v>96139</v>
      </c>
      <c r="V59" s="40">
        <v>78500</v>
      </c>
      <c r="W59" s="40">
        <v>14000000</v>
      </c>
      <c r="X59" s="128">
        <f>SUM(U59:W59)</f>
        <v>14174639</v>
      </c>
      <c r="Y59" s="40">
        <f>1600+212407</f>
        <v>214007</v>
      </c>
      <c r="Z59" s="40">
        <v>0</v>
      </c>
      <c r="AA59" s="40">
        <v>1422732</v>
      </c>
      <c r="AB59" s="128">
        <f>SUM(Y59:AA59)</f>
        <v>1636739</v>
      </c>
      <c r="AC59" s="136">
        <f>X59+AB59</f>
        <v>15811378</v>
      </c>
      <c r="AD59" s="8">
        <v>140460</v>
      </c>
      <c r="AE59" s="8">
        <v>178500</v>
      </c>
      <c r="AF59" s="8">
        <v>15000000</v>
      </c>
      <c r="AG59" s="128">
        <f>SUM(AD59:AF59)</f>
        <v>15318960</v>
      </c>
      <c r="AH59" s="40">
        <v>212407</v>
      </c>
      <c r="AI59" s="40">
        <v>0</v>
      </c>
      <c r="AJ59" s="40">
        <v>2104955</v>
      </c>
      <c r="AK59" s="128">
        <f>SUM(AH59:AJ59)</f>
        <v>2317362</v>
      </c>
      <c r="AL59" s="136">
        <f>AG59+AK59</f>
        <v>17636322</v>
      </c>
      <c r="AM59" s="8">
        <v>145917</v>
      </c>
      <c r="AN59" s="8">
        <v>31505</v>
      </c>
      <c r="AO59" s="8">
        <v>15426922</v>
      </c>
      <c r="AP59" s="128">
        <f>SUM(AM59:AO59)</f>
        <v>15604344</v>
      </c>
      <c r="AQ59" s="40">
        <v>212407</v>
      </c>
      <c r="AR59" s="40">
        <v>0</v>
      </c>
      <c r="AS59" s="40">
        <v>1875375</v>
      </c>
      <c r="AT59" s="128">
        <f>SUM(AQ59:AS59)</f>
        <v>2087782</v>
      </c>
      <c r="AU59" s="136">
        <f t="shared" si="31"/>
        <v>17692126</v>
      </c>
      <c r="AV59" s="8">
        <v>153727</v>
      </c>
      <c r="AW59" s="8">
        <v>32450</v>
      </c>
      <c r="AX59" s="8">
        <v>15205249</v>
      </c>
      <c r="AY59" s="128">
        <f>SUM(AV59:AX59)</f>
        <v>15391426</v>
      </c>
      <c r="AZ59" s="40">
        <v>212407</v>
      </c>
      <c r="BA59" s="40">
        <v>0</v>
      </c>
      <c r="BB59" s="40">
        <v>2104956</v>
      </c>
      <c r="BC59" s="128">
        <f>SUM(AZ59:BB59)</f>
        <v>2317363</v>
      </c>
      <c r="BD59" s="136">
        <f t="shared" si="6"/>
        <v>17708789</v>
      </c>
    </row>
    <row r="60" spans="1:56" ht="16.5" customHeight="1" x14ac:dyDescent="0.25">
      <c r="A60" s="105" t="s">
        <v>98</v>
      </c>
      <c r="B60" s="106"/>
      <c r="C60" s="5">
        <v>64033100</v>
      </c>
      <c r="D60" s="5">
        <v>17740684</v>
      </c>
      <c r="E60" s="5">
        <v>8650027</v>
      </c>
      <c r="F60" s="127">
        <v>90423811</v>
      </c>
      <c r="G60" s="5">
        <v>3745000</v>
      </c>
      <c r="H60" s="5">
        <v>1386000</v>
      </c>
      <c r="I60" s="5">
        <v>3729357</v>
      </c>
      <c r="J60" s="127">
        <v>8860357</v>
      </c>
      <c r="K60" s="136">
        <v>99284168</v>
      </c>
      <c r="L60" s="5">
        <f>L61+L62+L63+L64</f>
        <v>64722502</v>
      </c>
      <c r="M60" s="5">
        <f t="shared" ref="M60:S60" si="39">M61+M62+M63+M64</f>
        <v>26166988</v>
      </c>
      <c r="N60" s="5">
        <f t="shared" si="39"/>
        <v>5062487</v>
      </c>
      <c r="O60" s="127">
        <f t="shared" si="39"/>
        <v>95951977</v>
      </c>
      <c r="P60" s="5">
        <f t="shared" si="39"/>
        <v>3761426</v>
      </c>
      <c r="Q60" s="5">
        <f t="shared" si="39"/>
        <v>1745549</v>
      </c>
      <c r="R60" s="5">
        <f t="shared" si="39"/>
        <v>6327298</v>
      </c>
      <c r="S60" s="127">
        <f t="shared" si="39"/>
        <v>11834273</v>
      </c>
      <c r="T60" s="136">
        <f t="shared" si="36"/>
        <v>107786250</v>
      </c>
      <c r="U60" s="5">
        <v>70856857</v>
      </c>
      <c r="V60" s="5">
        <v>26186988</v>
      </c>
      <c r="W60" s="5">
        <v>5042486</v>
      </c>
      <c r="X60" s="127">
        <v>102086331</v>
      </c>
      <c r="Y60" s="5">
        <v>15822839</v>
      </c>
      <c r="Z60" s="5">
        <v>262000</v>
      </c>
      <c r="AA60" s="5">
        <v>25450000</v>
      </c>
      <c r="AB60" s="127">
        <v>41534839</v>
      </c>
      <c r="AC60" s="136">
        <v>143621170</v>
      </c>
      <c r="AD60" s="5">
        <f>AD61+AD62+AD63+AD64</f>
        <v>87169257</v>
      </c>
      <c r="AE60" s="5">
        <f t="shared" ref="AE60:BD60" si="40">AE61+AE62+AE63+AE64</f>
        <v>26044483</v>
      </c>
      <c r="AF60" s="5">
        <f t="shared" si="40"/>
        <v>5548689</v>
      </c>
      <c r="AG60" s="127">
        <f t="shared" si="40"/>
        <v>118762429</v>
      </c>
      <c r="AH60" s="5">
        <f t="shared" si="40"/>
        <v>22548515</v>
      </c>
      <c r="AI60" s="5">
        <f t="shared" si="40"/>
        <v>6083116</v>
      </c>
      <c r="AJ60" s="5">
        <f t="shared" si="40"/>
        <v>42333784</v>
      </c>
      <c r="AK60" s="127">
        <f t="shared" si="40"/>
        <v>70965415</v>
      </c>
      <c r="AL60" s="136">
        <f t="shared" si="40"/>
        <v>189727844</v>
      </c>
      <c r="AM60" s="5">
        <f t="shared" si="40"/>
        <v>90856886</v>
      </c>
      <c r="AN60" s="5">
        <f t="shared" si="40"/>
        <v>26044483</v>
      </c>
      <c r="AO60" s="5">
        <f t="shared" si="40"/>
        <v>5548689</v>
      </c>
      <c r="AP60" s="127">
        <f t="shared" si="40"/>
        <v>122450058</v>
      </c>
      <c r="AQ60" s="5">
        <f t="shared" si="40"/>
        <v>36981939</v>
      </c>
      <c r="AR60" s="5">
        <f t="shared" si="40"/>
        <v>5151294</v>
      </c>
      <c r="AS60" s="5">
        <f t="shared" si="40"/>
        <v>50196091</v>
      </c>
      <c r="AT60" s="127">
        <f t="shared" si="40"/>
        <v>92329324</v>
      </c>
      <c r="AU60" s="136">
        <f t="shared" si="40"/>
        <v>214779382</v>
      </c>
      <c r="AV60" s="5">
        <f t="shared" si="40"/>
        <v>95563504</v>
      </c>
      <c r="AW60" s="5">
        <f t="shared" si="40"/>
        <v>26044483</v>
      </c>
      <c r="AX60" s="5">
        <f t="shared" si="40"/>
        <v>5548689</v>
      </c>
      <c r="AY60" s="127">
        <f t="shared" si="40"/>
        <v>127156676</v>
      </c>
      <c r="AZ60" s="5">
        <f t="shared" si="40"/>
        <v>25171939</v>
      </c>
      <c r="BA60" s="5">
        <f t="shared" si="40"/>
        <v>3064919</v>
      </c>
      <c r="BB60" s="5">
        <f t="shared" si="40"/>
        <v>34983984</v>
      </c>
      <c r="BC60" s="127">
        <f t="shared" si="40"/>
        <v>63220842</v>
      </c>
      <c r="BD60" s="136">
        <f t="shared" si="40"/>
        <v>190377518</v>
      </c>
    </row>
    <row r="61" spans="1:56" ht="16.5" x14ac:dyDescent="0.25">
      <c r="A61" s="145" t="s">
        <v>99</v>
      </c>
      <c r="B61" s="9" t="s">
        <v>100</v>
      </c>
      <c r="C61" s="8">
        <v>58627777</v>
      </c>
      <c r="D61" s="8">
        <f>2287551+2095851+10-2095861</f>
        <v>2287551</v>
      </c>
      <c r="E61" s="8">
        <v>1665198</v>
      </c>
      <c r="F61" s="128">
        <f>SUM(C61:E61)</f>
        <v>62580526</v>
      </c>
      <c r="G61" s="8">
        <v>0</v>
      </c>
      <c r="H61" s="8"/>
      <c r="I61" s="8"/>
      <c r="J61" s="128">
        <f>SUM(G61:I61)</f>
        <v>0</v>
      </c>
      <c r="K61" s="136">
        <f>F61+J61</f>
        <v>62580526</v>
      </c>
      <c r="L61" s="8">
        <v>59352345</v>
      </c>
      <c r="M61" s="8">
        <v>22550449</v>
      </c>
      <c r="N61" s="8">
        <v>1407749</v>
      </c>
      <c r="O61" s="128">
        <f>SUM(L61:N61)</f>
        <v>83310543</v>
      </c>
      <c r="P61" s="8">
        <v>0</v>
      </c>
      <c r="Q61" s="8">
        <v>0</v>
      </c>
      <c r="R61" s="8">
        <v>0</v>
      </c>
      <c r="S61" s="128">
        <f>SUM(P61:R61)</f>
        <v>0</v>
      </c>
      <c r="T61" s="136">
        <f t="shared" si="36"/>
        <v>83310543</v>
      </c>
      <c r="U61" s="33">
        <v>65351952</v>
      </c>
      <c r="V61" s="33">
        <v>4536666</v>
      </c>
      <c r="W61" s="33">
        <v>310000</v>
      </c>
      <c r="X61" s="128">
        <f>SUM(U61:W61)</f>
        <v>70198618</v>
      </c>
      <c r="Y61" s="33">
        <v>0</v>
      </c>
      <c r="Z61" s="33">
        <v>0</v>
      </c>
      <c r="AA61" s="33">
        <v>0</v>
      </c>
      <c r="AB61" s="128">
        <f>Y61+Z61+AA61</f>
        <v>0</v>
      </c>
      <c r="AC61" s="136">
        <f>X61+AB61</f>
        <v>70198618</v>
      </c>
      <c r="AD61" s="8">
        <v>81727882</v>
      </c>
      <c r="AE61" s="8">
        <v>5581531</v>
      </c>
      <c r="AF61" s="8">
        <v>488000</v>
      </c>
      <c r="AG61" s="128">
        <f>SUM(AD61:AF61)</f>
        <v>87797413</v>
      </c>
      <c r="AH61" s="8">
        <v>0</v>
      </c>
      <c r="AI61" s="8">
        <v>0</v>
      </c>
      <c r="AJ61" s="8">
        <v>0</v>
      </c>
      <c r="AK61" s="128">
        <f>AH61+AI61+AJ61</f>
        <v>0</v>
      </c>
      <c r="AL61" s="136">
        <f>AG61+AK61</f>
        <v>87797413</v>
      </c>
      <c r="AM61" s="8">
        <v>85381666</v>
      </c>
      <c r="AN61" s="8">
        <v>5581531</v>
      </c>
      <c r="AO61" s="8">
        <v>488000</v>
      </c>
      <c r="AP61" s="128">
        <f>SUM(AM61:AO61)</f>
        <v>91451197</v>
      </c>
      <c r="AQ61" s="8">
        <v>0</v>
      </c>
      <c r="AR61" s="8">
        <v>0</v>
      </c>
      <c r="AS61" s="8">
        <v>0</v>
      </c>
      <c r="AT61" s="128">
        <f>AQ61+AR61+AS61</f>
        <v>0</v>
      </c>
      <c r="AU61" s="136">
        <f t="shared" si="31"/>
        <v>91451197</v>
      </c>
      <c r="AV61" s="8">
        <v>90045086</v>
      </c>
      <c r="AW61" s="8">
        <v>5581531</v>
      </c>
      <c r="AX61" s="8">
        <v>488000</v>
      </c>
      <c r="AY61" s="128">
        <f>SUM(AV61:AX61)</f>
        <v>96114617</v>
      </c>
      <c r="AZ61" s="8">
        <v>0</v>
      </c>
      <c r="BA61" s="8">
        <v>0</v>
      </c>
      <c r="BB61" s="8">
        <v>0</v>
      </c>
      <c r="BC61" s="128">
        <f t="shared" si="5"/>
        <v>0</v>
      </c>
      <c r="BD61" s="136">
        <f t="shared" si="6"/>
        <v>96114617</v>
      </c>
    </row>
    <row r="62" spans="1:56" ht="16.5" x14ac:dyDescent="0.25">
      <c r="A62" s="145" t="s">
        <v>101</v>
      </c>
      <c r="B62" s="9" t="s">
        <v>102</v>
      </c>
      <c r="C62" s="8">
        <v>3182354</v>
      </c>
      <c r="D62" s="8">
        <v>10922281</v>
      </c>
      <c r="E62" s="8">
        <v>5104807</v>
      </c>
      <c r="F62" s="128">
        <f>SUM(C62:E62)</f>
        <v>19209442</v>
      </c>
      <c r="G62" s="8">
        <v>1832106</v>
      </c>
      <c r="H62" s="8">
        <v>1336000</v>
      </c>
      <c r="I62" s="8">
        <v>1465847</v>
      </c>
      <c r="J62" s="128">
        <f>SUM(G62:I62)</f>
        <v>4633953</v>
      </c>
      <c r="K62" s="136">
        <f>F62+J62</f>
        <v>23843395</v>
      </c>
      <c r="L62" s="8">
        <v>3151013</v>
      </c>
      <c r="M62" s="8">
        <v>1256348</v>
      </c>
      <c r="N62" s="8">
        <v>3006227</v>
      </c>
      <c r="O62" s="128">
        <f>SUM(L62:N62)</f>
        <v>7413588</v>
      </c>
      <c r="P62" s="8">
        <v>1948532</v>
      </c>
      <c r="Q62" s="8">
        <v>1200000</v>
      </c>
      <c r="R62" s="8">
        <v>2032693</v>
      </c>
      <c r="S62" s="128">
        <f>SUM(P62:R62)</f>
        <v>5181225</v>
      </c>
      <c r="T62" s="136">
        <f t="shared" si="36"/>
        <v>12594813</v>
      </c>
      <c r="U62" s="35">
        <v>3234324</v>
      </c>
      <c r="V62" s="35">
        <v>20374579</v>
      </c>
      <c r="W62" s="35">
        <v>3076173</v>
      </c>
      <c r="X62" s="128">
        <f>SUM(U62:W62)</f>
        <v>26685076</v>
      </c>
      <c r="Y62" s="35">
        <f>1915000+85000</f>
        <v>2000000</v>
      </c>
      <c r="Z62" s="35">
        <v>80000</v>
      </c>
      <c r="AA62" s="35">
        <v>4000000</v>
      </c>
      <c r="AB62" s="128">
        <f>Y62+Z62+AA62</f>
        <v>6080000</v>
      </c>
      <c r="AC62" s="136">
        <f>X62+AB62</f>
        <v>32765076</v>
      </c>
      <c r="AD62" s="8">
        <v>2716593</v>
      </c>
      <c r="AE62" s="8">
        <v>19122209</v>
      </c>
      <c r="AF62" s="8">
        <v>3438047</v>
      </c>
      <c r="AG62" s="128">
        <f>SUM(AD62:AF62)</f>
        <v>25276849</v>
      </c>
      <c r="AH62" s="8">
        <v>1585000</v>
      </c>
      <c r="AI62" s="8">
        <v>0</v>
      </c>
      <c r="AJ62" s="8">
        <v>0</v>
      </c>
      <c r="AK62" s="128">
        <f>AH62+AI62+AJ62</f>
        <v>1585000</v>
      </c>
      <c r="AL62" s="136">
        <f>AG62+AK62</f>
        <v>26861849</v>
      </c>
      <c r="AM62" s="8">
        <v>2734809</v>
      </c>
      <c r="AN62" s="8">
        <v>19122209</v>
      </c>
      <c r="AO62" s="8">
        <v>3438047</v>
      </c>
      <c r="AP62" s="128">
        <f>SUM(AM62:AO62)</f>
        <v>25295065</v>
      </c>
      <c r="AQ62" s="8">
        <v>2085000</v>
      </c>
      <c r="AR62" s="8">
        <v>0</v>
      </c>
      <c r="AS62" s="8">
        <v>0</v>
      </c>
      <c r="AT62" s="128">
        <f>AQ62+AR62+AS62</f>
        <v>2085000</v>
      </c>
      <c r="AU62" s="136">
        <f t="shared" si="31"/>
        <v>27380065</v>
      </c>
      <c r="AV62" s="8">
        <v>2758059</v>
      </c>
      <c r="AW62" s="8">
        <v>19122209</v>
      </c>
      <c r="AX62" s="8">
        <v>3438047</v>
      </c>
      <c r="AY62" s="128">
        <f>SUM(AV62:AX62)</f>
        <v>25318315</v>
      </c>
      <c r="AZ62" s="8">
        <v>1585000</v>
      </c>
      <c r="BA62" s="8">
        <v>0</v>
      </c>
      <c r="BB62" s="8">
        <v>0</v>
      </c>
      <c r="BC62" s="128">
        <f t="shared" si="5"/>
        <v>1585000</v>
      </c>
      <c r="BD62" s="136">
        <f t="shared" si="6"/>
        <v>26903315</v>
      </c>
    </row>
    <row r="63" spans="1:56" ht="33" x14ac:dyDescent="0.25">
      <c r="A63" s="145" t="s">
        <v>103</v>
      </c>
      <c r="B63" s="10" t="s">
        <v>104</v>
      </c>
      <c r="C63" s="8">
        <v>2110565</v>
      </c>
      <c r="D63" s="8">
        <v>4508852</v>
      </c>
      <c r="E63" s="8">
        <f>2285031-1000000</f>
        <v>1285031</v>
      </c>
      <c r="F63" s="128">
        <f>SUM(C63:E63)</f>
        <v>7904448</v>
      </c>
      <c r="G63" s="8">
        <v>1912894</v>
      </c>
      <c r="H63" s="8">
        <v>50000</v>
      </c>
      <c r="I63" s="8">
        <v>2263510</v>
      </c>
      <c r="J63" s="128">
        <f>SUM(G63:I63)</f>
        <v>4226404</v>
      </c>
      <c r="K63" s="136">
        <f>F63+J63</f>
        <v>12130852</v>
      </c>
      <c r="L63" s="8">
        <v>2102972</v>
      </c>
      <c r="M63" s="8">
        <v>2070191</v>
      </c>
      <c r="N63" s="8">
        <v>507171</v>
      </c>
      <c r="O63" s="128">
        <f>SUM(L63:N63)</f>
        <v>4680334</v>
      </c>
      <c r="P63" s="8">
        <v>1812894</v>
      </c>
      <c r="Q63" s="8">
        <v>545549</v>
      </c>
      <c r="R63" s="8">
        <v>4294605</v>
      </c>
      <c r="S63" s="128">
        <f>SUM(P63:R63)</f>
        <v>6653048</v>
      </c>
      <c r="T63" s="136">
        <f t="shared" si="36"/>
        <v>11333382</v>
      </c>
      <c r="U63" s="35">
        <v>2133279</v>
      </c>
      <c r="V63" s="35">
        <v>1113669</v>
      </c>
      <c r="W63" s="35">
        <v>1535173</v>
      </c>
      <c r="X63" s="128">
        <f>SUM(U63:W63)</f>
        <v>4782121</v>
      </c>
      <c r="Y63" s="35">
        <v>13822839</v>
      </c>
      <c r="Z63" s="35">
        <v>182000</v>
      </c>
      <c r="AA63" s="35">
        <v>21450000</v>
      </c>
      <c r="AB63" s="128">
        <f>Y63+Z63+AA63</f>
        <v>35454839</v>
      </c>
      <c r="AC63" s="136">
        <f>X63+AB63</f>
        <v>40236960</v>
      </c>
      <c r="AD63" s="8">
        <v>2587263</v>
      </c>
      <c r="AE63" s="8">
        <v>1168669</v>
      </c>
      <c r="AF63" s="8">
        <v>1497502</v>
      </c>
      <c r="AG63" s="128">
        <f>SUM(AD63:AF63)</f>
        <v>5253434</v>
      </c>
      <c r="AH63" s="8">
        <v>20963515</v>
      </c>
      <c r="AI63" s="8">
        <v>6083116</v>
      </c>
      <c r="AJ63" s="8">
        <v>42333784</v>
      </c>
      <c r="AK63" s="128">
        <f>AH63+AI63+AJ63</f>
        <v>69380415</v>
      </c>
      <c r="AL63" s="136">
        <f>AG63+AK63</f>
        <v>74633849</v>
      </c>
      <c r="AM63" s="8">
        <v>2596025</v>
      </c>
      <c r="AN63" s="8">
        <v>1168669</v>
      </c>
      <c r="AO63" s="8">
        <v>1497502</v>
      </c>
      <c r="AP63" s="128">
        <f>SUM(AM63:AO63)</f>
        <v>5262196</v>
      </c>
      <c r="AQ63" s="8">
        <v>34896939</v>
      </c>
      <c r="AR63" s="8">
        <v>5151294</v>
      </c>
      <c r="AS63" s="8">
        <v>50196091</v>
      </c>
      <c r="AT63" s="128">
        <f>AQ63+AR63+AS63</f>
        <v>90244324</v>
      </c>
      <c r="AU63" s="136">
        <f t="shared" si="31"/>
        <v>95506520</v>
      </c>
      <c r="AV63" s="8">
        <v>2607208</v>
      </c>
      <c r="AW63" s="8">
        <v>1168669</v>
      </c>
      <c r="AX63" s="8">
        <v>1497502</v>
      </c>
      <c r="AY63" s="128">
        <f>SUM(AV63:AX63)</f>
        <v>5273379</v>
      </c>
      <c r="AZ63" s="8">
        <v>23586939</v>
      </c>
      <c r="BA63" s="8">
        <v>3064919</v>
      </c>
      <c r="BB63" s="8">
        <v>34983984</v>
      </c>
      <c r="BC63" s="128">
        <f t="shared" si="5"/>
        <v>61635842</v>
      </c>
      <c r="BD63" s="136">
        <f t="shared" si="6"/>
        <v>66909221</v>
      </c>
    </row>
    <row r="64" spans="1:56" ht="16.5" x14ac:dyDescent="0.25">
      <c r="A64" s="146" t="s">
        <v>105</v>
      </c>
      <c r="B64" s="10" t="s">
        <v>106</v>
      </c>
      <c r="C64" s="8">
        <v>112404</v>
      </c>
      <c r="D64" s="8">
        <v>22000</v>
      </c>
      <c r="E64" s="8">
        <v>594991</v>
      </c>
      <c r="F64" s="128">
        <f>C64+D64+E64</f>
        <v>729395</v>
      </c>
      <c r="G64" s="8">
        <v>0</v>
      </c>
      <c r="H64" s="8"/>
      <c r="I64" s="8"/>
      <c r="J64" s="128">
        <f>SUM(G64:I64)</f>
        <v>0</v>
      </c>
      <c r="K64" s="136">
        <f>F64+J64</f>
        <v>729395</v>
      </c>
      <c r="L64" s="8">
        <v>116172</v>
      </c>
      <c r="M64" s="8">
        <v>290000</v>
      </c>
      <c r="N64" s="8">
        <v>141340</v>
      </c>
      <c r="O64" s="128">
        <f>SUM(L64:N64)</f>
        <v>547512</v>
      </c>
      <c r="P64" s="8">
        <v>0</v>
      </c>
      <c r="Q64" s="8">
        <v>0</v>
      </c>
      <c r="R64" s="8"/>
      <c r="S64" s="128">
        <f>SUM(P64:R64)</f>
        <v>0</v>
      </c>
      <c r="T64" s="136">
        <f t="shared" si="36"/>
        <v>547512</v>
      </c>
      <c r="U64" s="40">
        <v>137302</v>
      </c>
      <c r="V64" s="40">
        <v>162074</v>
      </c>
      <c r="W64" s="40">
        <v>121140</v>
      </c>
      <c r="X64" s="128">
        <f>SUM(U64:W64)</f>
        <v>420516</v>
      </c>
      <c r="Y64" s="40">
        <v>0</v>
      </c>
      <c r="Z64" s="40">
        <v>0</v>
      </c>
      <c r="AA64" s="40">
        <v>0</v>
      </c>
      <c r="AB64" s="128">
        <f>Y64+Z64+AA64</f>
        <v>0</v>
      </c>
      <c r="AC64" s="136">
        <f>X64+AB64</f>
        <v>420516</v>
      </c>
      <c r="AD64" s="8">
        <v>137519</v>
      </c>
      <c r="AE64" s="8">
        <v>172074</v>
      </c>
      <c r="AF64" s="8">
        <v>125140</v>
      </c>
      <c r="AG64" s="128">
        <f>SUM(AD64:AF64)</f>
        <v>434733</v>
      </c>
      <c r="AH64" s="8">
        <v>0</v>
      </c>
      <c r="AI64" s="8">
        <v>0</v>
      </c>
      <c r="AJ64" s="8"/>
      <c r="AK64" s="128">
        <f>AH64+AI64+AJ64</f>
        <v>0</v>
      </c>
      <c r="AL64" s="136">
        <f>AG64+AK64</f>
        <v>434733</v>
      </c>
      <c r="AM64" s="8">
        <v>144386</v>
      </c>
      <c r="AN64" s="8">
        <v>172074</v>
      </c>
      <c r="AO64" s="8">
        <v>125140</v>
      </c>
      <c r="AP64" s="128">
        <f>SUM(AM64:AO64)</f>
        <v>441600</v>
      </c>
      <c r="AQ64" s="8">
        <v>0</v>
      </c>
      <c r="AR64" s="8">
        <v>0</v>
      </c>
      <c r="AS64" s="8"/>
      <c r="AT64" s="128">
        <f>AQ64+AR64+AS64</f>
        <v>0</v>
      </c>
      <c r="AU64" s="136">
        <f t="shared" si="31"/>
        <v>441600</v>
      </c>
      <c r="AV64" s="8">
        <v>153151</v>
      </c>
      <c r="AW64" s="8">
        <v>172074</v>
      </c>
      <c r="AX64" s="8">
        <v>125140</v>
      </c>
      <c r="AY64" s="128">
        <f>SUM(AV64:AX64)</f>
        <v>450365</v>
      </c>
      <c r="AZ64" s="8">
        <v>0</v>
      </c>
      <c r="BA64" s="8">
        <v>0</v>
      </c>
      <c r="BB64" s="8"/>
      <c r="BC64" s="128">
        <f t="shared" si="5"/>
        <v>0</v>
      </c>
      <c r="BD64" s="136">
        <f t="shared" si="6"/>
        <v>450365</v>
      </c>
    </row>
    <row r="65" spans="1:56" ht="16.5" x14ac:dyDescent="0.25">
      <c r="A65" s="96" t="s">
        <v>107</v>
      </c>
      <c r="B65" s="97"/>
      <c r="C65" s="5">
        <v>86448800</v>
      </c>
      <c r="D65" s="5">
        <v>10989602</v>
      </c>
      <c r="E65" s="5">
        <v>16122086</v>
      </c>
      <c r="F65" s="127">
        <v>113560488</v>
      </c>
      <c r="G65" s="5">
        <v>3490000</v>
      </c>
      <c r="H65" s="5">
        <v>1750000</v>
      </c>
      <c r="I65" s="5">
        <v>0</v>
      </c>
      <c r="J65" s="127">
        <v>5240000</v>
      </c>
      <c r="K65" s="136">
        <v>118800488</v>
      </c>
      <c r="L65" s="5">
        <f>L66+L67+L68+L69</f>
        <v>88409494</v>
      </c>
      <c r="M65" s="5">
        <f t="shared" ref="M65:S65" si="41">M66+M67+M68+M69</f>
        <v>12171769</v>
      </c>
      <c r="N65" s="5">
        <f t="shared" si="41"/>
        <v>13924934</v>
      </c>
      <c r="O65" s="127">
        <f t="shared" si="41"/>
        <v>114506197</v>
      </c>
      <c r="P65" s="5">
        <f t="shared" si="41"/>
        <v>8820000</v>
      </c>
      <c r="Q65" s="5">
        <f t="shared" si="41"/>
        <v>2500000</v>
      </c>
      <c r="R65" s="5">
        <f t="shared" si="41"/>
        <v>421850</v>
      </c>
      <c r="S65" s="127">
        <f t="shared" si="41"/>
        <v>11741850</v>
      </c>
      <c r="T65" s="136">
        <f>O65+S65</f>
        <v>126248047</v>
      </c>
      <c r="U65" s="5">
        <v>91069062</v>
      </c>
      <c r="V65" s="5">
        <v>12019069</v>
      </c>
      <c r="W65" s="5">
        <v>22900844</v>
      </c>
      <c r="X65" s="127">
        <v>125988975</v>
      </c>
      <c r="Y65" s="5">
        <v>8184000</v>
      </c>
      <c r="Z65" s="5">
        <v>233615</v>
      </c>
      <c r="AA65" s="5">
        <v>4953552</v>
      </c>
      <c r="AB65" s="127">
        <v>13371167</v>
      </c>
      <c r="AC65" s="136">
        <v>139360142</v>
      </c>
      <c r="AD65" s="5">
        <f>AD66+AD67+AD68+AD69</f>
        <v>121964306</v>
      </c>
      <c r="AE65" s="5">
        <f t="shared" ref="AE65:BD65" si="42">AE66+AE67+AE68+AE69</f>
        <v>16687773</v>
      </c>
      <c r="AF65" s="5">
        <f t="shared" si="42"/>
        <v>21105545</v>
      </c>
      <c r="AG65" s="127">
        <f t="shared" si="42"/>
        <v>159757624</v>
      </c>
      <c r="AH65" s="5">
        <f t="shared" si="42"/>
        <v>8861085</v>
      </c>
      <c r="AI65" s="5">
        <f t="shared" si="42"/>
        <v>2850000</v>
      </c>
      <c r="AJ65" s="5">
        <f t="shared" si="42"/>
        <v>0</v>
      </c>
      <c r="AK65" s="127">
        <f t="shared" si="42"/>
        <v>11711085</v>
      </c>
      <c r="AL65" s="136">
        <f t="shared" si="42"/>
        <v>171468709</v>
      </c>
      <c r="AM65" s="5">
        <f t="shared" si="42"/>
        <v>126894494</v>
      </c>
      <c r="AN65" s="5">
        <f t="shared" si="42"/>
        <v>14970572</v>
      </c>
      <c r="AO65" s="5">
        <f t="shared" si="42"/>
        <v>22822746</v>
      </c>
      <c r="AP65" s="127">
        <f t="shared" si="42"/>
        <v>164687812</v>
      </c>
      <c r="AQ65" s="5">
        <f t="shared" si="42"/>
        <v>9684080</v>
      </c>
      <c r="AR65" s="5">
        <f t="shared" si="42"/>
        <v>2850000</v>
      </c>
      <c r="AS65" s="5">
        <f t="shared" si="42"/>
        <v>0</v>
      </c>
      <c r="AT65" s="127">
        <f t="shared" si="42"/>
        <v>12534080</v>
      </c>
      <c r="AU65" s="136">
        <f t="shared" si="42"/>
        <v>177221892</v>
      </c>
      <c r="AV65" s="5">
        <f t="shared" si="42"/>
        <v>133106787</v>
      </c>
      <c r="AW65" s="5">
        <f t="shared" si="42"/>
        <v>14971521</v>
      </c>
      <c r="AX65" s="5">
        <f t="shared" si="42"/>
        <v>22821797</v>
      </c>
      <c r="AY65" s="127">
        <f t="shared" si="42"/>
        <v>170900105</v>
      </c>
      <c r="AZ65" s="5">
        <f t="shared" si="42"/>
        <v>10384000</v>
      </c>
      <c r="BA65" s="5">
        <f t="shared" si="42"/>
        <v>2850000</v>
      </c>
      <c r="BB65" s="5">
        <f t="shared" si="42"/>
        <v>0</v>
      </c>
      <c r="BC65" s="127">
        <f t="shared" si="42"/>
        <v>10384000</v>
      </c>
      <c r="BD65" s="136">
        <f t="shared" si="42"/>
        <v>184134105</v>
      </c>
    </row>
    <row r="66" spans="1:56" ht="16.5" x14ac:dyDescent="0.25">
      <c r="A66" s="145" t="s">
        <v>108</v>
      </c>
      <c r="B66" s="7" t="s">
        <v>109</v>
      </c>
      <c r="C66" s="8">
        <v>82446659</v>
      </c>
      <c r="D66" s="8">
        <v>9049926</v>
      </c>
      <c r="E66" s="8">
        <v>1852763</v>
      </c>
      <c r="F66" s="128">
        <f>SUM(C66:E66)</f>
        <v>93349348</v>
      </c>
      <c r="G66" s="8">
        <v>0</v>
      </c>
      <c r="H66" s="8">
        <v>0</v>
      </c>
      <c r="I66" s="8"/>
      <c r="J66" s="128">
        <f>SUM(G66:I66)</f>
        <v>0</v>
      </c>
      <c r="K66" s="136">
        <f>F66+J66</f>
        <v>93349348</v>
      </c>
      <c r="L66" s="8">
        <v>87256269</v>
      </c>
      <c r="M66" s="8">
        <v>5214202</v>
      </c>
      <c r="N66" s="8">
        <v>684000</v>
      </c>
      <c r="O66" s="128">
        <f>SUM(L66:N66)</f>
        <v>93154471</v>
      </c>
      <c r="P66" s="8">
        <v>0</v>
      </c>
      <c r="Q66" s="8"/>
      <c r="R66" s="8"/>
      <c r="S66" s="128">
        <f>SUM(P66:R66)</f>
        <v>0</v>
      </c>
      <c r="T66" s="136">
        <f t="shared" ref="T66:T69" si="43">O66+S66</f>
        <v>93154471</v>
      </c>
      <c r="U66" s="33">
        <v>87695736</v>
      </c>
      <c r="V66" s="33">
        <v>9679943</v>
      </c>
      <c r="W66" s="33">
        <v>805334</v>
      </c>
      <c r="X66" s="128">
        <f>SUM(U66:W66)</f>
        <v>98181013</v>
      </c>
      <c r="Y66" s="33">
        <v>0</v>
      </c>
      <c r="Z66" s="33">
        <v>0</v>
      </c>
      <c r="AA66" s="33">
        <v>0</v>
      </c>
      <c r="AB66" s="128">
        <f>SUM(Y66:AA66)</f>
        <v>0</v>
      </c>
      <c r="AC66" s="136">
        <f>X66+AB66</f>
        <v>98181013</v>
      </c>
      <c r="AD66" s="33">
        <v>117954014</v>
      </c>
      <c r="AE66" s="33">
        <v>14375647</v>
      </c>
      <c r="AF66" s="33">
        <v>10000</v>
      </c>
      <c r="AG66" s="128">
        <f>SUM(AD66:AF66)</f>
        <v>132339661</v>
      </c>
      <c r="AH66" s="8">
        <v>0</v>
      </c>
      <c r="AI66" s="8"/>
      <c r="AJ66" s="8"/>
      <c r="AK66" s="128">
        <f>SUM(AH66:AJ66)</f>
        <v>0</v>
      </c>
      <c r="AL66" s="136">
        <f t="shared" ref="AL66:AL71" si="44">AG66+AK66</f>
        <v>132339661</v>
      </c>
      <c r="AM66" s="8">
        <v>122830677</v>
      </c>
      <c r="AN66" s="8">
        <v>13272187</v>
      </c>
      <c r="AO66" s="8">
        <v>70000</v>
      </c>
      <c r="AP66" s="128">
        <f>SUM(AM66:AO66)</f>
        <v>136172864</v>
      </c>
      <c r="AQ66" s="8">
        <v>0</v>
      </c>
      <c r="AR66" s="8"/>
      <c r="AS66" s="8"/>
      <c r="AT66" s="128">
        <f>SUM(AQ66:AS66)</f>
        <v>0</v>
      </c>
      <c r="AU66" s="136">
        <f t="shared" si="31"/>
        <v>136172864</v>
      </c>
      <c r="AV66" s="8">
        <v>128975525</v>
      </c>
      <c r="AW66" s="8">
        <v>12962623</v>
      </c>
      <c r="AX66" s="8">
        <v>70000</v>
      </c>
      <c r="AY66" s="128">
        <f>SUM(AV66:AX66)</f>
        <v>142008148</v>
      </c>
      <c r="AZ66" s="8">
        <v>0</v>
      </c>
      <c r="BA66" s="8"/>
      <c r="BB66" s="8"/>
      <c r="BC66" s="128">
        <f>SUM(AZ66:BB66)</f>
        <v>0</v>
      </c>
      <c r="BD66" s="136">
        <f t="shared" si="6"/>
        <v>142008148</v>
      </c>
    </row>
    <row r="67" spans="1:56" ht="16.5" x14ac:dyDescent="0.25">
      <c r="A67" s="145" t="s">
        <v>110</v>
      </c>
      <c r="B67" s="7" t="s">
        <v>111</v>
      </c>
      <c r="C67" s="8">
        <v>484345</v>
      </c>
      <c r="D67" s="8">
        <v>251478</v>
      </c>
      <c r="E67" s="8">
        <v>12367752</v>
      </c>
      <c r="F67" s="128">
        <f>SUM(C67:E67)</f>
        <v>13103575</v>
      </c>
      <c r="G67" s="8">
        <v>3490000</v>
      </c>
      <c r="H67" s="8">
        <v>1750000</v>
      </c>
      <c r="I67" s="8"/>
      <c r="J67" s="128">
        <f>SUM(G67:I67)</f>
        <v>5240000</v>
      </c>
      <c r="K67" s="136">
        <f>F67+J67</f>
        <v>18343575</v>
      </c>
      <c r="L67" s="8">
        <v>484346</v>
      </c>
      <c r="M67" s="8">
        <v>1929694</v>
      </c>
      <c r="N67" s="8">
        <v>11193982</v>
      </c>
      <c r="O67" s="128">
        <f>SUM(L67:N67)</f>
        <v>13608022</v>
      </c>
      <c r="P67" s="8">
        <v>8820000</v>
      </c>
      <c r="Q67" s="8">
        <v>2500000</v>
      </c>
      <c r="R67" s="8">
        <v>421850</v>
      </c>
      <c r="S67" s="128">
        <f>SUM(P67:R67)</f>
        <v>11741850</v>
      </c>
      <c r="T67" s="136">
        <f t="shared" si="43"/>
        <v>25349872</v>
      </c>
      <c r="U67" s="35">
        <v>237991</v>
      </c>
      <c r="V67" s="35">
        <v>235389</v>
      </c>
      <c r="W67" s="35">
        <v>21845510</v>
      </c>
      <c r="X67" s="128">
        <f>SUM(U67:W67)</f>
        <v>22318890</v>
      </c>
      <c r="Y67" s="35">
        <f>2557199+5626801</f>
        <v>8184000</v>
      </c>
      <c r="Z67" s="35">
        <v>233615</v>
      </c>
      <c r="AA67" s="35">
        <v>4953552</v>
      </c>
      <c r="AB67" s="128">
        <f>SUM(Y67:AA67)</f>
        <v>13371167</v>
      </c>
      <c r="AC67" s="136">
        <f>X67+AB67</f>
        <v>35690057</v>
      </c>
      <c r="AD67" s="35">
        <v>286326</v>
      </c>
      <c r="AE67" s="35">
        <v>202389</v>
      </c>
      <c r="AF67" s="35">
        <v>20845545</v>
      </c>
      <c r="AG67" s="128">
        <f>SUM(AD67:AF67)</f>
        <v>21334260</v>
      </c>
      <c r="AH67" s="35">
        <f>3677085+5184000</f>
        <v>8861085</v>
      </c>
      <c r="AI67" s="8">
        <v>0</v>
      </c>
      <c r="AJ67" s="8">
        <v>0</v>
      </c>
      <c r="AK67" s="128">
        <f>SUM(AH67:AJ67)</f>
        <v>8861085</v>
      </c>
      <c r="AL67" s="136">
        <f t="shared" si="44"/>
        <v>30195345</v>
      </c>
      <c r="AM67" s="8">
        <v>299905</v>
      </c>
      <c r="AN67" s="8">
        <v>161116</v>
      </c>
      <c r="AO67" s="8">
        <v>22567933</v>
      </c>
      <c r="AP67" s="128">
        <f>SUM(AM67:AO67)</f>
        <v>23028954</v>
      </c>
      <c r="AQ67" s="8">
        <v>9684080</v>
      </c>
      <c r="AR67" s="8">
        <v>0</v>
      </c>
      <c r="AS67" s="8">
        <v>0</v>
      </c>
      <c r="AT67" s="128">
        <f>SUM(AQ67:AS67)</f>
        <v>9684080</v>
      </c>
      <c r="AU67" s="136">
        <f t="shared" si="31"/>
        <v>32713034</v>
      </c>
      <c r="AV67" s="8">
        <v>317015</v>
      </c>
      <c r="AW67" s="8">
        <v>165949</v>
      </c>
      <c r="AX67" s="8">
        <v>22565798</v>
      </c>
      <c r="AY67" s="128">
        <f>SUM(AV67:AX67)</f>
        <v>23048762</v>
      </c>
      <c r="AZ67" s="8">
        <v>10384000</v>
      </c>
      <c r="BA67" s="8">
        <v>0</v>
      </c>
      <c r="BB67" s="8">
        <v>0</v>
      </c>
      <c r="BC67" s="128">
        <f>SUM(AZ67:BB67)</f>
        <v>10384000</v>
      </c>
      <c r="BD67" s="136">
        <f t="shared" si="6"/>
        <v>33432762</v>
      </c>
    </row>
    <row r="68" spans="1:56" ht="16.5" x14ac:dyDescent="0.25">
      <c r="A68" s="146" t="s">
        <v>112</v>
      </c>
      <c r="B68" s="7" t="s">
        <v>113</v>
      </c>
      <c r="C68" s="8">
        <v>3517796</v>
      </c>
      <c r="D68" s="8">
        <v>1688198</v>
      </c>
      <c r="E68" s="8">
        <v>1901571</v>
      </c>
      <c r="F68" s="128">
        <f>SUM(C68:E68)</f>
        <v>7107565</v>
      </c>
      <c r="G68" s="8">
        <v>0</v>
      </c>
      <c r="H68" s="8"/>
      <c r="I68" s="8">
        <v>0</v>
      </c>
      <c r="J68" s="128">
        <f>SUM(G68:I68)</f>
        <v>0</v>
      </c>
      <c r="K68" s="136">
        <f>F68+J68</f>
        <v>7107565</v>
      </c>
      <c r="L68" s="8">
        <v>668879</v>
      </c>
      <c r="M68" s="8">
        <v>5027873</v>
      </c>
      <c r="N68" s="8">
        <v>2046952</v>
      </c>
      <c r="O68" s="128">
        <f>SUM(L68:N68)</f>
        <v>7743704</v>
      </c>
      <c r="P68" s="8">
        <v>0</v>
      </c>
      <c r="Q68" s="8">
        <v>0</v>
      </c>
      <c r="R68" s="8">
        <v>0</v>
      </c>
      <c r="S68" s="128">
        <f>SUM(P68:R68)</f>
        <v>0</v>
      </c>
      <c r="T68" s="136">
        <f t="shared" si="43"/>
        <v>7743704</v>
      </c>
      <c r="U68" s="40">
        <v>3135335</v>
      </c>
      <c r="V68" s="40">
        <v>2103737</v>
      </c>
      <c r="W68" s="40">
        <v>250000</v>
      </c>
      <c r="X68" s="128">
        <f>SUM(U68:W68)</f>
        <v>5489072</v>
      </c>
      <c r="Y68" s="40">
        <v>0</v>
      </c>
      <c r="Z68" s="40">
        <v>0</v>
      </c>
      <c r="AA68" s="40">
        <v>0</v>
      </c>
      <c r="AB68" s="128">
        <f>SUM(Y68:AA68)</f>
        <v>0</v>
      </c>
      <c r="AC68" s="136">
        <f>X68+AB68</f>
        <v>5489072</v>
      </c>
      <c r="AD68" s="40">
        <v>3723966</v>
      </c>
      <c r="AE68" s="40">
        <v>2109737</v>
      </c>
      <c r="AF68" s="40">
        <v>250000</v>
      </c>
      <c r="AG68" s="128">
        <f>SUM(AD68:AF68)</f>
        <v>6083703</v>
      </c>
      <c r="AH68" s="8">
        <v>0</v>
      </c>
      <c r="AI68" s="8">
        <v>0</v>
      </c>
      <c r="AJ68" s="8">
        <v>0</v>
      </c>
      <c r="AK68" s="128">
        <f>SUM(AH68:AJ68)</f>
        <v>0</v>
      </c>
      <c r="AL68" s="136">
        <f t="shared" si="44"/>
        <v>6083703</v>
      </c>
      <c r="AM68" s="8">
        <v>3763912</v>
      </c>
      <c r="AN68" s="8">
        <v>1537269</v>
      </c>
      <c r="AO68" s="8">
        <v>184813</v>
      </c>
      <c r="AP68" s="128">
        <f>SUM(AM68:AO68)</f>
        <v>5485994</v>
      </c>
      <c r="AQ68" s="8">
        <v>0</v>
      </c>
      <c r="AR68" s="8">
        <v>0</v>
      </c>
      <c r="AS68" s="8">
        <v>0</v>
      </c>
      <c r="AT68" s="128">
        <f>SUM(AQ68:AS68)</f>
        <v>0</v>
      </c>
      <c r="AU68" s="136">
        <f t="shared" si="31"/>
        <v>5485994</v>
      </c>
      <c r="AV68" s="8">
        <v>3814247</v>
      </c>
      <c r="AW68" s="8">
        <v>1842949</v>
      </c>
      <c r="AX68" s="8">
        <v>185999</v>
      </c>
      <c r="AY68" s="128">
        <f>SUM(AV68:AX68)</f>
        <v>5843195</v>
      </c>
      <c r="AZ68" s="8">
        <v>0</v>
      </c>
      <c r="BA68" s="8">
        <v>0</v>
      </c>
      <c r="BB68" s="8">
        <v>0</v>
      </c>
      <c r="BC68" s="128">
        <f>SUM(AZ68:BB68)</f>
        <v>0</v>
      </c>
      <c r="BD68" s="136">
        <f t="shared" si="6"/>
        <v>5843195</v>
      </c>
    </row>
    <row r="69" spans="1:56" ht="16.5" x14ac:dyDescent="0.25">
      <c r="A69" s="148"/>
      <c r="B69" s="18" t="s">
        <v>291</v>
      </c>
      <c r="C69" s="19">
        <v>0</v>
      </c>
      <c r="D69" s="19">
        <v>0</v>
      </c>
      <c r="E69" s="19">
        <v>0</v>
      </c>
      <c r="F69" s="129">
        <v>0</v>
      </c>
      <c r="G69" s="19">
        <v>0</v>
      </c>
      <c r="H69" s="19">
        <v>0</v>
      </c>
      <c r="I69" s="19">
        <v>0</v>
      </c>
      <c r="J69" s="129">
        <v>0</v>
      </c>
      <c r="K69" s="136">
        <v>0</v>
      </c>
      <c r="L69" s="19">
        <v>0</v>
      </c>
      <c r="M69" s="19">
        <v>0</v>
      </c>
      <c r="N69" s="19">
        <v>0</v>
      </c>
      <c r="O69" s="129">
        <v>0</v>
      </c>
      <c r="P69" s="19">
        <v>0</v>
      </c>
      <c r="Q69" s="19">
        <v>0</v>
      </c>
      <c r="R69" s="19">
        <v>0</v>
      </c>
      <c r="S69" s="129">
        <v>0</v>
      </c>
      <c r="T69" s="136">
        <f t="shared" si="43"/>
        <v>0</v>
      </c>
      <c r="U69" s="74">
        <v>0</v>
      </c>
      <c r="V69" s="74">
        <v>0</v>
      </c>
      <c r="W69" s="74">
        <v>0</v>
      </c>
      <c r="X69" s="129">
        <v>0</v>
      </c>
      <c r="Y69" s="74">
        <v>0</v>
      </c>
      <c r="Z69" s="74">
        <v>0</v>
      </c>
      <c r="AA69" s="74">
        <v>0</v>
      </c>
      <c r="AB69" s="129">
        <v>0</v>
      </c>
      <c r="AC69" s="136">
        <v>0</v>
      </c>
      <c r="AD69" s="19">
        <v>0</v>
      </c>
      <c r="AE69" s="19">
        <v>0</v>
      </c>
      <c r="AF69" s="19">
        <v>0</v>
      </c>
      <c r="AG69" s="129">
        <v>0</v>
      </c>
      <c r="AH69" s="19">
        <v>0</v>
      </c>
      <c r="AI69" s="19">
        <v>2850000</v>
      </c>
      <c r="AJ69" s="19">
        <v>0</v>
      </c>
      <c r="AK69" s="129">
        <f>AH69+AI69+AJ69</f>
        <v>2850000</v>
      </c>
      <c r="AL69" s="136">
        <f t="shared" si="44"/>
        <v>2850000</v>
      </c>
      <c r="AM69" s="19"/>
      <c r="AN69" s="19"/>
      <c r="AO69" s="19"/>
      <c r="AP69" s="129"/>
      <c r="AQ69" s="19"/>
      <c r="AR69" s="19">
        <v>2850000</v>
      </c>
      <c r="AS69" s="19"/>
      <c r="AT69" s="129">
        <f>SUM(AQ69:AS69)</f>
        <v>2850000</v>
      </c>
      <c r="AU69" s="136">
        <f t="shared" si="31"/>
        <v>2850000</v>
      </c>
      <c r="AV69" s="19"/>
      <c r="AW69" s="19"/>
      <c r="AX69" s="19"/>
      <c r="AY69" s="129"/>
      <c r="AZ69" s="19"/>
      <c r="BA69" s="19">
        <v>2850000</v>
      </c>
      <c r="BB69" s="19"/>
      <c r="BC69" s="129"/>
      <c r="BD69" s="136">
        <v>2850000</v>
      </c>
    </row>
    <row r="70" spans="1:56" ht="16.5" x14ac:dyDescent="0.25">
      <c r="A70" s="96" t="s">
        <v>227</v>
      </c>
      <c r="B70" s="97"/>
      <c r="C70" s="5">
        <v>11400</v>
      </c>
      <c r="D70" s="5">
        <v>688494</v>
      </c>
      <c r="E70" s="5">
        <v>694592</v>
      </c>
      <c r="F70" s="127">
        <v>1394486</v>
      </c>
      <c r="G70" s="5">
        <v>3740000</v>
      </c>
      <c r="H70" s="5">
        <v>0</v>
      </c>
      <c r="I70" s="5">
        <v>8000000</v>
      </c>
      <c r="J70" s="127">
        <v>11740000</v>
      </c>
      <c r="K70" s="136">
        <v>13134486</v>
      </c>
      <c r="L70" s="5">
        <f>L71+L73+L72+L74+L75</f>
        <v>306554</v>
      </c>
      <c r="M70" s="5">
        <f t="shared" ref="M70:S70" si="45">M71+M73+M72+M74+M75</f>
        <v>1864105</v>
      </c>
      <c r="N70" s="5">
        <f t="shared" si="45"/>
        <v>419808</v>
      </c>
      <c r="O70" s="127">
        <f t="shared" si="45"/>
        <v>2590467</v>
      </c>
      <c r="P70" s="5">
        <f t="shared" si="45"/>
        <v>5000000</v>
      </c>
      <c r="Q70" s="5">
        <f t="shared" si="45"/>
        <v>2105622</v>
      </c>
      <c r="R70" s="5">
        <f t="shared" si="45"/>
        <v>0</v>
      </c>
      <c r="S70" s="127">
        <f t="shared" si="45"/>
        <v>7105622</v>
      </c>
      <c r="T70" s="136">
        <f>S70+O70</f>
        <v>9696089</v>
      </c>
      <c r="U70" s="5">
        <v>1110180</v>
      </c>
      <c r="V70" s="5">
        <v>1622624</v>
      </c>
      <c r="W70" s="5">
        <v>5435693</v>
      </c>
      <c r="X70" s="127">
        <v>8168497</v>
      </c>
      <c r="Y70" s="5">
        <v>5500000</v>
      </c>
      <c r="Z70" s="5">
        <v>4458060</v>
      </c>
      <c r="AA70" s="5">
        <v>6125977</v>
      </c>
      <c r="AB70" s="127">
        <v>16084037</v>
      </c>
      <c r="AC70" s="136">
        <v>24252534</v>
      </c>
      <c r="AD70" s="5">
        <f t="shared" ref="AD70:AJ70" si="46">AD71+AD75+AD74</f>
        <v>1115416</v>
      </c>
      <c r="AE70" s="5">
        <f t="shared" si="46"/>
        <v>1888410</v>
      </c>
      <c r="AF70" s="5">
        <f t="shared" si="46"/>
        <v>5999607</v>
      </c>
      <c r="AG70" s="127">
        <f t="shared" si="46"/>
        <v>9003433</v>
      </c>
      <c r="AH70" s="5">
        <f t="shared" si="46"/>
        <v>8983076</v>
      </c>
      <c r="AI70" s="5">
        <f t="shared" si="46"/>
        <v>2388571</v>
      </c>
      <c r="AJ70" s="5">
        <f t="shared" si="46"/>
        <v>10700000</v>
      </c>
      <c r="AK70" s="127">
        <f>AH70+AI70+AJ70</f>
        <v>22071647</v>
      </c>
      <c r="AL70" s="136">
        <f t="shared" si="44"/>
        <v>31075080</v>
      </c>
      <c r="AM70" s="5">
        <f t="shared" ref="AM70:AU70" si="47">AM71+AM72+AM73+AM74+AM75</f>
        <v>1183508</v>
      </c>
      <c r="AN70" s="5">
        <f t="shared" si="47"/>
        <v>1888411</v>
      </c>
      <c r="AO70" s="5">
        <f t="shared" si="47"/>
        <v>5999607</v>
      </c>
      <c r="AP70" s="127">
        <f t="shared" si="47"/>
        <v>2698249</v>
      </c>
      <c r="AQ70" s="5">
        <f t="shared" si="47"/>
        <v>11285200</v>
      </c>
      <c r="AR70" s="5">
        <f t="shared" si="47"/>
        <v>1200000</v>
      </c>
      <c r="AS70" s="5">
        <f t="shared" si="47"/>
        <v>12401106</v>
      </c>
      <c r="AT70" s="127">
        <f t="shared" si="47"/>
        <v>24886306</v>
      </c>
      <c r="AU70" s="136">
        <f t="shared" si="47"/>
        <v>27584555</v>
      </c>
      <c r="AV70" s="5">
        <f t="shared" ref="AV70:BD70" si="48">AV71+AV72+AV73+AV74+AV75</f>
        <v>1229339</v>
      </c>
      <c r="AW70" s="5">
        <f t="shared" si="48"/>
        <v>1888411</v>
      </c>
      <c r="AX70" s="5">
        <f t="shared" si="48"/>
        <v>5999607</v>
      </c>
      <c r="AY70" s="127">
        <f t="shared" si="48"/>
        <v>9117357</v>
      </c>
      <c r="AZ70" s="5">
        <f t="shared" si="48"/>
        <v>12510200</v>
      </c>
      <c r="BA70" s="5">
        <f t="shared" si="48"/>
        <v>1200000</v>
      </c>
      <c r="BB70" s="5">
        <f t="shared" si="48"/>
        <v>14805000</v>
      </c>
      <c r="BC70" s="127">
        <f t="shared" si="48"/>
        <v>28515200</v>
      </c>
      <c r="BD70" s="136">
        <f t="shared" si="48"/>
        <v>37632557</v>
      </c>
    </row>
    <row r="71" spans="1:56" ht="16.5" x14ac:dyDescent="0.25">
      <c r="A71" s="145" t="s">
        <v>114</v>
      </c>
      <c r="B71" s="7" t="s">
        <v>233</v>
      </c>
      <c r="C71" s="8">
        <v>11400</v>
      </c>
      <c r="D71" s="8">
        <v>688494</v>
      </c>
      <c r="E71" s="8">
        <v>0</v>
      </c>
      <c r="F71" s="128">
        <f>C71+D71+E71</f>
        <v>699894</v>
      </c>
      <c r="G71" s="8">
        <v>0</v>
      </c>
      <c r="H71" s="8">
        <v>0</v>
      </c>
      <c r="I71" s="8">
        <v>0</v>
      </c>
      <c r="J71" s="128">
        <f>I71+G71</f>
        <v>0</v>
      </c>
      <c r="K71" s="136">
        <f>F71+J71</f>
        <v>699894</v>
      </c>
      <c r="L71" s="8">
        <v>253072</v>
      </c>
      <c r="M71" s="8">
        <v>1864105</v>
      </c>
      <c r="N71" s="8">
        <v>279808</v>
      </c>
      <c r="O71" s="128">
        <f t="shared" ref="O71:O78" si="49">L71+M71+N71</f>
        <v>2396985</v>
      </c>
      <c r="P71" s="8">
        <v>0</v>
      </c>
      <c r="Q71" s="8">
        <v>0</v>
      </c>
      <c r="R71" s="8">
        <v>0</v>
      </c>
      <c r="S71" s="128">
        <f t="shared" ref="S71:S78" si="50">P71+Q71+R71</f>
        <v>0</v>
      </c>
      <c r="T71" s="136">
        <f t="shared" ref="T71:T104" si="51">S71+O71</f>
        <v>2396985</v>
      </c>
      <c r="U71" s="33">
        <v>918670</v>
      </c>
      <c r="V71" s="33">
        <f>1282455+22230</f>
        <v>1304685</v>
      </c>
      <c r="W71" s="33">
        <v>0</v>
      </c>
      <c r="X71" s="128">
        <f>SUM(U71:W71)</f>
        <v>2223355</v>
      </c>
      <c r="Y71" s="33">
        <v>0</v>
      </c>
      <c r="Z71" s="33">
        <v>0</v>
      </c>
      <c r="AA71" s="33">
        <v>0</v>
      </c>
      <c r="AB71" s="128">
        <f>AA71+Y71</f>
        <v>0</v>
      </c>
      <c r="AC71" s="136">
        <f>X71+AB71</f>
        <v>2223355</v>
      </c>
      <c r="AD71" s="8">
        <v>890658</v>
      </c>
      <c r="AE71" s="8">
        <v>1577981</v>
      </c>
      <c r="AF71" s="8">
        <v>0</v>
      </c>
      <c r="AG71" s="128">
        <f>AD71+AE71+AF71</f>
        <v>2468639</v>
      </c>
      <c r="AH71" s="8">
        <v>0</v>
      </c>
      <c r="AI71" s="8">
        <v>0</v>
      </c>
      <c r="AJ71" s="8">
        <v>0</v>
      </c>
      <c r="AK71" s="128">
        <f>AJ71+AH71</f>
        <v>0</v>
      </c>
      <c r="AL71" s="136">
        <f t="shared" si="44"/>
        <v>2468639</v>
      </c>
      <c r="AM71" s="8">
        <v>942486</v>
      </c>
      <c r="AN71" s="8">
        <v>1577982</v>
      </c>
      <c r="AO71" s="8">
        <v>0</v>
      </c>
      <c r="AP71" s="128">
        <f>AM71+AN71+AO71</f>
        <v>2520468</v>
      </c>
      <c r="AQ71" s="8">
        <v>0</v>
      </c>
      <c r="AR71" s="8">
        <v>0</v>
      </c>
      <c r="AS71" s="8">
        <v>0</v>
      </c>
      <c r="AT71" s="128">
        <f>AS71+AQ71</f>
        <v>0</v>
      </c>
      <c r="AU71" s="136">
        <f t="shared" si="31"/>
        <v>2520468</v>
      </c>
      <c r="AV71" s="8">
        <v>977370</v>
      </c>
      <c r="AW71" s="8">
        <v>1577982</v>
      </c>
      <c r="AX71" s="8">
        <v>0</v>
      </c>
      <c r="AY71" s="128">
        <f t="shared" ref="AY71:AY75" si="52">AV71+AW71+AX71</f>
        <v>2555352</v>
      </c>
      <c r="AZ71" s="8">
        <v>0</v>
      </c>
      <c r="BA71" s="8">
        <v>0</v>
      </c>
      <c r="BB71" s="8">
        <v>0</v>
      </c>
      <c r="BC71" s="128">
        <f>AZ71+BA71+BB71</f>
        <v>0</v>
      </c>
      <c r="BD71" s="136">
        <f t="shared" si="6"/>
        <v>2555352</v>
      </c>
    </row>
    <row r="72" spans="1:56" ht="16.5" x14ac:dyDescent="0.25">
      <c r="A72" s="145" t="s">
        <v>115</v>
      </c>
      <c r="B72" s="7" t="s">
        <v>238</v>
      </c>
      <c r="C72" s="8">
        <v>0</v>
      </c>
      <c r="D72" s="8">
        <v>0</v>
      </c>
      <c r="E72" s="8">
        <v>694592</v>
      </c>
      <c r="F72" s="128">
        <f>C72+D72+E72</f>
        <v>694592</v>
      </c>
      <c r="G72" s="8">
        <v>3740000</v>
      </c>
      <c r="H72" s="8"/>
      <c r="I72" s="8">
        <v>8000000</v>
      </c>
      <c r="J72" s="128">
        <f>I72+G72</f>
        <v>11740000</v>
      </c>
      <c r="K72" s="136">
        <f>F72+J72</f>
        <v>12434592</v>
      </c>
      <c r="L72" s="8">
        <v>0</v>
      </c>
      <c r="M72" s="8">
        <v>0</v>
      </c>
      <c r="N72" s="8">
        <v>0</v>
      </c>
      <c r="O72" s="128">
        <f t="shared" si="49"/>
        <v>0</v>
      </c>
      <c r="P72" s="8">
        <v>1400000</v>
      </c>
      <c r="Q72" s="8">
        <v>0</v>
      </c>
      <c r="R72" s="8">
        <v>0</v>
      </c>
      <c r="S72" s="128">
        <f t="shared" si="50"/>
        <v>1400000</v>
      </c>
      <c r="T72" s="136">
        <f t="shared" si="51"/>
        <v>1400000</v>
      </c>
      <c r="U72" s="35">
        <v>0</v>
      </c>
      <c r="V72" s="35">
        <v>0</v>
      </c>
      <c r="W72" s="35">
        <v>0</v>
      </c>
      <c r="X72" s="128">
        <f>SUM(U72:W72)</f>
        <v>0</v>
      </c>
      <c r="Y72" s="35">
        <v>659000</v>
      </c>
      <c r="Z72" s="35">
        <v>0</v>
      </c>
      <c r="AA72" s="35">
        <v>0</v>
      </c>
      <c r="AB72" s="128">
        <f>AA72+Y72</f>
        <v>659000</v>
      </c>
      <c r="AC72" s="136">
        <f>X72+AB72</f>
        <v>659000</v>
      </c>
      <c r="AD72" s="71">
        <v>0</v>
      </c>
      <c r="AE72" s="71">
        <v>0</v>
      </c>
      <c r="AF72" s="71">
        <v>0</v>
      </c>
      <c r="AG72" s="128">
        <v>0</v>
      </c>
      <c r="AH72" s="71">
        <v>0</v>
      </c>
      <c r="AI72" s="71">
        <v>0</v>
      </c>
      <c r="AJ72" s="71">
        <v>0</v>
      </c>
      <c r="AK72" s="128">
        <f>AH72+AI72+AJ72</f>
        <v>0</v>
      </c>
      <c r="AL72" s="136">
        <v>0</v>
      </c>
      <c r="AM72" s="8">
        <v>0</v>
      </c>
      <c r="AN72" s="8">
        <v>0</v>
      </c>
      <c r="AO72" s="8">
        <v>0</v>
      </c>
      <c r="AP72" s="128">
        <f>AM72+AN72+AO72</f>
        <v>0</v>
      </c>
      <c r="AQ72" s="8">
        <v>0</v>
      </c>
      <c r="AR72" s="35">
        <v>0</v>
      </c>
      <c r="AS72" s="35">
        <v>0</v>
      </c>
      <c r="AT72" s="128">
        <f>AS72+AQ72</f>
        <v>0</v>
      </c>
      <c r="AU72" s="136">
        <f t="shared" si="31"/>
        <v>0</v>
      </c>
      <c r="AV72" s="8">
        <v>0</v>
      </c>
      <c r="AW72" s="8">
        <v>0</v>
      </c>
      <c r="AX72" s="8">
        <v>0</v>
      </c>
      <c r="AY72" s="128">
        <f t="shared" si="52"/>
        <v>0</v>
      </c>
      <c r="AZ72" s="8">
        <v>0</v>
      </c>
      <c r="BA72" s="35">
        <v>0</v>
      </c>
      <c r="BB72" s="35">
        <v>0</v>
      </c>
      <c r="BC72" s="128">
        <f>AZ72+BA72+BB72</f>
        <v>0</v>
      </c>
      <c r="BD72" s="136">
        <f t="shared" si="6"/>
        <v>0</v>
      </c>
    </row>
    <row r="73" spans="1:56" ht="33" x14ac:dyDescent="0.25">
      <c r="A73" s="149"/>
      <c r="B73" s="18" t="s">
        <v>239</v>
      </c>
      <c r="C73" s="27"/>
      <c r="D73" s="27"/>
      <c r="E73" s="27"/>
      <c r="F73" s="130"/>
      <c r="G73" s="27"/>
      <c r="H73" s="27"/>
      <c r="I73" s="27"/>
      <c r="J73" s="130"/>
      <c r="K73" s="136">
        <f>F73+J73</f>
        <v>0</v>
      </c>
      <c r="L73" s="27">
        <v>17047</v>
      </c>
      <c r="M73" s="27">
        <v>0</v>
      </c>
      <c r="N73" s="27">
        <v>120000</v>
      </c>
      <c r="O73" s="130">
        <f t="shared" si="49"/>
        <v>137047</v>
      </c>
      <c r="P73" s="27">
        <v>2450000</v>
      </c>
      <c r="Q73" s="27">
        <v>0</v>
      </c>
      <c r="R73" s="27"/>
      <c r="S73" s="130">
        <f t="shared" si="50"/>
        <v>2450000</v>
      </c>
      <c r="T73" s="136">
        <f t="shared" si="51"/>
        <v>2587047</v>
      </c>
      <c r="U73" s="35">
        <v>22832</v>
      </c>
      <c r="V73" s="35">
        <v>32000</v>
      </c>
      <c r="W73" s="35">
        <v>0</v>
      </c>
      <c r="X73" s="130">
        <f>SUM(U73:W73)</f>
        <v>54832</v>
      </c>
      <c r="Y73" s="35">
        <v>2426000</v>
      </c>
      <c r="Z73" s="35">
        <v>4458060</v>
      </c>
      <c r="AA73" s="35">
        <v>0</v>
      </c>
      <c r="AB73" s="130">
        <f>Y73+Z73+AA73</f>
        <v>6884060</v>
      </c>
      <c r="AC73" s="136">
        <f>X73+AB73</f>
        <v>6938892</v>
      </c>
      <c r="AD73" s="8">
        <v>0</v>
      </c>
      <c r="AE73" s="8">
        <v>0</v>
      </c>
      <c r="AF73" s="8">
        <v>0</v>
      </c>
      <c r="AG73" s="130">
        <f>AD73+AE73+AF73</f>
        <v>0</v>
      </c>
      <c r="AH73" s="35">
        <v>0</v>
      </c>
      <c r="AI73" s="35">
        <v>0</v>
      </c>
      <c r="AJ73" s="35">
        <v>0</v>
      </c>
      <c r="AK73" s="130">
        <f>AJ73+AH73</f>
        <v>0</v>
      </c>
      <c r="AL73" s="136">
        <f>AG73+AK73</f>
        <v>0</v>
      </c>
      <c r="AM73" s="8">
        <v>0</v>
      </c>
      <c r="AN73" s="8">
        <v>0</v>
      </c>
      <c r="AO73" s="8">
        <v>0</v>
      </c>
      <c r="AP73" s="130">
        <f>AM73+AN73+AO73</f>
        <v>0</v>
      </c>
      <c r="AQ73" s="35">
        <v>0</v>
      </c>
      <c r="AR73" s="35">
        <v>0</v>
      </c>
      <c r="AS73" s="35">
        <v>0</v>
      </c>
      <c r="AT73" s="130">
        <f>AS73+AQ73</f>
        <v>0</v>
      </c>
      <c r="AU73" s="136">
        <f t="shared" si="31"/>
        <v>0</v>
      </c>
      <c r="AV73" s="8">
        <v>0</v>
      </c>
      <c r="AW73" s="8">
        <v>0</v>
      </c>
      <c r="AX73" s="8">
        <v>0</v>
      </c>
      <c r="AY73" s="130">
        <f t="shared" si="52"/>
        <v>0</v>
      </c>
      <c r="AZ73" s="35">
        <v>0</v>
      </c>
      <c r="BA73" s="35">
        <v>0</v>
      </c>
      <c r="BB73" s="35">
        <v>0</v>
      </c>
      <c r="BC73" s="130">
        <f>AZ73+BA73+BB73</f>
        <v>0</v>
      </c>
      <c r="BD73" s="136">
        <f t="shared" si="6"/>
        <v>0</v>
      </c>
    </row>
    <row r="74" spans="1:56" ht="16.5" x14ac:dyDescent="0.25">
      <c r="A74" s="149"/>
      <c r="B74" s="18" t="s">
        <v>243</v>
      </c>
      <c r="C74" s="27"/>
      <c r="D74" s="27"/>
      <c r="E74" s="27"/>
      <c r="F74" s="130"/>
      <c r="G74" s="27"/>
      <c r="H74" s="27"/>
      <c r="I74" s="27"/>
      <c r="J74" s="130"/>
      <c r="K74" s="136"/>
      <c r="L74" s="27"/>
      <c r="M74" s="27"/>
      <c r="N74" s="27"/>
      <c r="O74" s="130"/>
      <c r="P74" s="27"/>
      <c r="Q74" s="83"/>
      <c r="R74" s="27"/>
      <c r="S74" s="130"/>
      <c r="T74" s="136">
        <f t="shared" si="51"/>
        <v>0</v>
      </c>
      <c r="U74" s="40">
        <v>103821</v>
      </c>
      <c r="V74" s="40">
        <v>265939</v>
      </c>
      <c r="W74" s="40">
        <v>4365693</v>
      </c>
      <c r="X74" s="130">
        <f>SUM(U74:W74)</f>
        <v>4735453</v>
      </c>
      <c r="Y74" s="40">
        <v>1787000</v>
      </c>
      <c r="Z74" s="40">
        <v>0</v>
      </c>
      <c r="AA74" s="40">
        <v>3000000</v>
      </c>
      <c r="AB74" s="130">
        <f>AA74+Y74</f>
        <v>4787000</v>
      </c>
      <c r="AC74" s="136">
        <f>X74+AB74</f>
        <v>9522453</v>
      </c>
      <c r="AD74" s="8">
        <v>107344</v>
      </c>
      <c r="AE74" s="8">
        <v>258429</v>
      </c>
      <c r="AF74" s="8">
        <v>5999607</v>
      </c>
      <c r="AG74" s="130">
        <f>AD74+AE74+AF74</f>
        <v>6365380</v>
      </c>
      <c r="AH74" s="8">
        <v>1200000</v>
      </c>
      <c r="AI74" s="40">
        <v>0</v>
      </c>
      <c r="AJ74" s="40">
        <v>5100000</v>
      </c>
      <c r="AK74" s="130">
        <f>AJ74+AH74</f>
        <v>6300000</v>
      </c>
      <c r="AL74" s="136">
        <f>AG74+AK74</f>
        <v>12665380</v>
      </c>
      <c r="AM74" s="8">
        <v>115241</v>
      </c>
      <c r="AN74" s="8">
        <v>258429</v>
      </c>
      <c r="AO74" s="8">
        <v>5999607</v>
      </c>
      <c r="AP74" s="130"/>
      <c r="AQ74" s="8">
        <v>1200000</v>
      </c>
      <c r="AR74" s="40">
        <v>0</v>
      </c>
      <c r="AS74" s="40">
        <v>5100000</v>
      </c>
      <c r="AT74" s="130">
        <f>AS74+AQ74</f>
        <v>6300000</v>
      </c>
      <c r="AU74" s="136">
        <f t="shared" si="31"/>
        <v>6300000</v>
      </c>
      <c r="AV74" s="8">
        <v>120556</v>
      </c>
      <c r="AW74" s="8">
        <v>258429</v>
      </c>
      <c r="AX74" s="8">
        <v>5999607</v>
      </c>
      <c r="AY74" s="130">
        <f t="shared" si="52"/>
        <v>6378592</v>
      </c>
      <c r="AZ74" s="8">
        <v>2425000</v>
      </c>
      <c r="BA74" s="40">
        <v>0</v>
      </c>
      <c r="BB74" s="40">
        <v>0</v>
      </c>
      <c r="BC74" s="130">
        <f>AZ74+BA74+BB74</f>
        <v>2425000</v>
      </c>
      <c r="BD74" s="136">
        <f t="shared" si="6"/>
        <v>8803592</v>
      </c>
    </row>
    <row r="75" spans="1:56" ht="16.5" x14ac:dyDescent="0.25">
      <c r="A75" s="149"/>
      <c r="B75" s="18" t="s">
        <v>240</v>
      </c>
      <c r="C75" s="27"/>
      <c r="D75" s="27"/>
      <c r="E75" s="27"/>
      <c r="F75" s="130"/>
      <c r="G75" s="27"/>
      <c r="H75" s="27"/>
      <c r="I75" s="27"/>
      <c r="J75" s="130"/>
      <c r="K75" s="137">
        <f>F75+J75</f>
        <v>0</v>
      </c>
      <c r="L75" s="27">
        <v>36435</v>
      </c>
      <c r="M75" s="27">
        <v>0</v>
      </c>
      <c r="N75" s="27">
        <v>20000</v>
      </c>
      <c r="O75" s="130">
        <f t="shared" si="49"/>
        <v>56435</v>
      </c>
      <c r="P75" s="27">
        <v>1150000</v>
      </c>
      <c r="Q75" s="83">
        <v>2105622</v>
      </c>
      <c r="R75" s="27">
        <v>0</v>
      </c>
      <c r="S75" s="130">
        <f t="shared" si="50"/>
        <v>3255622</v>
      </c>
      <c r="T75" s="137">
        <f t="shared" si="51"/>
        <v>3312057</v>
      </c>
      <c r="U75" s="35">
        <v>64857</v>
      </c>
      <c r="V75" s="35">
        <v>20000</v>
      </c>
      <c r="W75" s="35">
        <v>1070000</v>
      </c>
      <c r="X75" s="130">
        <f>SUM(U75:W75)</f>
        <v>1154857</v>
      </c>
      <c r="Y75" s="35">
        <v>628000</v>
      </c>
      <c r="Z75" s="35">
        <v>0</v>
      </c>
      <c r="AA75" s="35">
        <v>3125977</v>
      </c>
      <c r="AB75" s="130">
        <f>Y75+Z75+AA75</f>
        <v>3753977</v>
      </c>
      <c r="AC75" s="137">
        <f>X75+AB75</f>
        <v>4908834</v>
      </c>
      <c r="AD75" s="8">
        <v>117414</v>
      </c>
      <c r="AE75" s="8">
        <v>52000</v>
      </c>
      <c r="AF75" s="8">
        <v>0</v>
      </c>
      <c r="AG75" s="130">
        <f>AD75+AE75+AF75</f>
        <v>169414</v>
      </c>
      <c r="AH75" s="8">
        <v>7783076</v>
      </c>
      <c r="AI75" s="35">
        <v>2388571</v>
      </c>
      <c r="AJ75" s="35">
        <v>5600000</v>
      </c>
      <c r="AK75" s="130">
        <f>AH75+AI75+AJ75</f>
        <v>15771647</v>
      </c>
      <c r="AL75" s="137">
        <f>AG75+AK75</f>
        <v>15941061</v>
      </c>
      <c r="AM75" s="8">
        <v>125781</v>
      </c>
      <c r="AN75" s="8">
        <v>52000</v>
      </c>
      <c r="AO75" s="8">
        <v>0</v>
      </c>
      <c r="AP75" s="130">
        <f>AM75+AN75+AO75</f>
        <v>177781</v>
      </c>
      <c r="AQ75" s="8">
        <v>10085200</v>
      </c>
      <c r="AR75" s="35">
        <v>1200000</v>
      </c>
      <c r="AS75" s="35">
        <v>7301106</v>
      </c>
      <c r="AT75" s="130">
        <f>AQ75+AR75+AS75</f>
        <v>18586306</v>
      </c>
      <c r="AU75" s="137">
        <f t="shared" si="31"/>
        <v>18764087</v>
      </c>
      <c r="AV75" s="8">
        <v>131413</v>
      </c>
      <c r="AW75" s="27">
        <v>52000</v>
      </c>
      <c r="AX75" s="8">
        <v>0</v>
      </c>
      <c r="AY75" s="130">
        <f t="shared" si="52"/>
        <v>183413</v>
      </c>
      <c r="AZ75" s="8">
        <v>10085200</v>
      </c>
      <c r="BA75" s="35">
        <v>1200000</v>
      </c>
      <c r="BB75" s="35">
        <v>14805000</v>
      </c>
      <c r="BC75" s="130">
        <f>AZ75+BA75+BB75</f>
        <v>26090200</v>
      </c>
      <c r="BD75" s="137">
        <f>AY75+BC75</f>
        <v>26273613</v>
      </c>
    </row>
    <row r="76" spans="1:56" ht="16.5" x14ac:dyDescent="0.25">
      <c r="A76" s="96" t="s">
        <v>232</v>
      </c>
      <c r="B76" s="97"/>
      <c r="C76" s="25">
        <v>887700</v>
      </c>
      <c r="D76" s="25">
        <v>509580</v>
      </c>
      <c r="E76" s="25">
        <v>3849895</v>
      </c>
      <c r="F76" s="131">
        <v>5247175</v>
      </c>
      <c r="G76" s="25">
        <v>0</v>
      </c>
      <c r="H76" s="25">
        <v>0</v>
      </c>
      <c r="I76" s="25">
        <v>0</v>
      </c>
      <c r="J76" s="131">
        <v>0</v>
      </c>
      <c r="K76" s="138">
        <v>5247175</v>
      </c>
      <c r="L76" s="25">
        <f>L77+L78</f>
        <v>613606</v>
      </c>
      <c r="M76" s="25">
        <f t="shared" ref="M76:S76" si="53">M77+M78</f>
        <v>1023113</v>
      </c>
      <c r="N76" s="25">
        <f t="shared" si="53"/>
        <v>3661791</v>
      </c>
      <c r="O76" s="131">
        <f t="shared" si="53"/>
        <v>5298510</v>
      </c>
      <c r="P76" s="25">
        <f t="shared" si="53"/>
        <v>100000</v>
      </c>
      <c r="Q76" s="25">
        <f t="shared" si="53"/>
        <v>0</v>
      </c>
      <c r="R76" s="25">
        <f t="shared" si="53"/>
        <v>0</v>
      </c>
      <c r="S76" s="131">
        <f t="shared" si="53"/>
        <v>100000</v>
      </c>
      <c r="T76" s="138">
        <f t="shared" si="51"/>
        <v>5398510</v>
      </c>
      <c r="U76" s="25">
        <v>0</v>
      </c>
      <c r="V76" s="25">
        <v>0</v>
      </c>
      <c r="W76" s="25">
        <v>0</v>
      </c>
      <c r="X76" s="131">
        <v>0</v>
      </c>
      <c r="Y76" s="25">
        <v>0</v>
      </c>
      <c r="Z76" s="25">
        <v>0</v>
      </c>
      <c r="AA76" s="25">
        <v>0</v>
      </c>
      <c r="AB76" s="131">
        <v>0</v>
      </c>
      <c r="AC76" s="138">
        <v>0</v>
      </c>
      <c r="AD76" s="25">
        <v>0</v>
      </c>
      <c r="AE76" s="25">
        <v>0</v>
      </c>
      <c r="AF76" s="25">
        <v>0</v>
      </c>
      <c r="AG76" s="131">
        <v>0</v>
      </c>
      <c r="AH76" s="25">
        <v>0</v>
      </c>
      <c r="AI76" s="25">
        <v>0</v>
      </c>
      <c r="AJ76" s="25">
        <v>0</v>
      </c>
      <c r="AK76" s="131">
        <v>0</v>
      </c>
      <c r="AL76" s="138">
        <v>0</v>
      </c>
      <c r="AM76" s="25">
        <v>0</v>
      </c>
      <c r="AN76" s="25">
        <v>0</v>
      </c>
      <c r="AO76" s="25">
        <v>0</v>
      </c>
      <c r="AP76" s="131">
        <v>0</v>
      </c>
      <c r="AQ76" s="25">
        <v>0</v>
      </c>
      <c r="AR76" s="25">
        <v>0</v>
      </c>
      <c r="AS76" s="25">
        <v>0</v>
      </c>
      <c r="AT76" s="131">
        <v>0</v>
      </c>
      <c r="AU76" s="138">
        <v>0</v>
      </c>
      <c r="AV76" s="25">
        <v>0</v>
      </c>
      <c r="AW76" s="25">
        <v>0</v>
      </c>
      <c r="AX76" s="25">
        <v>0</v>
      </c>
      <c r="AY76" s="131">
        <v>0</v>
      </c>
      <c r="AZ76" s="25">
        <v>0</v>
      </c>
      <c r="BA76" s="25">
        <v>0</v>
      </c>
      <c r="BB76" s="25">
        <v>0</v>
      </c>
      <c r="BC76" s="131">
        <v>0</v>
      </c>
      <c r="BD76" s="138">
        <v>0</v>
      </c>
    </row>
    <row r="77" spans="1:56" ht="16.5" x14ac:dyDescent="0.25">
      <c r="A77" s="150" t="s">
        <v>114</v>
      </c>
      <c r="B77" s="7" t="s">
        <v>234</v>
      </c>
      <c r="C77" s="8">
        <v>751212</v>
      </c>
      <c r="D77" s="8">
        <v>278412</v>
      </c>
      <c r="E77" s="8">
        <v>283404</v>
      </c>
      <c r="F77" s="131">
        <f>C77+D77+E77</f>
        <v>1313028</v>
      </c>
      <c r="G77" s="8"/>
      <c r="H77" s="8"/>
      <c r="I77" s="8"/>
      <c r="J77" s="131">
        <f>G77+H77+I77</f>
        <v>0</v>
      </c>
      <c r="K77" s="138">
        <f>F77+J77</f>
        <v>1313028</v>
      </c>
      <c r="L77" s="8">
        <v>429025</v>
      </c>
      <c r="M77" s="8">
        <v>686788</v>
      </c>
      <c r="N77" s="8">
        <v>251904</v>
      </c>
      <c r="O77" s="131">
        <f t="shared" si="49"/>
        <v>1367717</v>
      </c>
      <c r="P77" s="8"/>
      <c r="Q77" s="8"/>
      <c r="R77" s="8"/>
      <c r="S77" s="131">
        <f t="shared" si="50"/>
        <v>0</v>
      </c>
      <c r="T77" s="138">
        <f t="shared" si="51"/>
        <v>1367717</v>
      </c>
      <c r="U77" s="8">
        <v>0</v>
      </c>
      <c r="V77" s="8">
        <v>0</v>
      </c>
      <c r="W77" s="8">
        <v>0</v>
      </c>
      <c r="X77" s="131">
        <v>0</v>
      </c>
      <c r="Y77" s="8">
        <v>0</v>
      </c>
      <c r="Z77" s="8">
        <v>0</v>
      </c>
      <c r="AA77" s="8">
        <v>0</v>
      </c>
      <c r="AB77" s="131">
        <v>0</v>
      </c>
      <c r="AC77" s="138">
        <v>0</v>
      </c>
      <c r="AD77" s="8">
        <v>0</v>
      </c>
      <c r="AE77" s="8">
        <v>0</v>
      </c>
      <c r="AF77" s="8">
        <v>0</v>
      </c>
      <c r="AG77" s="131">
        <v>0</v>
      </c>
      <c r="AH77" s="8">
        <v>0</v>
      </c>
      <c r="AI77" s="8">
        <v>0</v>
      </c>
      <c r="AJ77" s="8">
        <v>0</v>
      </c>
      <c r="AK77" s="131">
        <v>0</v>
      </c>
      <c r="AL77" s="138">
        <v>0</v>
      </c>
      <c r="AM77" s="8">
        <v>0</v>
      </c>
      <c r="AN77" s="8">
        <v>0</v>
      </c>
      <c r="AO77" s="8">
        <v>0</v>
      </c>
      <c r="AP77" s="131">
        <v>0</v>
      </c>
      <c r="AQ77" s="8">
        <v>0</v>
      </c>
      <c r="AR77" s="8">
        <v>0</v>
      </c>
      <c r="AS77" s="8">
        <v>0</v>
      </c>
      <c r="AT77" s="131">
        <v>0</v>
      </c>
      <c r="AU77" s="138">
        <v>0</v>
      </c>
      <c r="AV77" s="8">
        <v>0</v>
      </c>
      <c r="AW77" s="8">
        <v>0</v>
      </c>
      <c r="AX77" s="8">
        <v>0</v>
      </c>
      <c r="AY77" s="131">
        <v>0</v>
      </c>
      <c r="AZ77" s="8">
        <v>0</v>
      </c>
      <c r="BA77" s="8"/>
      <c r="BB77" s="8">
        <v>0</v>
      </c>
      <c r="BC77" s="131"/>
      <c r="BD77" s="138">
        <f>AY77+BC77</f>
        <v>0</v>
      </c>
    </row>
    <row r="78" spans="1:56" ht="16.5" x14ac:dyDescent="0.25">
      <c r="A78" s="146" t="s">
        <v>116</v>
      </c>
      <c r="B78" s="7" t="s">
        <v>235</v>
      </c>
      <c r="C78" s="8">
        <f>16021+35035+22158+63274</f>
        <v>136488</v>
      </c>
      <c r="D78" s="8">
        <v>231168</v>
      </c>
      <c r="E78" s="8">
        <v>3566491</v>
      </c>
      <c r="F78" s="131">
        <f>C78+D78+E78</f>
        <v>3934147</v>
      </c>
      <c r="G78" s="8">
        <v>0</v>
      </c>
      <c r="H78" s="8"/>
      <c r="I78" s="8"/>
      <c r="J78" s="131">
        <f>G78+H78+I78</f>
        <v>0</v>
      </c>
      <c r="K78" s="138">
        <f>F78+J78</f>
        <v>3934147</v>
      </c>
      <c r="L78" s="8">
        <v>184581</v>
      </c>
      <c r="M78" s="8">
        <v>336325</v>
      </c>
      <c r="N78" s="8">
        <v>3409887</v>
      </c>
      <c r="O78" s="131">
        <f t="shared" si="49"/>
        <v>3930793</v>
      </c>
      <c r="P78" s="8">
        <v>100000</v>
      </c>
      <c r="Q78" s="8"/>
      <c r="R78" s="8"/>
      <c r="S78" s="131">
        <f t="shared" si="50"/>
        <v>100000</v>
      </c>
      <c r="T78" s="138">
        <f t="shared" si="51"/>
        <v>4030793</v>
      </c>
      <c r="U78" s="8">
        <v>0</v>
      </c>
      <c r="V78" s="8">
        <v>0</v>
      </c>
      <c r="W78" s="8">
        <v>0</v>
      </c>
      <c r="X78" s="131">
        <v>0</v>
      </c>
      <c r="Y78" s="8">
        <v>0</v>
      </c>
      <c r="Z78" s="8"/>
      <c r="AA78" s="8"/>
      <c r="AB78" s="131">
        <v>0</v>
      </c>
      <c r="AC78" s="138">
        <v>0</v>
      </c>
      <c r="AD78" s="8">
        <v>0</v>
      </c>
      <c r="AE78" s="8">
        <v>0</v>
      </c>
      <c r="AF78" s="8">
        <v>0</v>
      </c>
      <c r="AG78" s="131">
        <v>0</v>
      </c>
      <c r="AH78" s="8">
        <v>0</v>
      </c>
      <c r="AI78" s="8"/>
      <c r="AJ78" s="8"/>
      <c r="AK78" s="131">
        <v>0</v>
      </c>
      <c r="AL78" s="138">
        <v>0</v>
      </c>
      <c r="AM78" s="8">
        <v>0</v>
      </c>
      <c r="AN78" s="8">
        <v>0</v>
      </c>
      <c r="AO78" s="8">
        <v>0</v>
      </c>
      <c r="AP78" s="131">
        <v>0</v>
      </c>
      <c r="AQ78" s="8">
        <v>0</v>
      </c>
      <c r="AR78" s="8"/>
      <c r="AS78" s="8"/>
      <c r="AT78" s="131">
        <v>0</v>
      </c>
      <c r="AU78" s="138">
        <v>0</v>
      </c>
      <c r="AV78" s="8">
        <v>0</v>
      </c>
      <c r="AW78" s="8">
        <v>0</v>
      </c>
      <c r="AX78" s="8">
        <v>0</v>
      </c>
      <c r="AY78" s="131">
        <v>0</v>
      </c>
      <c r="AZ78" s="8">
        <v>0</v>
      </c>
      <c r="BA78" s="8">
        <v>0</v>
      </c>
      <c r="BB78" s="8">
        <v>0</v>
      </c>
      <c r="BC78" s="131">
        <v>0</v>
      </c>
      <c r="BD78" s="138">
        <v>0</v>
      </c>
    </row>
    <row r="79" spans="1:56" ht="16.5" x14ac:dyDescent="0.25">
      <c r="A79" s="96" t="s">
        <v>117</v>
      </c>
      <c r="B79" s="97"/>
      <c r="C79" s="5">
        <v>1064900</v>
      </c>
      <c r="D79" s="5">
        <v>1438918</v>
      </c>
      <c r="E79" s="5">
        <v>1589225</v>
      </c>
      <c r="F79" s="127">
        <v>4093043</v>
      </c>
      <c r="G79" s="5">
        <v>73335000</v>
      </c>
      <c r="H79" s="5">
        <v>0</v>
      </c>
      <c r="I79" s="5">
        <v>26100000</v>
      </c>
      <c r="J79" s="127">
        <v>99435000</v>
      </c>
      <c r="K79" s="136">
        <v>103528043</v>
      </c>
      <c r="L79" s="5">
        <f>L80+L81+L82+L83+L84</f>
        <v>1078696</v>
      </c>
      <c r="M79" s="5">
        <f t="shared" ref="M79:S79" si="54">M80+M81+M82+M83+M84</f>
        <v>2030095</v>
      </c>
      <c r="N79" s="5">
        <f t="shared" si="54"/>
        <v>673500</v>
      </c>
      <c r="O79" s="127">
        <f t="shared" si="54"/>
        <v>3782291</v>
      </c>
      <c r="P79" s="5">
        <f t="shared" si="54"/>
        <v>96030346</v>
      </c>
      <c r="Q79" s="5">
        <f t="shared" si="54"/>
        <v>1500000</v>
      </c>
      <c r="R79" s="5">
        <f t="shared" si="54"/>
        <v>5298299</v>
      </c>
      <c r="S79" s="127">
        <f t="shared" si="54"/>
        <v>102828645</v>
      </c>
      <c r="T79" s="136">
        <f t="shared" si="51"/>
        <v>106610936</v>
      </c>
      <c r="U79" s="5">
        <v>1159959</v>
      </c>
      <c r="V79" s="5">
        <v>2259894</v>
      </c>
      <c r="W79" s="5">
        <v>443700</v>
      </c>
      <c r="X79" s="127">
        <v>3863553</v>
      </c>
      <c r="Y79" s="5">
        <v>109190754</v>
      </c>
      <c r="Z79" s="5">
        <v>3806380</v>
      </c>
      <c r="AA79" s="5">
        <v>38838765</v>
      </c>
      <c r="AB79" s="127">
        <v>151835899</v>
      </c>
      <c r="AC79" s="136">
        <v>155699452</v>
      </c>
      <c r="AD79" s="5">
        <f>AD80+AD81+AD82+AD83+AD84</f>
        <v>1300300</v>
      </c>
      <c r="AE79" s="5">
        <f t="shared" ref="AE79:BD79" si="55">AE80+AE81+AE82+AE83+AE84</f>
        <v>2560685</v>
      </c>
      <c r="AF79" s="5">
        <f t="shared" si="55"/>
        <v>443700</v>
      </c>
      <c r="AG79" s="127">
        <f t="shared" si="55"/>
        <v>4304685</v>
      </c>
      <c r="AH79" s="5">
        <f t="shared" si="55"/>
        <v>114112849</v>
      </c>
      <c r="AI79" s="5">
        <f t="shared" si="55"/>
        <v>4783980</v>
      </c>
      <c r="AJ79" s="5">
        <f t="shared" si="55"/>
        <v>33193676</v>
      </c>
      <c r="AK79" s="127">
        <f t="shared" si="55"/>
        <v>152090505</v>
      </c>
      <c r="AL79" s="136">
        <f t="shared" si="55"/>
        <v>156395190</v>
      </c>
      <c r="AM79" s="5">
        <f t="shared" si="55"/>
        <v>1388556</v>
      </c>
      <c r="AN79" s="5">
        <f t="shared" si="55"/>
        <v>2560685</v>
      </c>
      <c r="AO79" s="5">
        <f t="shared" si="55"/>
        <v>443700</v>
      </c>
      <c r="AP79" s="127">
        <f t="shared" si="55"/>
        <v>4392941</v>
      </c>
      <c r="AQ79" s="5">
        <f t="shared" si="55"/>
        <v>82092320</v>
      </c>
      <c r="AR79" s="5">
        <f t="shared" si="55"/>
        <v>6793084</v>
      </c>
      <c r="AS79" s="5">
        <f t="shared" si="55"/>
        <v>52307514</v>
      </c>
      <c r="AT79" s="127">
        <f t="shared" si="55"/>
        <v>141192918</v>
      </c>
      <c r="AU79" s="136">
        <f t="shared" si="55"/>
        <v>145585859</v>
      </c>
      <c r="AV79" s="5">
        <f t="shared" si="55"/>
        <v>1506415</v>
      </c>
      <c r="AW79" s="5">
        <f t="shared" si="55"/>
        <v>2560685</v>
      </c>
      <c r="AX79" s="5">
        <f t="shared" si="55"/>
        <v>443700</v>
      </c>
      <c r="AY79" s="127">
        <f t="shared" si="55"/>
        <v>4510800</v>
      </c>
      <c r="AZ79" s="5">
        <f t="shared" si="55"/>
        <v>123632962</v>
      </c>
      <c r="BA79" s="5">
        <f t="shared" si="55"/>
        <v>6343599</v>
      </c>
      <c r="BB79" s="5">
        <f t="shared" si="55"/>
        <v>41535018</v>
      </c>
      <c r="BC79" s="127">
        <f t="shared" si="55"/>
        <v>171511579</v>
      </c>
      <c r="BD79" s="136">
        <f t="shared" si="55"/>
        <v>176022379</v>
      </c>
    </row>
    <row r="80" spans="1:56" ht="16.5" x14ac:dyDescent="0.25">
      <c r="A80" s="145" t="s">
        <v>118</v>
      </c>
      <c r="B80" s="7" t="s">
        <v>119</v>
      </c>
      <c r="C80" s="8">
        <v>407594</v>
      </c>
      <c r="D80" s="8">
        <v>854918</v>
      </c>
      <c r="E80" s="8">
        <v>989225</v>
      </c>
      <c r="F80" s="128">
        <f>SUM(C80:E80)</f>
        <v>2251737</v>
      </c>
      <c r="G80" s="8">
        <v>0</v>
      </c>
      <c r="H80" s="8"/>
      <c r="I80" s="8"/>
      <c r="J80" s="128">
        <f>SUM(G80:I80)</f>
        <v>0</v>
      </c>
      <c r="K80" s="136">
        <f>F80+J80</f>
        <v>2251737</v>
      </c>
      <c r="L80" s="8">
        <v>394768</v>
      </c>
      <c r="M80" s="8">
        <v>1603218</v>
      </c>
      <c r="N80" s="8">
        <v>0</v>
      </c>
      <c r="O80" s="128">
        <f>SUM(L80:N80)</f>
        <v>1997986</v>
      </c>
      <c r="P80" s="8">
        <v>0</v>
      </c>
      <c r="Q80" s="8"/>
      <c r="R80" s="8"/>
      <c r="S80" s="128">
        <f>SUM(P80:R80)</f>
        <v>0</v>
      </c>
      <c r="T80" s="136">
        <f t="shared" si="51"/>
        <v>1997986</v>
      </c>
      <c r="U80" s="33">
        <v>383563</v>
      </c>
      <c r="V80" s="33">
        <v>1686472</v>
      </c>
      <c r="W80" s="33">
        <v>112200</v>
      </c>
      <c r="X80" s="128">
        <f>SUM(U80:W80)</f>
        <v>2182235</v>
      </c>
      <c r="Y80" s="33">
        <v>0</v>
      </c>
      <c r="Z80" s="33">
        <v>0</v>
      </c>
      <c r="AA80" s="33">
        <v>0</v>
      </c>
      <c r="AB80" s="128">
        <f>SUM(Y80:AA80)</f>
        <v>0</v>
      </c>
      <c r="AC80" s="136">
        <f>X80+AB80</f>
        <v>2182235</v>
      </c>
      <c r="AD80" s="8">
        <v>567187</v>
      </c>
      <c r="AE80" s="8">
        <v>1978363</v>
      </c>
      <c r="AF80" s="8">
        <v>120330</v>
      </c>
      <c r="AG80" s="128">
        <f>SUM(AD80:AF80)</f>
        <v>2665880</v>
      </c>
      <c r="AH80" s="8">
        <v>0</v>
      </c>
      <c r="AI80" s="8"/>
      <c r="AJ80" s="8"/>
      <c r="AK80" s="128">
        <f>SUM(AH80:AJ80)</f>
        <v>0</v>
      </c>
      <c r="AL80" s="136">
        <f>AG80+AK80</f>
        <v>2665880</v>
      </c>
      <c r="AM80" s="8">
        <v>604646</v>
      </c>
      <c r="AN80" s="8">
        <v>1984863</v>
      </c>
      <c r="AO80" s="8">
        <v>120330</v>
      </c>
      <c r="AP80" s="128">
        <f>SUM(AM80:AO80)</f>
        <v>2709839</v>
      </c>
      <c r="AQ80" s="8">
        <v>0</v>
      </c>
      <c r="AR80" s="8"/>
      <c r="AS80" s="8"/>
      <c r="AT80" s="128">
        <f>SUM(AQ80:AS80)</f>
        <v>0</v>
      </c>
      <c r="AU80" s="136">
        <f t="shared" ref="AU80:AU94" si="56">AP80+AT80</f>
        <v>2709839</v>
      </c>
      <c r="AV80" s="8">
        <v>654670</v>
      </c>
      <c r="AW80" s="8">
        <v>1984863</v>
      </c>
      <c r="AX80" s="8">
        <v>120330</v>
      </c>
      <c r="AY80" s="128">
        <f>SUM(AV80:AX80)</f>
        <v>2759863</v>
      </c>
      <c r="AZ80" s="8">
        <v>0</v>
      </c>
      <c r="BA80" s="8"/>
      <c r="BB80" s="8"/>
      <c r="BC80" s="128">
        <f>SUM(AZ80:BB80)</f>
        <v>0</v>
      </c>
      <c r="BD80" s="136">
        <f t="shared" si="6"/>
        <v>2759863</v>
      </c>
    </row>
    <row r="81" spans="1:56" ht="33" x14ac:dyDescent="0.25">
      <c r="A81" s="145" t="s">
        <v>120</v>
      </c>
      <c r="B81" s="11" t="s">
        <v>121</v>
      </c>
      <c r="C81" s="8">
        <v>416889</v>
      </c>
      <c r="D81" s="8">
        <v>413000</v>
      </c>
      <c r="E81" s="8">
        <v>500000</v>
      </c>
      <c r="F81" s="128">
        <f>SUM(C81:E81)</f>
        <v>1329889</v>
      </c>
      <c r="G81" s="8">
        <v>68335000</v>
      </c>
      <c r="H81" s="8">
        <v>0</v>
      </c>
      <c r="I81" s="8">
        <v>15686214</v>
      </c>
      <c r="J81" s="128">
        <f>SUM(G81:I81)</f>
        <v>84021214</v>
      </c>
      <c r="K81" s="136">
        <f>F81+J81</f>
        <v>85351103</v>
      </c>
      <c r="L81" s="8">
        <v>445228</v>
      </c>
      <c r="M81" s="8">
        <v>305046</v>
      </c>
      <c r="N81" s="8">
        <v>566500</v>
      </c>
      <c r="O81" s="128">
        <f>SUM(L81:N81)</f>
        <v>1316774</v>
      </c>
      <c r="P81" s="8">
        <v>83030346</v>
      </c>
      <c r="Q81" s="8">
        <v>1500000</v>
      </c>
      <c r="R81" s="8">
        <v>5298299</v>
      </c>
      <c r="S81" s="128">
        <f>SUM(P81:R81)</f>
        <v>89828645</v>
      </c>
      <c r="T81" s="136">
        <f t="shared" si="51"/>
        <v>91145419</v>
      </c>
      <c r="U81" s="35">
        <v>500372</v>
      </c>
      <c r="V81" s="35">
        <v>494591</v>
      </c>
      <c r="W81" s="35">
        <v>34500</v>
      </c>
      <c r="X81" s="128">
        <f>SUM(U81:W81)</f>
        <v>1029463</v>
      </c>
      <c r="Y81" s="35">
        <f>10793760+97396994</f>
        <v>108190754</v>
      </c>
      <c r="Z81" s="35">
        <v>3806380</v>
      </c>
      <c r="AA81" s="35">
        <v>38838765</v>
      </c>
      <c r="AB81" s="128">
        <f>SUM(Y81:AA81)</f>
        <v>150835899</v>
      </c>
      <c r="AC81" s="136">
        <f>X81+AB81</f>
        <v>151865362</v>
      </c>
      <c r="AD81" s="8">
        <v>630872</v>
      </c>
      <c r="AE81" s="8">
        <v>502369</v>
      </c>
      <c r="AF81" s="8">
        <v>34500</v>
      </c>
      <c r="AG81" s="128">
        <f>SUM(AD81:AF81)</f>
        <v>1167741</v>
      </c>
      <c r="AH81" s="8">
        <v>114112849</v>
      </c>
      <c r="AI81" s="8">
        <v>4783980</v>
      </c>
      <c r="AJ81" s="8">
        <v>33193676</v>
      </c>
      <c r="AK81" s="128">
        <f>SUM(AH81:AJ81)</f>
        <v>152090505</v>
      </c>
      <c r="AL81" s="136">
        <f>AG81+AK81</f>
        <v>153258246</v>
      </c>
      <c r="AM81" s="8">
        <v>674695</v>
      </c>
      <c r="AN81" s="8">
        <v>496369</v>
      </c>
      <c r="AO81" s="8">
        <v>34500</v>
      </c>
      <c r="AP81" s="128">
        <f>SUM(AM81:AO81)</f>
        <v>1205564</v>
      </c>
      <c r="AQ81" s="8">
        <v>82092320</v>
      </c>
      <c r="AR81" s="8">
        <v>6793084</v>
      </c>
      <c r="AS81" s="8">
        <v>52307514</v>
      </c>
      <c r="AT81" s="128">
        <f>SUM(AQ81:AS81)</f>
        <v>141192918</v>
      </c>
      <c r="AU81" s="136">
        <f t="shared" si="56"/>
        <v>142398482</v>
      </c>
      <c r="AV81" s="8">
        <v>733217</v>
      </c>
      <c r="AW81" s="8">
        <v>496369</v>
      </c>
      <c r="AX81" s="8">
        <v>34500</v>
      </c>
      <c r="AY81" s="128">
        <f>SUM(AV81:AX81)</f>
        <v>1264086</v>
      </c>
      <c r="AZ81" s="8">
        <v>123632962</v>
      </c>
      <c r="BA81" s="8">
        <v>6343599</v>
      </c>
      <c r="BB81" s="8">
        <v>41535018</v>
      </c>
      <c r="BC81" s="128">
        <f>SUM(AZ81:BB81)</f>
        <v>171511579</v>
      </c>
      <c r="BD81" s="136">
        <f t="shared" ref="BD81:BD148" si="57">AY81+BC81</f>
        <v>172775665</v>
      </c>
    </row>
    <row r="82" spans="1:56" ht="16.5" x14ac:dyDescent="0.25">
      <c r="A82" s="145" t="s">
        <v>122</v>
      </c>
      <c r="B82" s="9" t="s">
        <v>123</v>
      </c>
      <c r="C82" s="8">
        <v>123798</v>
      </c>
      <c r="D82" s="8">
        <v>45000</v>
      </c>
      <c r="E82" s="8">
        <v>0</v>
      </c>
      <c r="F82" s="128">
        <f>SUM(C82:E82)</f>
        <v>168798</v>
      </c>
      <c r="G82" s="8">
        <v>0</v>
      </c>
      <c r="H82" s="8">
        <v>0</v>
      </c>
      <c r="I82" s="8"/>
      <c r="J82" s="128">
        <f>SUM(G82:I82)</f>
        <v>0</v>
      </c>
      <c r="K82" s="136">
        <f>F82+J82</f>
        <v>168798</v>
      </c>
      <c r="L82" s="8">
        <v>119797</v>
      </c>
      <c r="M82" s="8">
        <v>35378</v>
      </c>
      <c r="N82" s="8">
        <v>0</v>
      </c>
      <c r="O82" s="128">
        <f>SUM(L82:N82)</f>
        <v>155175</v>
      </c>
      <c r="P82" s="8">
        <v>0</v>
      </c>
      <c r="Q82" s="8">
        <v>0</v>
      </c>
      <c r="R82" s="8"/>
      <c r="S82" s="128">
        <f>SUM(P82:R82)</f>
        <v>0</v>
      </c>
      <c r="T82" s="136">
        <f t="shared" si="51"/>
        <v>155175</v>
      </c>
      <c r="U82" s="35">
        <v>130372</v>
      </c>
      <c r="V82" s="35">
        <v>35378</v>
      </c>
      <c r="W82" s="35">
        <v>0</v>
      </c>
      <c r="X82" s="128">
        <f>SUM(U82:W82)</f>
        <v>165750</v>
      </c>
      <c r="Y82" s="35">
        <v>0</v>
      </c>
      <c r="Z82" s="35">
        <v>0</v>
      </c>
      <c r="AA82" s="35">
        <v>0</v>
      </c>
      <c r="AB82" s="128">
        <f>SUM(Y82:AA82)</f>
        <v>0</v>
      </c>
      <c r="AC82" s="136">
        <f>X82+AB82</f>
        <v>165750</v>
      </c>
      <c r="AD82" s="8">
        <v>52486</v>
      </c>
      <c r="AE82" s="8">
        <v>36500</v>
      </c>
      <c r="AF82" s="8">
        <v>0</v>
      </c>
      <c r="AG82" s="128">
        <f>SUM(AD82:AF82)</f>
        <v>88986</v>
      </c>
      <c r="AH82" s="8">
        <v>0</v>
      </c>
      <c r="AI82" s="8">
        <v>0</v>
      </c>
      <c r="AJ82" s="8"/>
      <c r="AK82" s="128">
        <f>SUM(AH82:AJ82)</f>
        <v>0</v>
      </c>
      <c r="AL82" s="136">
        <f>AG82+AK82</f>
        <v>88986</v>
      </c>
      <c r="AM82" s="8">
        <v>56112</v>
      </c>
      <c r="AN82" s="8">
        <v>36000</v>
      </c>
      <c r="AO82" s="8">
        <v>0</v>
      </c>
      <c r="AP82" s="128">
        <f>SUM(AM82:AO82)</f>
        <v>92112</v>
      </c>
      <c r="AQ82" s="8">
        <v>0</v>
      </c>
      <c r="AR82" s="8">
        <v>0</v>
      </c>
      <c r="AS82" s="8"/>
      <c r="AT82" s="128">
        <f>SUM(AQ82:AS82)</f>
        <v>0</v>
      </c>
      <c r="AU82" s="136">
        <f t="shared" si="56"/>
        <v>92112</v>
      </c>
      <c r="AV82" s="8">
        <v>60955</v>
      </c>
      <c r="AW82" s="8">
        <v>36000</v>
      </c>
      <c r="AX82" s="8">
        <v>0</v>
      </c>
      <c r="AY82" s="128">
        <f>SUM(AV82:AX82)</f>
        <v>96955</v>
      </c>
      <c r="AZ82" s="8">
        <v>0</v>
      </c>
      <c r="BA82" s="8">
        <v>0</v>
      </c>
      <c r="BB82" s="8"/>
      <c r="BC82" s="128">
        <f>SUM(AZ82:BB82)</f>
        <v>0</v>
      </c>
      <c r="BD82" s="136">
        <f t="shared" si="57"/>
        <v>96955</v>
      </c>
    </row>
    <row r="83" spans="1:56" ht="16.5" x14ac:dyDescent="0.25">
      <c r="A83" s="145" t="s">
        <v>124</v>
      </c>
      <c r="B83" s="9" t="s">
        <v>125</v>
      </c>
      <c r="C83" s="8">
        <v>55554</v>
      </c>
      <c r="D83" s="8">
        <v>73000</v>
      </c>
      <c r="E83" s="8">
        <v>0</v>
      </c>
      <c r="F83" s="128">
        <f>SUM(C83:E83)</f>
        <v>128554</v>
      </c>
      <c r="G83" s="8"/>
      <c r="H83" s="8"/>
      <c r="I83" s="8"/>
      <c r="J83" s="128">
        <f>SUM(G83:I83)</f>
        <v>0</v>
      </c>
      <c r="K83" s="136">
        <f>F83+J83</f>
        <v>128554</v>
      </c>
      <c r="L83" s="8">
        <v>52885</v>
      </c>
      <c r="M83" s="8">
        <v>43453</v>
      </c>
      <c r="N83" s="8">
        <v>17000</v>
      </c>
      <c r="O83" s="128">
        <f>SUM(L83:N83)</f>
        <v>113338</v>
      </c>
      <c r="P83" s="8"/>
      <c r="Q83" s="8"/>
      <c r="R83" s="8"/>
      <c r="S83" s="128">
        <f>SUM(P83:R83)</f>
        <v>0</v>
      </c>
      <c r="T83" s="136">
        <f t="shared" si="51"/>
        <v>113338</v>
      </c>
      <c r="U83" s="35">
        <v>76545</v>
      </c>
      <c r="V83" s="35">
        <v>43453</v>
      </c>
      <c r="W83" s="35">
        <v>17000</v>
      </c>
      <c r="X83" s="128">
        <f>SUM(U83:W83)</f>
        <v>136998</v>
      </c>
      <c r="Y83" s="35">
        <v>0</v>
      </c>
      <c r="Z83" s="35">
        <v>0</v>
      </c>
      <c r="AA83" s="35">
        <v>0</v>
      </c>
      <c r="AB83" s="128">
        <f>SUM(Y83:AA83)</f>
        <v>0</v>
      </c>
      <c r="AC83" s="136">
        <f>X83+AB83</f>
        <v>136998</v>
      </c>
      <c r="AD83" s="8">
        <v>42848</v>
      </c>
      <c r="AE83" s="8">
        <v>43453</v>
      </c>
      <c r="AF83" s="8">
        <v>8870</v>
      </c>
      <c r="AG83" s="128">
        <f>SUM(AD83:AF83)</f>
        <v>95171</v>
      </c>
      <c r="AH83" s="8"/>
      <c r="AI83" s="8"/>
      <c r="AJ83" s="8"/>
      <c r="AK83" s="128">
        <f>SUM(AH83:AJ83)</f>
        <v>0</v>
      </c>
      <c r="AL83" s="136">
        <f>AG83+AK83</f>
        <v>95171</v>
      </c>
      <c r="AM83" s="8">
        <v>45734</v>
      </c>
      <c r="AN83" s="8">
        <v>43453</v>
      </c>
      <c r="AO83" s="8">
        <v>8870</v>
      </c>
      <c r="AP83" s="128">
        <f>SUM(AM83:AO83)</f>
        <v>98057</v>
      </c>
      <c r="AQ83" s="8"/>
      <c r="AR83" s="8"/>
      <c r="AS83" s="8"/>
      <c r="AT83" s="128">
        <f>SUM(AQ83:AS83)</f>
        <v>0</v>
      </c>
      <c r="AU83" s="136">
        <f t="shared" si="56"/>
        <v>98057</v>
      </c>
      <c r="AV83" s="8">
        <v>49588</v>
      </c>
      <c r="AW83" s="8">
        <v>43453</v>
      </c>
      <c r="AX83" s="8">
        <v>8870</v>
      </c>
      <c r="AY83" s="128">
        <f>SUM(AV83:AX83)</f>
        <v>101911</v>
      </c>
      <c r="AZ83" s="8">
        <v>0</v>
      </c>
      <c r="BA83" s="8"/>
      <c r="BB83" s="8"/>
      <c r="BC83" s="128">
        <f>SUM(AZ83:BB83)</f>
        <v>0</v>
      </c>
      <c r="BD83" s="136">
        <f t="shared" si="57"/>
        <v>101911</v>
      </c>
    </row>
    <row r="84" spans="1:56" ht="16.5" x14ac:dyDescent="0.25">
      <c r="A84" s="146" t="s">
        <v>126</v>
      </c>
      <c r="B84" s="9" t="s">
        <v>127</v>
      </c>
      <c r="C84" s="8">
        <v>61065</v>
      </c>
      <c r="D84" s="8">
        <v>53000</v>
      </c>
      <c r="E84" s="8">
        <v>100000</v>
      </c>
      <c r="F84" s="128">
        <f>SUM(C84:E84)</f>
        <v>214065</v>
      </c>
      <c r="G84" s="8">
        <v>5000000</v>
      </c>
      <c r="H84" s="8"/>
      <c r="I84" s="8">
        <v>10413786</v>
      </c>
      <c r="J84" s="128">
        <f>SUM(G84:I84)</f>
        <v>15413786</v>
      </c>
      <c r="K84" s="136">
        <f>F84+J84</f>
        <v>15627851</v>
      </c>
      <c r="L84" s="8">
        <v>66018</v>
      </c>
      <c r="M84" s="8">
        <v>43000</v>
      </c>
      <c r="N84" s="8">
        <v>90000</v>
      </c>
      <c r="O84" s="128">
        <f>SUM(L84:N84)</f>
        <v>199018</v>
      </c>
      <c r="P84" s="8">
        <v>13000000</v>
      </c>
      <c r="Q84" s="8"/>
      <c r="R84" s="8">
        <v>0</v>
      </c>
      <c r="S84" s="128">
        <f>SUM(P84:R84)</f>
        <v>13000000</v>
      </c>
      <c r="T84" s="136">
        <f t="shared" si="51"/>
        <v>13199018</v>
      </c>
      <c r="U84" s="40">
        <v>69107</v>
      </c>
      <c r="V84" s="40">
        <v>0</v>
      </c>
      <c r="W84" s="40">
        <v>280000</v>
      </c>
      <c r="X84" s="128">
        <f>SUM(U84:W84)</f>
        <v>349107</v>
      </c>
      <c r="Y84" s="40">
        <v>1000000</v>
      </c>
      <c r="Z84" s="40">
        <v>0</v>
      </c>
      <c r="AA84" s="40">
        <v>0</v>
      </c>
      <c r="AB84" s="128">
        <f>SUM(Y84:AA84)</f>
        <v>1000000</v>
      </c>
      <c r="AC84" s="136">
        <f>X84+AB84</f>
        <v>1349107</v>
      </c>
      <c r="AD84" s="8">
        <v>6907</v>
      </c>
      <c r="AE84" s="8">
        <v>0</v>
      </c>
      <c r="AF84" s="8">
        <v>280000</v>
      </c>
      <c r="AG84" s="128">
        <f>SUM(AD84:AF84)</f>
        <v>286907</v>
      </c>
      <c r="AH84" s="8">
        <v>0</v>
      </c>
      <c r="AI84" s="8"/>
      <c r="AJ84" s="8">
        <v>0</v>
      </c>
      <c r="AK84" s="128">
        <f>SUM(AH84:AJ84)</f>
        <v>0</v>
      </c>
      <c r="AL84" s="136">
        <f>AG84+AK84</f>
        <v>286907</v>
      </c>
      <c r="AM84" s="8">
        <v>7369</v>
      </c>
      <c r="AN84" s="8">
        <v>0</v>
      </c>
      <c r="AO84" s="8">
        <v>280000</v>
      </c>
      <c r="AP84" s="128">
        <f>SUM(AM84:AO84)</f>
        <v>287369</v>
      </c>
      <c r="AQ84" s="8">
        <v>0</v>
      </c>
      <c r="AR84" s="8"/>
      <c r="AS84" s="8">
        <v>0</v>
      </c>
      <c r="AT84" s="128">
        <f>SUM(AQ84:AS84)</f>
        <v>0</v>
      </c>
      <c r="AU84" s="136">
        <f t="shared" si="56"/>
        <v>287369</v>
      </c>
      <c r="AV84" s="8">
        <v>7985</v>
      </c>
      <c r="AW84" s="8">
        <v>0</v>
      </c>
      <c r="AX84" s="8">
        <v>280000</v>
      </c>
      <c r="AY84" s="128">
        <f>SUM(AV84:AX84)</f>
        <v>287985</v>
      </c>
      <c r="AZ84" s="8">
        <v>0</v>
      </c>
      <c r="BA84" s="8"/>
      <c r="BB84" s="8">
        <v>0</v>
      </c>
      <c r="BC84" s="128">
        <f>SUM(AZ84:BB84)</f>
        <v>0</v>
      </c>
      <c r="BD84" s="136">
        <f t="shared" si="57"/>
        <v>287985</v>
      </c>
    </row>
    <row r="85" spans="1:56" ht="16.5" x14ac:dyDescent="0.25">
      <c r="A85" s="96" t="s">
        <v>128</v>
      </c>
      <c r="B85" s="97"/>
      <c r="C85" s="5">
        <v>1113500</v>
      </c>
      <c r="D85" s="5">
        <v>1039550</v>
      </c>
      <c r="E85" s="5">
        <v>809675</v>
      </c>
      <c r="F85" s="127">
        <v>2962725</v>
      </c>
      <c r="G85" s="5">
        <v>400000</v>
      </c>
      <c r="H85" s="5">
        <v>0</v>
      </c>
      <c r="I85" s="5">
        <v>0</v>
      </c>
      <c r="J85" s="127">
        <v>400000</v>
      </c>
      <c r="K85" s="136">
        <v>3362725</v>
      </c>
      <c r="L85" s="5">
        <f>L86+L87+L88+L89</f>
        <v>752287</v>
      </c>
      <c r="M85" s="5">
        <f t="shared" ref="M85:S85" si="58">M86+M87+M88+M89</f>
        <v>1554743</v>
      </c>
      <c r="N85" s="5">
        <f t="shared" si="58"/>
        <v>489000</v>
      </c>
      <c r="O85" s="127">
        <f t="shared" si="58"/>
        <v>2796030</v>
      </c>
      <c r="P85" s="5">
        <f t="shared" si="58"/>
        <v>600000</v>
      </c>
      <c r="Q85" s="5">
        <f t="shared" si="58"/>
        <v>0</v>
      </c>
      <c r="R85" s="5">
        <f t="shared" si="58"/>
        <v>0</v>
      </c>
      <c r="S85" s="127">
        <f t="shared" si="58"/>
        <v>600000</v>
      </c>
      <c r="T85" s="136">
        <f t="shared" si="51"/>
        <v>3396030</v>
      </c>
      <c r="U85" s="5">
        <v>732000</v>
      </c>
      <c r="V85" s="5">
        <v>1554743</v>
      </c>
      <c r="W85" s="5">
        <v>489000</v>
      </c>
      <c r="X85" s="127">
        <v>2775743</v>
      </c>
      <c r="Y85" s="5">
        <v>433890</v>
      </c>
      <c r="Z85" s="5">
        <v>1800000</v>
      </c>
      <c r="AA85" s="5">
        <v>486001</v>
      </c>
      <c r="AB85" s="127">
        <v>2719891</v>
      </c>
      <c r="AC85" s="136">
        <v>5495634</v>
      </c>
      <c r="AD85" s="5">
        <f>AD86+AD87+AD88+AD89</f>
        <v>1422862</v>
      </c>
      <c r="AE85" s="5">
        <f t="shared" ref="AE85:BD85" si="59">AE86+AE87+AE88+AE89</f>
        <v>1764852</v>
      </c>
      <c r="AF85" s="5">
        <f t="shared" si="59"/>
        <v>300000</v>
      </c>
      <c r="AG85" s="127">
        <f t="shared" si="59"/>
        <v>3487714</v>
      </c>
      <c r="AH85" s="5">
        <f t="shared" si="59"/>
        <v>477279</v>
      </c>
      <c r="AI85" s="5">
        <f t="shared" si="59"/>
        <v>3035989</v>
      </c>
      <c r="AJ85" s="5">
        <f t="shared" si="59"/>
        <v>0</v>
      </c>
      <c r="AK85" s="127">
        <f t="shared" si="59"/>
        <v>3513268</v>
      </c>
      <c r="AL85" s="136">
        <f t="shared" si="59"/>
        <v>7000982</v>
      </c>
      <c r="AM85" s="5">
        <f t="shared" si="59"/>
        <v>1519489</v>
      </c>
      <c r="AN85" s="5">
        <f t="shared" si="59"/>
        <v>1864852</v>
      </c>
      <c r="AO85" s="5">
        <f t="shared" si="59"/>
        <v>200000</v>
      </c>
      <c r="AP85" s="127">
        <f t="shared" si="59"/>
        <v>3584341</v>
      </c>
      <c r="AQ85" s="5">
        <f t="shared" si="59"/>
        <v>472940</v>
      </c>
      <c r="AR85" s="5">
        <f t="shared" si="59"/>
        <v>4082383</v>
      </c>
      <c r="AS85" s="5">
        <f t="shared" si="59"/>
        <v>0</v>
      </c>
      <c r="AT85" s="127">
        <f t="shared" si="59"/>
        <v>4555323</v>
      </c>
      <c r="AU85" s="136">
        <f t="shared" si="59"/>
        <v>8139664</v>
      </c>
      <c r="AV85" s="5">
        <f t="shared" si="59"/>
        <v>1568752</v>
      </c>
      <c r="AW85" s="5">
        <f t="shared" si="59"/>
        <v>1864852</v>
      </c>
      <c r="AX85" s="5">
        <f t="shared" si="59"/>
        <v>200000</v>
      </c>
      <c r="AY85" s="127">
        <f t="shared" si="59"/>
        <v>3633604</v>
      </c>
      <c r="AZ85" s="5">
        <f t="shared" si="59"/>
        <v>472940</v>
      </c>
      <c r="BA85" s="5">
        <f t="shared" si="59"/>
        <v>3919885</v>
      </c>
      <c r="BB85" s="5">
        <f t="shared" si="59"/>
        <v>0</v>
      </c>
      <c r="BC85" s="127">
        <f t="shared" si="59"/>
        <v>4392825</v>
      </c>
      <c r="BD85" s="136">
        <f t="shared" si="59"/>
        <v>8026429</v>
      </c>
    </row>
    <row r="86" spans="1:56" ht="16.5" x14ac:dyDescent="0.25">
      <c r="A86" s="145" t="s">
        <v>129</v>
      </c>
      <c r="B86" s="9" t="s">
        <v>237</v>
      </c>
      <c r="C86" s="8">
        <v>735411</v>
      </c>
      <c r="D86" s="8">
        <v>813550</v>
      </c>
      <c r="E86" s="8">
        <f>204000-24246</f>
        <v>179754</v>
      </c>
      <c r="F86" s="128">
        <f>SUM(C86:E86)</f>
        <v>1728715</v>
      </c>
      <c r="G86" s="8"/>
      <c r="H86" s="8"/>
      <c r="I86" s="8"/>
      <c r="J86" s="128">
        <f>SUM(G86:I86)</f>
        <v>0</v>
      </c>
      <c r="K86" s="136">
        <f>F86+J86</f>
        <v>1728715</v>
      </c>
      <c r="L86" s="8">
        <v>268335</v>
      </c>
      <c r="M86" s="8">
        <v>1156743</v>
      </c>
      <c r="N86" s="8">
        <v>0</v>
      </c>
      <c r="O86" s="128">
        <f>SUM(L86:N86)</f>
        <v>1425078</v>
      </c>
      <c r="P86" s="8"/>
      <c r="Q86" s="8"/>
      <c r="R86" s="8"/>
      <c r="S86" s="128">
        <f>SUM(P86:R86)</f>
        <v>0</v>
      </c>
      <c r="T86" s="136">
        <f t="shared" si="51"/>
        <v>1425078</v>
      </c>
      <c r="U86" s="33">
        <v>277382</v>
      </c>
      <c r="V86" s="33">
        <v>1142743</v>
      </c>
      <c r="W86" s="33">
        <v>0</v>
      </c>
      <c r="X86" s="128">
        <f>SUM(U86:W86)</f>
        <v>1420125</v>
      </c>
      <c r="Y86" s="33">
        <v>0</v>
      </c>
      <c r="Z86" s="33">
        <v>0</v>
      </c>
      <c r="AA86" s="33">
        <v>0</v>
      </c>
      <c r="AB86" s="128">
        <f>Y86+Z86+AA86</f>
        <v>0</v>
      </c>
      <c r="AC86" s="136">
        <f>X86+AB86</f>
        <v>1420125</v>
      </c>
      <c r="AD86" s="8">
        <v>561512</v>
      </c>
      <c r="AE86" s="8">
        <v>1251139</v>
      </c>
      <c r="AF86" s="8">
        <v>0</v>
      </c>
      <c r="AG86" s="128">
        <f>SUM(AD86:AF86)</f>
        <v>1812651</v>
      </c>
      <c r="AH86" s="8"/>
      <c r="AI86" s="8"/>
      <c r="AJ86" s="8"/>
      <c r="AK86" s="128">
        <f>AH86+AI86+AJ86</f>
        <v>0</v>
      </c>
      <c r="AL86" s="136">
        <f>AG86+AK86</f>
        <v>1812651</v>
      </c>
      <c r="AM86" s="8">
        <v>597907</v>
      </c>
      <c r="AN86" s="8">
        <v>1163852</v>
      </c>
      <c r="AO86" s="8">
        <v>0</v>
      </c>
      <c r="AP86" s="128">
        <f>SUM(AM86:AO86)</f>
        <v>1761759</v>
      </c>
      <c r="AQ86" s="8"/>
      <c r="AR86" s="8"/>
      <c r="AS86" s="8"/>
      <c r="AT86" s="128">
        <f t="shared" ref="AT86:AT92" si="60">AQ86+AR86+AS86</f>
        <v>0</v>
      </c>
      <c r="AU86" s="136">
        <f t="shared" si="56"/>
        <v>1761759</v>
      </c>
      <c r="AV86" s="8">
        <v>616463</v>
      </c>
      <c r="AW86" s="8">
        <v>1163852</v>
      </c>
      <c r="AX86" s="8">
        <v>0</v>
      </c>
      <c r="AY86" s="128">
        <f>SUM(AV86:AX86)</f>
        <v>1780315</v>
      </c>
      <c r="AZ86" s="8"/>
      <c r="BA86" s="8"/>
      <c r="BB86" s="8"/>
      <c r="BC86" s="128">
        <f t="shared" ref="BC86:BC145" si="61">AZ86+BA86+BB86</f>
        <v>0</v>
      </c>
      <c r="BD86" s="136">
        <f t="shared" si="57"/>
        <v>1780315</v>
      </c>
    </row>
    <row r="87" spans="1:56" ht="16.5" x14ac:dyDescent="0.25">
      <c r="A87" s="145" t="s">
        <v>130</v>
      </c>
      <c r="B87" s="7" t="s">
        <v>131</v>
      </c>
      <c r="C87" s="8">
        <v>23548</v>
      </c>
      <c r="D87" s="8">
        <v>30000</v>
      </c>
      <c r="E87" s="8">
        <v>75000</v>
      </c>
      <c r="F87" s="128">
        <f>SUM(C87:E87)</f>
        <v>128548</v>
      </c>
      <c r="G87" s="8">
        <v>0</v>
      </c>
      <c r="H87" s="8"/>
      <c r="I87" s="8"/>
      <c r="J87" s="128">
        <f>SUM(G87:I87)</f>
        <v>0</v>
      </c>
      <c r="K87" s="136">
        <f>F87+J87</f>
        <v>128548</v>
      </c>
      <c r="L87" s="8">
        <v>152057</v>
      </c>
      <c r="M87" s="8">
        <v>65000</v>
      </c>
      <c r="N87" s="8">
        <v>489000</v>
      </c>
      <c r="O87" s="128">
        <f>SUM(L87:N87)</f>
        <v>706057</v>
      </c>
      <c r="P87" s="8">
        <v>0</v>
      </c>
      <c r="Q87" s="8">
        <v>0</v>
      </c>
      <c r="R87" s="8">
        <v>0</v>
      </c>
      <c r="S87" s="128">
        <f>SUM(P87:R87)</f>
        <v>0</v>
      </c>
      <c r="T87" s="136">
        <f t="shared" si="51"/>
        <v>706057</v>
      </c>
      <c r="U87" s="35">
        <v>163963</v>
      </c>
      <c r="V87" s="35">
        <v>68000</v>
      </c>
      <c r="W87" s="35">
        <v>489000</v>
      </c>
      <c r="X87" s="128">
        <f>SUM(U87:W87)</f>
        <v>720963</v>
      </c>
      <c r="Y87" s="35">
        <v>0</v>
      </c>
      <c r="Z87" s="35">
        <v>0</v>
      </c>
      <c r="AA87" s="35">
        <v>0</v>
      </c>
      <c r="AB87" s="128">
        <f>Y87+Z87+AA87</f>
        <v>0</v>
      </c>
      <c r="AC87" s="136">
        <f>X87+AB87</f>
        <v>720963</v>
      </c>
      <c r="AD87" s="8">
        <v>194193</v>
      </c>
      <c r="AE87" s="8">
        <v>129800</v>
      </c>
      <c r="AF87" s="8">
        <v>300000</v>
      </c>
      <c r="AG87" s="128">
        <f>SUM(AD87:AF87)</f>
        <v>623993</v>
      </c>
      <c r="AH87" s="8">
        <v>0</v>
      </c>
      <c r="AI87" s="8">
        <v>0</v>
      </c>
      <c r="AJ87" s="8">
        <v>0</v>
      </c>
      <c r="AK87" s="128">
        <f>AH87+AI87+AJ87</f>
        <v>0</v>
      </c>
      <c r="AL87" s="136">
        <f>AG87+AK87</f>
        <v>623993</v>
      </c>
      <c r="AM87" s="8">
        <v>207908</v>
      </c>
      <c r="AN87" s="8">
        <v>200000</v>
      </c>
      <c r="AO87" s="8">
        <v>200000</v>
      </c>
      <c r="AP87" s="128">
        <f>SUM(AM87:AO87)</f>
        <v>607908</v>
      </c>
      <c r="AQ87" s="8">
        <v>0</v>
      </c>
      <c r="AR87" s="8">
        <v>0</v>
      </c>
      <c r="AS87" s="8">
        <v>0</v>
      </c>
      <c r="AT87" s="128">
        <f t="shared" si="60"/>
        <v>0</v>
      </c>
      <c r="AU87" s="136">
        <f t="shared" si="56"/>
        <v>607908</v>
      </c>
      <c r="AV87" s="8">
        <v>214900</v>
      </c>
      <c r="AW87" s="8">
        <v>200000</v>
      </c>
      <c r="AX87" s="8">
        <v>200000</v>
      </c>
      <c r="AY87" s="128">
        <f>SUM(AV87:AX87)</f>
        <v>614900</v>
      </c>
      <c r="AZ87" s="8">
        <v>0</v>
      </c>
      <c r="BA87" s="8">
        <v>0</v>
      </c>
      <c r="BB87" s="8">
        <v>0</v>
      </c>
      <c r="BC87" s="128">
        <f t="shared" si="61"/>
        <v>0</v>
      </c>
      <c r="BD87" s="136">
        <f t="shared" si="57"/>
        <v>614900</v>
      </c>
    </row>
    <row r="88" spans="1:56" ht="16.5" x14ac:dyDescent="0.25">
      <c r="A88" s="145" t="s">
        <v>132</v>
      </c>
      <c r="B88" s="7" t="s">
        <v>133</v>
      </c>
      <c r="C88" s="8">
        <v>85865</v>
      </c>
      <c r="D88" s="8">
        <v>40000</v>
      </c>
      <c r="E88" s="8">
        <v>60000</v>
      </c>
      <c r="F88" s="128">
        <f>SUM(C88:E88)</f>
        <v>185865</v>
      </c>
      <c r="G88" s="8">
        <v>0</v>
      </c>
      <c r="H88" s="8">
        <v>0</v>
      </c>
      <c r="I88" s="8">
        <v>0</v>
      </c>
      <c r="J88" s="128">
        <f>SUM(G88:I88)</f>
        <v>0</v>
      </c>
      <c r="K88" s="136">
        <f>F88+J88</f>
        <v>185865</v>
      </c>
      <c r="L88" s="8">
        <v>331895</v>
      </c>
      <c r="M88" s="8">
        <v>333000</v>
      </c>
      <c r="N88" s="8">
        <v>0</v>
      </c>
      <c r="O88" s="128">
        <f>SUM(L88:N88)</f>
        <v>664895</v>
      </c>
      <c r="P88" s="8">
        <v>600000</v>
      </c>
      <c r="Q88" s="8">
        <v>0</v>
      </c>
      <c r="R88" s="8">
        <v>0</v>
      </c>
      <c r="S88" s="128">
        <f>SUM(P88:R88)</f>
        <v>600000</v>
      </c>
      <c r="T88" s="136">
        <f t="shared" si="51"/>
        <v>1264895</v>
      </c>
      <c r="U88" s="40">
        <v>290655</v>
      </c>
      <c r="V88" s="40">
        <v>344000</v>
      </c>
      <c r="W88" s="40">
        <v>0</v>
      </c>
      <c r="X88" s="128">
        <f>SUM(U88:W88)</f>
        <v>634655</v>
      </c>
      <c r="Y88" s="40">
        <v>433890</v>
      </c>
      <c r="Z88" s="40">
        <v>1800000</v>
      </c>
      <c r="AA88" s="40">
        <v>486001</v>
      </c>
      <c r="AB88" s="128">
        <f>Y88+Z88+AA88</f>
        <v>2719891</v>
      </c>
      <c r="AC88" s="136">
        <f>X88+AB88</f>
        <v>3354546</v>
      </c>
      <c r="AD88" s="8">
        <v>667157</v>
      </c>
      <c r="AE88" s="8">
        <v>383913</v>
      </c>
      <c r="AF88" s="8">
        <v>0</v>
      </c>
      <c r="AG88" s="128">
        <f>SUM(AD88:AF88)</f>
        <v>1051070</v>
      </c>
      <c r="AH88" s="8">
        <v>477279</v>
      </c>
      <c r="AI88" s="8">
        <v>3035989</v>
      </c>
      <c r="AJ88" s="8">
        <v>0</v>
      </c>
      <c r="AK88" s="128">
        <f>AH88+AI88+AJ88</f>
        <v>3513268</v>
      </c>
      <c r="AL88" s="136">
        <f>AG88+AK88</f>
        <v>4564338</v>
      </c>
      <c r="AM88" s="8">
        <v>713674</v>
      </c>
      <c r="AN88" s="8">
        <v>501000</v>
      </c>
      <c r="AO88" s="8">
        <v>0</v>
      </c>
      <c r="AP88" s="128">
        <f>SUM(AM88:AO88)</f>
        <v>1214674</v>
      </c>
      <c r="AQ88" s="8">
        <v>472940</v>
      </c>
      <c r="AR88" s="8">
        <v>4082383</v>
      </c>
      <c r="AS88" s="8">
        <v>0</v>
      </c>
      <c r="AT88" s="128">
        <f t="shared" si="60"/>
        <v>4555323</v>
      </c>
      <c r="AU88" s="136">
        <f t="shared" si="56"/>
        <v>5769997</v>
      </c>
      <c r="AV88" s="8">
        <v>737389</v>
      </c>
      <c r="AW88" s="8">
        <v>501000</v>
      </c>
      <c r="AX88" s="8">
        <v>0</v>
      </c>
      <c r="AY88" s="128">
        <f>SUM(AV88:AX88)</f>
        <v>1238389</v>
      </c>
      <c r="AZ88" s="8">
        <v>472940</v>
      </c>
      <c r="BA88" s="8">
        <v>3919885</v>
      </c>
      <c r="BB88" s="8">
        <v>0</v>
      </c>
      <c r="BC88" s="128">
        <f t="shared" si="61"/>
        <v>4392825</v>
      </c>
      <c r="BD88" s="136">
        <f t="shared" si="57"/>
        <v>5631214</v>
      </c>
    </row>
    <row r="89" spans="1:56" ht="16.5" x14ac:dyDescent="0.25">
      <c r="A89" s="146" t="s">
        <v>134</v>
      </c>
      <c r="B89" s="7" t="s">
        <v>135</v>
      </c>
      <c r="C89" s="8">
        <v>268676</v>
      </c>
      <c r="D89" s="8">
        <v>156000</v>
      </c>
      <c r="E89" s="8">
        <v>494921</v>
      </c>
      <c r="F89" s="128">
        <f>SUM(C89:E89)</f>
        <v>919597</v>
      </c>
      <c r="G89" s="8">
        <v>400000</v>
      </c>
      <c r="H89" s="8"/>
      <c r="I89" s="8"/>
      <c r="J89" s="128">
        <f>SUM(G89:I89)</f>
        <v>400000</v>
      </c>
      <c r="K89" s="136">
        <f>F89+J89</f>
        <v>1319597</v>
      </c>
      <c r="L89" s="8">
        <v>0</v>
      </c>
      <c r="M89" s="8">
        <v>0</v>
      </c>
      <c r="N89" s="8">
        <v>0</v>
      </c>
      <c r="O89" s="128">
        <f>SUM(L89:N89)</f>
        <v>0</v>
      </c>
      <c r="P89" s="8">
        <v>0</v>
      </c>
      <c r="Q89" s="8"/>
      <c r="R89" s="8"/>
      <c r="S89" s="128">
        <f>SUM(P89:R89)</f>
        <v>0</v>
      </c>
      <c r="T89" s="136">
        <f t="shared" si="51"/>
        <v>0</v>
      </c>
      <c r="U89" s="8">
        <v>0</v>
      </c>
      <c r="V89" s="8">
        <v>0</v>
      </c>
      <c r="W89" s="8">
        <v>0</v>
      </c>
      <c r="X89" s="128">
        <f>SUM(U89:W89)</f>
        <v>0</v>
      </c>
      <c r="Y89" s="8">
        <v>0</v>
      </c>
      <c r="Z89" s="8"/>
      <c r="AA89" s="8"/>
      <c r="AB89" s="128">
        <f>Y89+Z89+AA89</f>
        <v>0</v>
      </c>
      <c r="AC89" s="136">
        <f>X89+AB89</f>
        <v>0</v>
      </c>
      <c r="AD89" s="8">
        <v>0</v>
      </c>
      <c r="AE89" s="8">
        <v>0</v>
      </c>
      <c r="AF89" s="8">
        <v>0</v>
      </c>
      <c r="AG89" s="128">
        <f>SUM(AD89:AF89)</f>
        <v>0</v>
      </c>
      <c r="AH89" s="8">
        <v>0</v>
      </c>
      <c r="AI89" s="8"/>
      <c r="AJ89" s="8"/>
      <c r="AK89" s="128">
        <f>AH89+AI89+AJ89</f>
        <v>0</v>
      </c>
      <c r="AL89" s="136">
        <f>AG89+AK89</f>
        <v>0</v>
      </c>
      <c r="AM89" s="8">
        <v>0</v>
      </c>
      <c r="AN89" s="8">
        <v>0</v>
      </c>
      <c r="AO89" s="8">
        <v>0</v>
      </c>
      <c r="AP89" s="128">
        <f>SUM(AM89:AO89)</f>
        <v>0</v>
      </c>
      <c r="AQ89" s="8">
        <v>0</v>
      </c>
      <c r="AR89" s="8"/>
      <c r="AS89" s="8"/>
      <c r="AT89" s="128">
        <f t="shared" si="60"/>
        <v>0</v>
      </c>
      <c r="AU89" s="136">
        <f t="shared" si="56"/>
        <v>0</v>
      </c>
      <c r="AV89" s="8">
        <v>0</v>
      </c>
      <c r="AW89" s="8">
        <v>0</v>
      </c>
      <c r="AX89" s="8">
        <v>0</v>
      </c>
      <c r="AY89" s="128">
        <f>SUM(AV89:AX89)</f>
        <v>0</v>
      </c>
      <c r="AZ89" s="8">
        <v>0</v>
      </c>
      <c r="BA89" s="8"/>
      <c r="BB89" s="8"/>
      <c r="BC89" s="128">
        <f t="shared" si="61"/>
        <v>0</v>
      </c>
      <c r="BD89" s="136">
        <f t="shared" si="57"/>
        <v>0</v>
      </c>
    </row>
    <row r="90" spans="1:56" ht="16.5" x14ac:dyDescent="0.25">
      <c r="A90" s="96" t="s">
        <v>136</v>
      </c>
      <c r="B90" s="109"/>
      <c r="C90" s="5">
        <v>1686700</v>
      </c>
      <c r="D90" s="5">
        <v>506610</v>
      </c>
      <c r="E90" s="5">
        <v>439392</v>
      </c>
      <c r="F90" s="127">
        <v>2632702</v>
      </c>
      <c r="G90" s="5">
        <v>38000000</v>
      </c>
      <c r="H90" s="5">
        <v>6508499</v>
      </c>
      <c r="I90" s="5">
        <v>9000000</v>
      </c>
      <c r="J90" s="127">
        <v>53508499</v>
      </c>
      <c r="K90" s="136">
        <v>56141201</v>
      </c>
      <c r="L90" s="5">
        <f>L91++L92</f>
        <v>727456</v>
      </c>
      <c r="M90" s="5">
        <f t="shared" ref="M90:S90" si="62">M91++M92</f>
        <v>1338424</v>
      </c>
      <c r="N90" s="5">
        <f t="shared" si="62"/>
        <v>180000</v>
      </c>
      <c r="O90" s="127">
        <f t="shared" si="62"/>
        <v>2245880</v>
      </c>
      <c r="P90" s="5">
        <f t="shared" si="62"/>
        <v>21920874</v>
      </c>
      <c r="Q90" s="5">
        <f t="shared" si="62"/>
        <v>5000000</v>
      </c>
      <c r="R90" s="5">
        <f t="shared" si="62"/>
        <v>30000000</v>
      </c>
      <c r="S90" s="127">
        <f t="shared" si="62"/>
        <v>56920874</v>
      </c>
      <c r="T90" s="136">
        <f t="shared" si="51"/>
        <v>59166754</v>
      </c>
      <c r="U90" s="5">
        <v>711694</v>
      </c>
      <c r="V90" s="5">
        <v>1338424</v>
      </c>
      <c r="W90" s="5">
        <v>180000</v>
      </c>
      <c r="X90" s="127">
        <v>2230118</v>
      </c>
      <c r="Y90" s="5">
        <v>35197843</v>
      </c>
      <c r="Z90" s="5">
        <v>8141381</v>
      </c>
      <c r="AA90" s="5">
        <v>36706131</v>
      </c>
      <c r="AB90" s="127">
        <v>80045355</v>
      </c>
      <c r="AC90" s="136">
        <v>82275473</v>
      </c>
      <c r="AD90" s="5">
        <f>AD91+AD92</f>
        <v>1609061</v>
      </c>
      <c r="AE90" s="5">
        <f t="shared" ref="AE90:BD90" si="63">AE91+AE92</f>
        <v>1423324</v>
      </c>
      <c r="AF90" s="5">
        <f t="shared" si="63"/>
        <v>180000</v>
      </c>
      <c r="AG90" s="127">
        <f t="shared" si="63"/>
        <v>3212385</v>
      </c>
      <c r="AH90" s="5">
        <f t="shared" si="63"/>
        <v>32196714</v>
      </c>
      <c r="AI90" s="5">
        <f t="shared" si="63"/>
        <v>6692441</v>
      </c>
      <c r="AJ90" s="5">
        <f t="shared" si="63"/>
        <v>46662764</v>
      </c>
      <c r="AK90" s="127">
        <f t="shared" si="63"/>
        <v>85551919</v>
      </c>
      <c r="AL90" s="136">
        <f t="shared" si="63"/>
        <v>88764304</v>
      </c>
      <c r="AM90" s="5">
        <f t="shared" si="63"/>
        <v>1651304</v>
      </c>
      <c r="AN90" s="5">
        <f t="shared" si="63"/>
        <v>1423324</v>
      </c>
      <c r="AO90" s="5">
        <f t="shared" si="63"/>
        <v>180000</v>
      </c>
      <c r="AP90" s="127">
        <f t="shared" si="63"/>
        <v>3254628</v>
      </c>
      <c r="AQ90" s="5">
        <f t="shared" si="63"/>
        <v>21742568</v>
      </c>
      <c r="AR90" s="5">
        <f t="shared" si="63"/>
        <v>2586027</v>
      </c>
      <c r="AS90" s="5">
        <f t="shared" si="63"/>
        <v>43807319</v>
      </c>
      <c r="AT90" s="127">
        <f t="shared" si="63"/>
        <v>68135914</v>
      </c>
      <c r="AU90" s="136">
        <f t="shared" si="63"/>
        <v>71390542</v>
      </c>
      <c r="AV90" s="5">
        <f t="shared" si="63"/>
        <v>1707716</v>
      </c>
      <c r="AW90" s="5">
        <f t="shared" si="63"/>
        <v>1423324</v>
      </c>
      <c r="AX90" s="5">
        <f t="shared" si="63"/>
        <v>180000</v>
      </c>
      <c r="AY90" s="127">
        <f t="shared" si="63"/>
        <v>3311040</v>
      </c>
      <c r="AZ90" s="5">
        <f t="shared" si="63"/>
        <v>23502192</v>
      </c>
      <c r="BA90" s="5">
        <f t="shared" si="63"/>
        <v>23700</v>
      </c>
      <c r="BB90" s="5">
        <f t="shared" si="63"/>
        <v>2927500</v>
      </c>
      <c r="BC90" s="127">
        <f t="shared" si="63"/>
        <v>26453392</v>
      </c>
      <c r="BD90" s="136">
        <f t="shared" si="63"/>
        <v>29764432</v>
      </c>
    </row>
    <row r="91" spans="1:56" ht="16.5" x14ac:dyDescent="0.25">
      <c r="A91" s="145" t="s">
        <v>137</v>
      </c>
      <c r="B91" s="7" t="s">
        <v>138</v>
      </c>
      <c r="C91" s="8">
        <v>429590</v>
      </c>
      <c r="D91" s="8">
        <v>491610</v>
      </c>
      <c r="E91" s="8">
        <v>201392</v>
      </c>
      <c r="F91" s="128">
        <f>SUM(C91:E91)</f>
        <v>1122592</v>
      </c>
      <c r="G91" s="8">
        <v>0</v>
      </c>
      <c r="H91" s="8">
        <v>0</v>
      </c>
      <c r="I91" s="8">
        <v>0</v>
      </c>
      <c r="J91" s="128">
        <f>SUM(G91:I91)</f>
        <v>0</v>
      </c>
      <c r="K91" s="136">
        <f>F91+J91</f>
        <v>1122592</v>
      </c>
      <c r="L91" s="8">
        <v>484238</v>
      </c>
      <c r="M91" s="8">
        <v>1285424</v>
      </c>
      <c r="N91" s="8">
        <v>0</v>
      </c>
      <c r="O91" s="128">
        <f>SUM(L91:N91)</f>
        <v>1769662</v>
      </c>
      <c r="P91" s="8">
        <v>930000</v>
      </c>
      <c r="Q91" s="8">
        <v>0</v>
      </c>
      <c r="R91" s="8">
        <v>0</v>
      </c>
      <c r="S91" s="128">
        <f>SUM(P91:R91)</f>
        <v>930000</v>
      </c>
      <c r="T91" s="136">
        <f t="shared" si="51"/>
        <v>2699662</v>
      </c>
      <c r="U91" s="33">
        <v>467935</v>
      </c>
      <c r="V91" s="33">
        <v>1285424</v>
      </c>
      <c r="W91" s="33">
        <v>0</v>
      </c>
      <c r="X91" s="128">
        <f>SUM(U91:W91)</f>
        <v>1753359</v>
      </c>
      <c r="Y91" s="33">
        <v>1526000</v>
      </c>
      <c r="Z91" s="33">
        <v>0</v>
      </c>
      <c r="AA91" s="33">
        <v>0</v>
      </c>
      <c r="AB91" s="128">
        <f>Y91+Z91+AA91</f>
        <v>1526000</v>
      </c>
      <c r="AC91" s="136">
        <f>X91+AB91</f>
        <v>3279359</v>
      </c>
      <c r="AD91" s="8">
        <v>1544650</v>
      </c>
      <c r="AE91" s="8">
        <v>1275641</v>
      </c>
      <c r="AF91" s="8">
        <v>0</v>
      </c>
      <c r="AG91" s="128">
        <f>AD91+AE91+AF91</f>
        <v>2820291</v>
      </c>
      <c r="AH91" s="8">
        <v>5960000</v>
      </c>
      <c r="AI91" s="8">
        <v>0</v>
      </c>
      <c r="AJ91" s="8">
        <v>0</v>
      </c>
      <c r="AK91" s="128">
        <f>AH91+AI91+AJ91</f>
        <v>5960000</v>
      </c>
      <c r="AL91" s="136">
        <f>AG91+AK91</f>
        <v>8780291</v>
      </c>
      <c r="AM91" s="8">
        <v>1585299</v>
      </c>
      <c r="AN91" s="8">
        <v>1303090</v>
      </c>
      <c r="AO91" s="8">
        <v>0</v>
      </c>
      <c r="AP91" s="128">
        <f>AM91+AN91+AO91</f>
        <v>2888389</v>
      </c>
      <c r="AQ91" s="8">
        <v>827243</v>
      </c>
      <c r="AR91" s="8">
        <v>0</v>
      </c>
      <c r="AS91" s="8">
        <v>0</v>
      </c>
      <c r="AT91" s="128">
        <f t="shared" si="60"/>
        <v>827243</v>
      </c>
      <c r="AU91" s="136">
        <f t="shared" si="56"/>
        <v>3715632</v>
      </c>
      <c r="AV91" s="8">
        <v>1639583</v>
      </c>
      <c r="AW91" s="21">
        <v>1303090</v>
      </c>
      <c r="AX91" s="8">
        <v>0</v>
      </c>
      <c r="AY91" s="128">
        <f>AV91+AW91+AX91</f>
        <v>2942673</v>
      </c>
      <c r="AZ91" s="8">
        <v>956859</v>
      </c>
      <c r="BA91" s="8">
        <v>0</v>
      </c>
      <c r="BB91" s="8">
        <v>0</v>
      </c>
      <c r="BC91" s="128">
        <f t="shared" si="61"/>
        <v>956859</v>
      </c>
      <c r="BD91" s="136">
        <f t="shared" si="57"/>
        <v>3899532</v>
      </c>
    </row>
    <row r="92" spans="1:56" ht="16.5" x14ac:dyDescent="0.25">
      <c r="A92" s="145" t="s">
        <v>139</v>
      </c>
      <c r="B92" s="7" t="s">
        <v>140</v>
      </c>
      <c r="C92" s="8">
        <v>1257110</v>
      </c>
      <c r="D92" s="8">
        <v>15000</v>
      </c>
      <c r="E92" s="8">
        <v>238000</v>
      </c>
      <c r="F92" s="128">
        <f>SUM(C92:E92)</f>
        <v>1510110</v>
      </c>
      <c r="G92" s="8">
        <v>38000000</v>
      </c>
      <c r="H92" s="8">
        <v>6508499</v>
      </c>
      <c r="I92" s="8">
        <v>9000000</v>
      </c>
      <c r="J92" s="128">
        <f>SUM(G92:I92)</f>
        <v>53508499</v>
      </c>
      <c r="K92" s="136">
        <f>F92+J92</f>
        <v>55018609</v>
      </c>
      <c r="L92" s="8">
        <v>243218</v>
      </c>
      <c r="M92" s="8">
        <v>53000</v>
      </c>
      <c r="N92" s="8">
        <v>180000</v>
      </c>
      <c r="O92" s="128">
        <f>SUM(L92:N92)</f>
        <v>476218</v>
      </c>
      <c r="P92" s="8">
        <v>20990874</v>
      </c>
      <c r="Q92" s="8">
        <v>5000000</v>
      </c>
      <c r="R92" s="8">
        <v>30000000</v>
      </c>
      <c r="S92" s="128">
        <f>SUM(P92:R92)</f>
        <v>55990874</v>
      </c>
      <c r="T92" s="136">
        <f t="shared" si="51"/>
        <v>56467092</v>
      </c>
      <c r="U92" s="40">
        <v>243759</v>
      </c>
      <c r="V92" s="40">
        <v>53000</v>
      </c>
      <c r="W92" s="40">
        <v>180000</v>
      </c>
      <c r="X92" s="128">
        <f>SUM(U92:W92)</f>
        <v>476759</v>
      </c>
      <c r="Y92" s="40">
        <f>23163094+10508749</f>
        <v>33671843</v>
      </c>
      <c r="Z92" s="40">
        <v>8141381</v>
      </c>
      <c r="AA92" s="40">
        <v>36706131</v>
      </c>
      <c r="AB92" s="128">
        <f>Y92+Z92+AA92</f>
        <v>78519355</v>
      </c>
      <c r="AC92" s="136">
        <f>X92+AB92</f>
        <v>78996114</v>
      </c>
      <c r="AD92" s="8">
        <v>64411</v>
      </c>
      <c r="AE92" s="8">
        <v>147683</v>
      </c>
      <c r="AF92" s="8">
        <v>180000</v>
      </c>
      <c r="AG92" s="128">
        <f>SUM(AD92:AF92)</f>
        <v>392094</v>
      </c>
      <c r="AH92" s="8">
        <v>26236714</v>
      </c>
      <c r="AI92" s="8">
        <v>6692441</v>
      </c>
      <c r="AJ92" s="8">
        <v>46662764</v>
      </c>
      <c r="AK92" s="128">
        <f>AH92+AI92+AJ92</f>
        <v>79591919</v>
      </c>
      <c r="AL92" s="136">
        <f>AG92+AK92</f>
        <v>79984013</v>
      </c>
      <c r="AM92" s="8">
        <v>66005</v>
      </c>
      <c r="AN92" s="8">
        <v>120234</v>
      </c>
      <c r="AO92" s="8">
        <v>180000</v>
      </c>
      <c r="AP92" s="128">
        <f>SUM(AM92:AO92)</f>
        <v>366239</v>
      </c>
      <c r="AQ92" s="8">
        <v>20915325</v>
      </c>
      <c r="AR92" s="8">
        <v>2586027</v>
      </c>
      <c r="AS92" s="8">
        <v>43807319</v>
      </c>
      <c r="AT92" s="128">
        <f t="shared" si="60"/>
        <v>67308671</v>
      </c>
      <c r="AU92" s="136">
        <f>AP92+AT92</f>
        <v>67674910</v>
      </c>
      <c r="AV92" s="21">
        <v>68133</v>
      </c>
      <c r="AW92" s="8">
        <v>120234</v>
      </c>
      <c r="AX92" s="8">
        <v>180000</v>
      </c>
      <c r="AY92" s="128">
        <f>AV92+AW92+AX92</f>
        <v>368367</v>
      </c>
      <c r="AZ92" s="8">
        <v>22545333</v>
      </c>
      <c r="BA92" s="8">
        <v>23700</v>
      </c>
      <c r="BB92" s="8">
        <v>2927500</v>
      </c>
      <c r="BC92" s="128">
        <f t="shared" si="61"/>
        <v>25496533</v>
      </c>
      <c r="BD92" s="136">
        <f t="shared" si="57"/>
        <v>25864900</v>
      </c>
    </row>
    <row r="93" spans="1:56" ht="16.5" x14ac:dyDescent="0.25">
      <c r="A93" s="96" t="s">
        <v>141</v>
      </c>
      <c r="B93" s="97"/>
      <c r="C93" s="5">
        <v>3700700</v>
      </c>
      <c r="D93" s="5">
        <v>785026</v>
      </c>
      <c r="E93" s="5">
        <v>1499006</v>
      </c>
      <c r="F93" s="127">
        <v>5984732</v>
      </c>
      <c r="G93" s="5">
        <v>68600000</v>
      </c>
      <c r="H93" s="5">
        <v>5400000</v>
      </c>
      <c r="I93" s="5">
        <v>30000000</v>
      </c>
      <c r="J93" s="127">
        <v>104000000</v>
      </c>
      <c r="K93" s="136">
        <v>109984732</v>
      </c>
      <c r="L93" s="5">
        <f>L94+L95+L96+L97+L98</f>
        <v>3774208</v>
      </c>
      <c r="M93" s="5">
        <f t="shared" ref="M93:S93" si="64">M94+M95+M96+M97+M98</f>
        <v>1025464</v>
      </c>
      <c r="N93" s="5">
        <f t="shared" si="64"/>
        <v>2141796</v>
      </c>
      <c r="O93" s="127">
        <f t="shared" si="64"/>
        <v>6941468</v>
      </c>
      <c r="P93" s="5">
        <f t="shared" si="64"/>
        <v>51262863</v>
      </c>
      <c r="Q93" s="5">
        <f t="shared" si="64"/>
        <v>8098204</v>
      </c>
      <c r="R93" s="5">
        <f t="shared" si="64"/>
        <v>35000000</v>
      </c>
      <c r="S93" s="127">
        <f t="shared" si="64"/>
        <v>94361067</v>
      </c>
      <c r="T93" s="136">
        <f t="shared" si="51"/>
        <v>101302535</v>
      </c>
      <c r="U93" s="5">
        <v>5293685</v>
      </c>
      <c r="V93" s="5">
        <v>1057464</v>
      </c>
      <c r="W93" s="5">
        <v>2109796</v>
      </c>
      <c r="X93" s="127">
        <v>8460945</v>
      </c>
      <c r="Y93" s="5">
        <v>114028759</v>
      </c>
      <c r="Z93" s="5">
        <v>11311974</v>
      </c>
      <c r="AA93" s="5">
        <v>36450356</v>
      </c>
      <c r="AB93" s="127">
        <v>161791089</v>
      </c>
      <c r="AC93" s="136">
        <v>170252034</v>
      </c>
      <c r="AD93" s="5">
        <f>AD94+AD95+AD96+AD97+AD98</f>
        <v>5567746</v>
      </c>
      <c r="AE93" s="5">
        <f t="shared" ref="AE93:AU93" si="65">AE94+AE95+AE96+AE97+AE98</f>
        <v>1440164</v>
      </c>
      <c r="AF93" s="5">
        <f t="shared" si="65"/>
        <v>2903782</v>
      </c>
      <c r="AG93" s="127">
        <f t="shared" si="65"/>
        <v>9911692</v>
      </c>
      <c r="AH93" s="5">
        <f t="shared" si="65"/>
        <v>182145161</v>
      </c>
      <c r="AI93" s="5">
        <f t="shared" si="65"/>
        <v>4000000</v>
      </c>
      <c r="AJ93" s="5">
        <f t="shared" si="65"/>
        <v>23392000</v>
      </c>
      <c r="AK93" s="127">
        <f t="shared" si="65"/>
        <v>209537161</v>
      </c>
      <c r="AL93" s="136">
        <f t="shared" si="65"/>
        <v>219448853</v>
      </c>
      <c r="AM93" s="5">
        <f t="shared" si="65"/>
        <v>5948895</v>
      </c>
      <c r="AN93" s="5">
        <f t="shared" si="65"/>
        <v>1440164</v>
      </c>
      <c r="AO93" s="5">
        <f t="shared" si="65"/>
        <v>2903781</v>
      </c>
      <c r="AP93" s="127">
        <f t="shared" si="65"/>
        <v>10292840</v>
      </c>
      <c r="AQ93" s="5">
        <f t="shared" si="65"/>
        <v>125731418</v>
      </c>
      <c r="AR93" s="5">
        <f t="shared" si="65"/>
        <v>2688000</v>
      </c>
      <c r="AS93" s="5">
        <f t="shared" si="65"/>
        <v>29950000</v>
      </c>
      <c r="AT93" s="127">
        <f t="shared" si="65"/>
        <v>158369418</v>
      </c>
      <c r="AU93" s="136">
        <f t="shared" si="65"/>
        <v>168662258</v>
      </c>
      <c r="AV93" s="5">
        <f t="shared" ref="AV93:BD93" si="66">AV94+AV95+AV96+AV97+AV98</f>
        <v>6433794</v>
      </c>
      <c r="AW93" s="5">
        <f t="shared" si="66"/>
        <v>1440164</v>
      </c>
      <c r="AX93" s="5">
        <f t="shared" si="66"/>
        <v>2903781</v>
      </c>
      <c r="AY93" s="127">
        <f t="shared" si="66"/>
        <v>10777739</v>
      </c>
      <c r="AZ93" s="5">
        <f t="shared" si="66"/>
        <v>143528088</v>
      </c>
      <c r="BA93" s="5">
        <f t="shared" si="66"/>
        <v>7688000</v>
      </c>
      <c r="BB93" s="5">
        <f t="shared" si="66"/>
        <v>111453185</v>
      </c>
      <c r="BC93" s="127">
        <f t="shared" si="66"/>
        <v>262669273</v>
      </c>
      <c r="BD93" s="136">
        <f t="shared" si="66"/>
        <v>273447012</v>
      </c>
    </row>
    <row r="94" spans="1:56" ht="16.5" x14ac:dyDescent="0.25">
      <c r="A94" s="145" t="s">
        <v>142</v>
      </c>
      <c r="B94" s="7" t="s">
        <v>143</v>
      </c>
      <c r="C94" s="8">
        <v>421476</v>
      </c>
      <c r="D94" s="8">
        <v>649176</v>
      </c>
      <c r="E94" s="8">
        <v>360376</v>
      </c>
      <c r="F94" s="128">
        <f>SUM(C94:E94)</f>
        <v>1431028</v>
      </c>
      <c r="G94" s="8">
        <v>5033478</v>
      </c>
      <c r="H94" s="8">
        <v>0</v>
      </c>
      <c r="I94" s="8">
        <v>0</v>
      </c>
      <c r="J94" s="128">
        <f>SUM(G94:I94)</f>
        <v>5033478</v>
      </c>
      <c r="K94" s="136">
        <f>F94+J94</f>
        <v>6464506</v>
      </c>
      <c r="L94" s="8">
        <v>568092</v>
      </c>
      <c r="M94" s="8">
        <v>866214</v>
      </c>
      <c r="N94" s="8">
        <v>632000</v>
      </c>
      <c r="O94" s="128">
        <f>SUM(L94:N94)</f>
        <v>2066306</v>
      </c>
      <c r="P94" s="8">
        <v>1000000</v>
      </c>
      <c r="Q94" s="8">
        <v>0</v>
      </c>
      <c r="R94" s="8">
        <v>0</v>
      </c>
      <c r="S94" s="128">
        <f>SUM(P94:R94)</f>
        <v>1000000</v>
      </c>
      <c r="T94" s="136">
        <f t="shared" si="51"/>
        <v>3066306</v>
      </c>
      <c r="U94" s="33">
        <v>795698</v>
      </c>
      <c r="V94" s="33">
        <v>898214</v>
      </c>
      <c r="W94" s="33">
        <v>0</v>
      </c>
      <c r="X94" s="128">
        <f>SUM(U94:W94)</f>
        <v>1693912</v>
      </c>
      <c r="Y94" s="33">
        <v>3500000</v>
      </c>
      <c r="Z94" s="33">
        <v>0</v>
      </c>
      <c r="AA94" s="33">
        <v>0</v>
      </c>
      <c r="AB94" s="128">
        <f>SUM(Y94:AA94)</f>
        <v>3500000</v>
      </c>
      <c r="AC94" s="136">
        <f>X94+AB94</f>
        <v>5193912</v>
      </c>
      <c r="AD94" s="8">
        <v>1165914</v>
      </c>
      <c r="AE94" s="8">
        <v>1274564</v>
      </c>
      <c r="AF94" s="8">
        <v>0</v>
      </c>
      <c r="AG94" s="128">
        <f>AD94+AE94+AF94</f>
        <v>2440478</v>
      </c>
      <c r="AH94" s="8">
        <v>3250000</v>
      </c>
      <c r="AI94" s="8">
        <v>0</v>
      </c>
      <c r="AJ94" s="8">
        <v>0</v>
      </c>
      <c r="AK94" s="128">
        <f>SUM(AH94:AJ94)</f>
        <v>3250000</v>
      </c>
      <c r="AL94" s="136">
        <f>AG94+AK94</f>
        <v>5690478</v>
      </c>
      <c r="AM94" s="8">
        <v>1405882</v>
      </c>
      <c r="AN94" s="8">
        <v>1274564</v>
      </c>
      <c r="AO94" s="8">
        <v>0</v>
      </c>
      <c r="AP94" s="128">
        <f>AM94+AN94+AO94</f>
        <v>2680446</v>
      </c>
      <c r="AQ94" s="8">
        <v>1100000</v>
      </c>
      <c r="AR94" s="8">
        <v>0</v>
      </c>
      <c r="AS94" s="8">
        <v>0</v>
      </c>
      <c r="AT94" s="128">
        <f>SUM(AQ94:AS94)</f>
        <v>1100000</v>
      </c>
      <c r="AU94" s="136">
        <f t="shared" si="56"/>
        <v>3780446</v>
      </c>
      <c r="AV94" s="8">
        <v>1711170</v>
      </c>
      <c r="AW94" s="8">
        <v>1274564</v>
      </c>
      <c r="AX94" s="8">
        <v>0</v>
      </c>
      <c r="AY94" s="128">
        <f>SUM(AV94:AX94)</f>
        <v>2985734</v>
      </c>
      <c r="AZ94" s="8">
        <v>600000</v>
      </c>
      <c r="BA94" s="8">
        <v>0</v>
      </c>
      <c r="BB94" s="8">
        <v>0</v>
      </c>
      <c r="BC94" s="128">
        <f>SUM(AZ94:BB94)</f>
        <v>600000</v>
      </c>
      <c r="BD94" s="136">
        <f t="shared" si="57"/>
        <v>3585734</v>
      </c>
    </row>
    <row r="95" spans="1:56" ht="33" x14ac:dyDescent="0.25">
      <c r="A95" s="145" t="s">
        <v>144</v>
      </c>
      <c r="B95" s="7" t="s">
        <v>145</v>
      </c>
      <c r="C95" s="8">
        <v>255535</v>
      </c>
      <c r="D95" s="8">
        <v>14000</v>
      </c>
      <c r="E95" s="8">
        <v>251830</v>
      </c>
      <c r="F95" s="128">
        <f>SUM(C95:E95)</f>
        <v>521365</v>
      </c>
      <c r="G95" s="8">
        <f>13595000</f>
        <v>13595000</v>
      </c>
      <c r="H95" s="8">
        <v>3000000</v>
      </c>
      <c r="I95" s="8">
        <f>14000000+3000000</f>
        <v>17000000</v>
      </c>
      <c r="J95" s="128">
        <f>SUM(G95:I95)</f>
        <v>33595000</v>
      </c>
      <c r="K95" s="136">
        <f>F95+J95</f>
        <v>34116365</v>
      </c>
      <c r="L95" s="8">
        <v>259028</v>
      </c>
      <c r="M95" s="8">
        <v>14000</v>
      </c>
      <c r="N95" s="8">
        <v>254830</v>
      </c>
      <c r="O95" s="128">
        <f>SUM(L95:N95)</f>
        <v>527858</v>
      </c>
      <c r="P95" s="8">
        <v>9595000</v>
      </c>
      <c r="Q95" s="8">
        <v>0</v>
      </c>
      <c r="R95" s="8">
        <v>17598204</v>
      </c>
      <c r="S95" s="128">
        <f>SUM(P95:R95)</f>
        <v>27193204</v>
      </c>
      <c r="T95" s="136">
        <f t="shared" si="51"/>
        <v>27721062</v>
      </c>
      <c r="U95" s="35">
        <v>363379</v>
      </c>
      <c r="V95" s="35">
        <v>14000</v>
      </c>
      <c r="W95" s="35">
        <v>254830</v>
      </c>
      <c r="X95" s="128">
        <f>SUM(U95:W95)</f>
        <v>632209</v>
      </c>
      <c r="Y95" s="35">
        <v>17935000</v>
      </c>
      <c r="Z95" s="35">
        <v>6098204</v>
      </c>
      <c r="AA95" s="35">
        <v>11500000</v>
      </c>
      <c r="AB95" s="128">
        <f>SUM(Y95:AA95)</f>
        <v>35533204</v>
      </c>
      <c r="AC95" s="136">
        <f>X95+AB95</f>
        <v>36165413</v>
      </c>
      <c r="AD95" s="8">
        <v>102893</v>
      </c>
      <c r="AE95" s="8">
        <v>30000</v>
      </c>
      <c r="AF95" s="8">
        <v>1167815</v>
      </c>
      <c r="AG95" s="128">
        <f>SUM(AD95:AF95)</f>
        <v>1300708</v>
      </c>
      <c r="AH95" s="8">
        <v>20815520</v>
      </c>
      <c r="AI95" s="8">
        <v>2600000</v>
      </c>
      <c r="AJ95" s="8">
        <v>2500000</v>
      </c>
      <c r="AK95" s="128">
        <f>SUM(AH95:AJ95)</f>
        <v>25915520</v>
      </c>
      <c r="AL95" s="136">
        <f>AG95+AK95</f>
        <v>27216228</v>
      </c>
      <c r="AM95" s="8">
        <v>125020</v>
      </c>
      <c r="AN95" s="8">
        <v>30000</v>
      </c>
      <c r="AO95" s="8">
        <v>1167815</v>
      </c>
      <c r="AP95" s="128">
        <f t="shared" ref="AP95:AP98" si="67">AM95+AN95+AO95</f>
        <v>1322835</v>
      </c>
      <c r="AQ95" s="8">
        <v>16269290</v>
      </c>
      <c r="AR95" s="8">
        <v>1888000</v>
      </c>
      <c r="AS95" s="8">
        <v>5000000</v>
      </c>
      <c r="AT95" s="128">
        <f>SUM(AQ95:AS95)</f>
        <v>23157290</v>
      </c>
      <c r="AU95" s="136">
        <f>AP95+AT95</f>
        <v>24480125</v>
      </c>
      <c r="AV95" s="8">
        <v>153170</v>
      </c>
      <c r="AW95" s="8">
        <v>30000</v>
      </c>
      <c r="AX95" s="8">
        <v>1167815</v>
      </c>
      <c r="AY95" s="128">
        <f>SUM(AV95:AX95)</f>
        <v>1350985</v>
      </c>
      <c r="AZ95" s="8">
        <v>14319506</v>
      </c>
      <c r="BA95" s="8">
        <v>5688000</v>
      </c>
      <c r="BB95" s="8">
        <v>11500000</v>
      </c>
      <c r="BC95" s="128">
        <f>SUM(AZ95:BB95)</f>
        <v>31507506</v>
      </c>
      <c r="BD95" s="136">
        <f t="shared" si="57"/>
        <v>32858491</v>
      </c>
    </row>
    <row r="96" spans="1:56" ht="33" x14ac:dyDescent="0.25">
      <c r="A96" s="145" t="s">
        <v>146</v>
      </c>
      <c r="B96" s="7" t="s">
        <v>147</v>
      </c>
      <c r="C96" s="8">
        <v>2686880</v>
      </c>
      <c r="D96" s="8">
        <v>80650</v>
      </c>
      <c r="E96" s="8">
        <v>342021</v>
      </c>
      <c r="F96" s="128">
        <f>SUM(C96:E96)</f>
        <v>3109551</v>
      </c>
      <c r="G96" s="8">
        <v>13490700</v>
      </c>
      <c r="H96" s="8">
        <v>2400000</v>
      </c>
      <c r="I96" s="8">
        <f>800000+3100000</f>
        <v>3900000</v>
      </c>
      <c r="J96" s="128">
        <f>SUM(G96:I96)</f>
        <v>19790700</v>
      </c>
      <c r="K96" s="136">
        <f>F96+J96</f>
        <v>22900251</v>
      </c>
      <c r="L96" s="8">
        <v>2604324</v>
      </c>
      <c r="M96" s="8">
        <v>97650</v>
      </c>
      <c r="N96" s="8">
        <v>729341</v>
      </c>
      <c r="O96" s="128">
        <f>SUM(L96:N96)</f>
        <v>3431315</v>
      </c>
      <c r="P96" s="8">
        <v>3140000</v>
      </c>
      <c r="Q96" s="8">
        <v>0</v>
      </c>
      <c r="R96" s="8">
        <v>5000000</v>
      </c>
      <c r="S96" s="128">
        <f>SUM(P96:R96)</f>
        <v>8140000</v>
      </c>
      <c r="T96" s="136">
        <f t="shared" si="51"/>
        <v>11571315</v>
      </c>
      <c r="U96" s="35">
        <v>3669506</v>
      </c>
      <c r="V96" s="35">
        <v>97650</v>
      </c>
      <c r="W96" s="35">
        <v>1329341</v>
      </c>
      <c r="X96" s="128">
        <f>SUM(U96:W96)</f>
        <v>5096497</v>
      </c>
      <c r="Y96" s="35">
        <v>5500000</v>
      </c>
      <c r="Z96" s="35">
        <v>5213770</v>
      </c>
      <c r="AA96" s="35">
        <v>1000000</v>
      </c>
      <c r="AB96" s="128">
        <f>SUM(Y96:AA96)</f>
        <v>11713770</v>
      </c>
      <c r="AC96" s="136">
        <f>X96+AB96</f>
        <v>16810267</v>
      </c>
      <c r="AD96" s="8">
        <v>3735922</v>
      </c>
      <c r="AE96" s="8">
        <v>76000</v>
      </c>
      <c r="AF96" s="8">
        <v>900341</v>
      </c>
      <c r="AG96" s="128">
        <f>SUM(AD96:AF96)</f>
        <v>4712263</v>
      </c>
      <c r="AH96" s="8">
        <v>4650000</v>
      </c>
      <c r="AI96" s="8">
        <v>1400000</v>
      </c>
      <c r="AJ96" s="8">
        <v>200000</v>
      </c>
      <c r="AK96" s="128">
        <f>SUM(AH96:AJ96)</f>
        <v>6250000</v>
      </c>
      <c r="AL96" s="136">
        <f>AK96+AG96</f>
        <v>10962263</v>
      </c>
      <c r="AM96" s="8">
        <v>3738826</v>
      </c>
      <c r="AN96" s="8">
        <v>76000</v>
      </c>
      <c r="AO96" s="8">
        <v>900341</v>
      </c>
      <c r="AP96" s="128">
        <f t="shared" si="67"/>
        <v>4715167</v>
      </c>
      <c r="AQ96" s="8">
        <v>700000</v>
      </c>
      <c r="AR96" s="8">
        <v>800000</v>
      </c>
      <c r="AS96" s="8">
        <v>0</v>
      </c>
      <c r="AT96" s="128">
        <f>SUM(AQ96:AS96)</f>
        <v>1500000</v>
      </c>
      <c r="AU96" s="136">
        <f>AT96+AP96</f>
        <v>6215167</v>
      </c>
      <c r="AV96" s="8">
        <v>3742520</v>
      </c>
      <c r="AW96" s="8">
        <v>76000</v>
      </c>
      <c r="AX96" s="8">
        <v>900341</v>
      </c>
      <c r="AY96" s="128">
        <f>SUM(AV96:AX96)</f>
        <v>4718861</v>
      </c>
      <c r="AZ96" s="8">
        <v>1300000</v>
      </c>
      <c r="BA96" s="8">
        <v>2000000</v>
      </c>
      <c r="BB96" s="8">
        <v>0</v>
      </c>
      <c r="BC96" s="128">
        <f>SUM(AZ96:BB96)</f>
        <v>3300000</v>
      </c>
      <c r="BD96" s="136">
        <f>BC96+AY96</f>
        <v>8018861</v>
      </c>
    </row>
    <row r="97" spans="1:56" ht="16.5" x14ac:dyDescent="0.25">
      <c r="A97" s="145" t="s">
        <v>148</v>
      </c>
      <c r="B97" s="7" t="s">
        <v>149</v>
      </c>
      <c r="C97" s="8">
        <v>185582</v>
      </c>
      <c r="D97" s="8">
        <v>23200</v>
      </c>
      <c r="E97" s="8">
        <v>515029</v>
      </c>
      <c r="F97" s="128">
        <f>SUM(C97:E97)</f>
        <v>723811</v>
      </c>
      <c r="G97" s="8">
        <v>20973000</v>
      </c>
      <c r="H97" s="8">
        <v>0</v>
      </c>
      <c r="I97" s="8">
        <v>9100000</v>
      </c>
      <c r="J97" s="128">
        <f>SUM(G97:I97)</f>
        <v>30073000</v>
      </c>
      <c r="K97" s="136">
        <f>F97+J97</f>
        <v>30796811</v>
      </c>
      <c r="L97" s="8">
        <v>204638</v>
      </c>
      <c r="M97" s="8">
        <v>26600</v>
      </c>
      <c r="N97" s="8">
        <v>495875</v>
      </c>
      <c r="O97" s="128">
        <f>SUM(L97:N97)</f>
        <v>727113</v>
      </c>
      <c r="P97" s="8">
        <v>29627863</v>
      </c>
      <c r="Q97" s="8">
        <v>1598204</v>
      </c>
      <c r="R97" s="8">
        <v>12401796</v>
      </c>
      <c r="S97" s="128">
        <f>SUM(P97:R97)</f>
        <v>43627863</v>
      </c>
      <c r="T97" s="136">
        <f t="shared" si="51"/>
        <v>44354976</v>
      </c>
      <c r="U97" s="35">
        <v>273462</v>
      </c>
      <c r="V97" s="35">
        <v>26600</v>
      </c>
      <c r="W97" s="35">
        <v>495875</v>
      </c>
      <c r="X97" s="128">
        <f>SUM(U97:W97)</f>
        <v>795937</v>
      </c>
      <c r="Y97" s="35">
        <v>54820759</v>
      </c>
      <c r="Z97" s="35">
        <v>0</v>
      </c>
      <c r="AA97" s="35">
        <v>17000000</v>
      </c>
      <c r="AB97" s="128">
        <f>SUM(Y97:AA97)</f>
        <v>71820759</v>
      </c>
      <c r="AC97" s="136">
        <f>X97+AB97</f>
        <v>72616696</v>
      </c>
      <c r="AD97" s="8">
        <v>343251</v>
      </c>
      <c r="AE97" s="8">
        <v>31600</v>
      </c>
      <c r="AF97" s="8">
        <v>555876</v>
      </c>
      <c r="AG97" s="128">
        <f>SUM(AD97:AF97)</f>
        <v>930727</v>
      </c>
      <c r="AH97" s="8">
        <v>71455355</v>
      </c>
      <c r="AI97" s="8">
        <v>0</v>
      </c>
      <c r="AJ97" s="8">
        <v>20192000</v>
      </c>
      <c r="AK97" s="128">
        <f>SUM(AH97:AJ97)</f>
        <v>91647355</v>
      </c>
      <c r="AL97" s="136">
        <f>AG97+AK97</f>
        <v>92578082</v>
      </c>
      <c r="AM97" s="8">
        <v>413870</v>
      </c>
      <c r="AN97" s="8">
        <v>31600</v>
      </c>
      <c r="AO97" s="8">
        <v>555875</v>
      </c>
      <c r="AP97" s="128">
        <f t="shared" si="67"/>
        <v>1001345</v>
      </c>
      <c r="AQ97" s="8">
        <v>72015064</v>
      </c>
      <c r="AR97" s="8">
        <v>0</v>
      </c>
      <c r="AS97" s="8">
        <v>24250000</v>
      </c>
      <c r="AT97" s="128">
        <f>SUM(AQ97:AS97)</f>
        <v>96265064</v>
      </c>
      <c r="AU97" s="136">
        <f t="shared" ref="AU97:AU103" si="68">AP97+AT97</f>
        <v>97266409</v>
      </c>
      <c r="AV97" s="8">
        <v>503713</v>
      </c>
      <c r="AW97" s="8">
        <v>31600</v>
      </c>
      <c r="AX97" s="8">
        <v>555875</v>
      </c>
      <c r="AY97" s="128">
        <f>SUM(AV97:AX97)</f>
        <v>1091188</v>
      </c>
      <c r="AZ97" s="8">
        <v>82204856</v>
      </c>
      <c r="BA97" s="8">
        <v>0</v>
      </c>
      <c r="BB97" s="8">
        <v>97953185</v>
      </c>
      <c r="BC97" s="128">
        <f>SUM(AZ97:BB97)</f>
        <v>180158041</v>
      </c>
      <c r="BD97" s="136">
        <f t="shared" si="57"/>
        <v>181249229</v>
      </c>
    </row>
    <row r="98" spans="1:56" ht="16.5" x14ac:dyDescent="0.25">
      <c r="A98" s="146" t="s">
        <v>150</v>
      </c>
      <c r="B98" s="7" t="s">
        <v>151</v>
      </c>
      <c r="C98" s="8">
        <v>151227</v>
      </c>
      <c r="D98" s="8">
        <v>18000</v>
      </c>
      <c r="E98" s="8">
        <v>29750</v>
      </c>
      <c r="F98" s="128">
        <f>SUM(C98:E98)</f>
        <v>198977</v>
      </c>
      <c r="G98" s="8">
        <v>15507822</v>
      </c>
      <c r="H98" s="8"/>
      <c r="I98" s="8">
        <v>0</v>
      </c>
      <c r="J98" s="128">
        <f>SUM(G98:I98)</f>
        <v>15507822</v>
      </c>
      <c r="K98" s="136">
        <f>F98+J98</f>
        <v>15706799</v>
      </c>
      <c r="L98" s="8">
        <v>138126</v>
      </c>
      <c r="M98" s="8">
        <v>21000</v>
      </c>
      <c r="N98" s="8">
        <v>29750</v>
      </c>
      <c r="O98" s="128">
        <f>SUM(L98:N98)</f>
        <v>188876</v>
      </c>
      <c r="P98" s="8">
        <v>7900000</v>
      </c>
      <c r="Q98" s="71">
        <v>6500000</v>
      </c>
      <c r="R98" s="8">
        <v>0</v>
      </c>
      <c r="S98" s="128">
        <f>SUM(P98:R98)</f>
        <v>14400000</v>
      </c>
      <c r="T98" s="136">
        <f t="shared" si="51"/>
        <v>14588876</v>
      </c>
      <c r="U98" s="40">
        <v>191640</v>
      </c>
      <c r="V98" s="40">
        <v>21000</v>
      </c>
      <c r="W98" s="40">
        <v>29750</v>
      </c>
      <c r="X98" s="128">
        <f>SUM(U98:W98)</f>
        <v>242390</v>
      </c>
      <c r="Y98" s="40">
        <v>32273000</v>
      </c>
      <c r="Z98" s="40">
        <v>0</v>
      </c>
      <c r="AA98" s="40">
        <v>6950356</v>
      </c>
      <c r="AB98" s="128">
        <f>SUM(Y98:AA98)</f>
        <v>39223356</v>
      </c>
      <c r="AC98" s="136">
        <f>X98+AB98</f>
        <v>39465746</v>
      </c>
      <c r="AD98" s="8">
        <v>219766</v>
      </c>
      <c r="AE98" s="8">
        <v>28000</v>
      </c>
      <c r="AF98" s="8">
        <v>279750</v>
      </c>
      <c r="AG98" s="128">
        <f>SUM(AD98:AF98)</f>
        <v>527516</v>
      </c>
      <c r="AH98" s="8">
        <v>81974286</v>
      </c>
      <c r="AI98" s="8">
        <v>0</v>
      </c>
      <c r="AJ98" s="8">
        <v>500000</v>
      </c>
      <c r="AK98" s="128">
        <f>SUM(AH98:AJ98)</f>
        <v>82474286</v>
      </c>
      <c r="AL98" s="136">
        <f>AG98+AK98</f>
        <v>83001802</v>
      </c>
      <c r="AM98" s="8">
        <v>265297</v>
      </c>
      <c r="AN98" s="8">
        <v>28000</v>
      </c>
      <c r="AO98" s="8">
        <v>279750</v>
      </c>
      <c r="AP98" s="128">
        <f t="shared" si="67"/>
        <v>573047</v>
      </c>
      <c r="AQ98" s="8">
        <v>35647064</v>
      </c>
      <c r="AR98" s="8">
        <v>0</v>
      </c>
      <c r="AS98" s="8">
        <v>700000</v>
      </c>
      <c r="AT98" s="128">
        <f>SUM(AQ98:AS98)</f>
        <v>36347064</v>
      </c>
      <c r="AU98" s="136">
        <f t="shared" si="68"/>
        <v>36920111</v>
      </c>
      <c r="AV98" s="8">
        <v>323221</v>
      </c>
      <c r="AW98" s="8">
        <v>28000</v>
      </c>
      <c r="AX98" s="8">
        <v>279750</v>
      </c>
      <c r="AY98" s="128">
        <f>SUM(AV98:AX98)</f>
        <v>630971</v>
      </c>
      <c r="AZ98" s="8">
        <v>45103726</v>
      </c>
      <c r="BA98" s="8">
        <v>0</v>
      </c>
      <c r="BB98" s="8">
        <v>2000000</v>
      </c>
      <c r="BC98" s="128">
        <f>SUM(AZ98:BB98)</f>
        <v>47103726</v>
      </c>
      <c r="BD98" s="136">
        <f t="shared" si="57"/>
        <v>47734697</v>
      </c>
    </row>
    <row r="99" spans="1:56" ht="16.5" x14ac:dyDescent="0.25">
      <c r="A99" s="96" t="s">
        <v>228</v>
      </c>
      <c r="B99" s="97"/>
      <c r="C99" s="5">
        <v>1230800</v>
      </c>
      <c r="D99" s="5">
        <v>901882</v>
      </c>
      <c r="E99" s="5">
        <v>5468909</v>
      </c>
      <c r="F99" s="127">
        <v>7601591</v>
      </c>
      <c r="G99" s="5">
        <v>14000000</v>
      </c>
      <c r="H99" s="5">
        <v>0</v>
      </c>
      <c r="I99" s="5">
        <v>0</v>
      </c>
      <c r="J99" s="127">
        <v>14000000</v>
      </c>
      <c r="K99" s="136">
        <v>21601591</v>
      </c>
      <c r="L99" s="5">
        <f>L100+L101+L102+L103+L104</f>
        <v>1324894</v>
      </c>
      <c r="M99" s="5">
        <f t="shared" ref="M99:S99" si="69">M100+M101+M102+M103+M104</f>
        <v>1785998</v>
      </c>
      <c r="N99" s="5">
        <f t="shared" si="69"/>
        <v>3359055</v>
      </c>
      <c r="O99" s="127">
        <f t="shared" si="69"/>
        <v>6469947</v>
      </c>
      <c r="P99" s="5">
        <f t="shared" si="69"/>
        <v>16000000</v>
      </c>
      <c r="Q99" s="5">
        <f t="shared" si="69"/>
        <v>0</v>
      </c>
      <c r="R99" s="5">
        <f t="shared" si="69"/>
        <v>0</v>
      </c>
      <c r="S99" s="127">
        <f t="shared" si="69"/>
        <v>16000000</v>
      </c>
      <c r="T99" s="136">
        <f t="shared" si="51"/>
        <v>22469947</v>
      </c>
      <c r="U99" s="5">
        <v>1390747</v>
      </c>
      <c r="V99" s="5">
        <v>1928998</v>
      </c>
      <c r="W99" s="5">
        <v>3708056</v>
      </c>
      <c r="X99" s="127">
        <v>7027801</v>
      </c>
      <c r="Y99" s="5">
        <v>25950000</v>
      </c>
      <c r="Z99" s="5">
        <v>0</v>
      </c>
      <c r="AA99" s="5">
        <v>0</v>
      </c>
      <c r="AB99" s="127">
        <v>25950000</v>
      </c>
      <c r="AC99" s="136">
        <v>32977801</v>
      </c>
      <c r="AD99" s="5">
        <f>AD100+AD101+AD102</f>
        <v>876746</v>
      </c>
      <c r="AE99" s="5">
        <f t="shared" ref="AE99:BD99" si="70">AE100+AE101+AE102</f>
        <v>2102134</v>
      </c>
      <c r="AF99" s="5">
        <f t="shared" si="70"/>
        <v>4959056</v>
      </c>
      <c r="AG99" s="127">
        <f t="shared" si="70"/>
        <v>7937936</v>
      </c>
      <c r="AH99" s="5">
        <f t="shared" si="70"/>
        <v>24980368</v>
      </c>
      <c r="AI99" s="5">
        <f t="shared" si="70"/>
        <v>0</v>
      </c>
      <c r="AJ99" s="5">
        <f t="shared" si="70"/>
        <v>0</v>
      </c>
      <c r="AK99" s="127">
        <f t="shared" si="70"/>
        <v>24980368</v>
      </c>
      <c r="AL99" s="136">
        <f t="shared" si="70"/>
        <v>32918304</v>
      </c>
      <c r="AM99" s="5">
        <f t="shared" si="70"/>
        <v>908384</v>
      </c>
      <c r="AN99" s="5">
        <f t="shared" si="70"/>
        <v>2102134</v>
      </c>
      <c r="AO99" s="5">
        <f t="shared" si="70"/>
        <v>4959055</v>
      </c>
      <c r="AP99" s="127">
        <f t="shared" si="70"/>
        <v>7969573</v>
      </c>
      <c r="AQ99" s="5">
        <f t="shared" si="70"/>
        <v>21716208</v>
      </c>
      <c r="AR99" s="5">
        <f t="shared" si="70"/>
        <v>0</v>
      </c>
      <c r="AS99" s="5">
        <f t="shared" si="70"/>
        <v>0</v>
      </c>
      <c r="AT99" s="127">
        <f t="shared" si="70"/>
        <v>21716208</v>
      </c>
      <c r="AU99" s="136">
        <f t="shared" si="70"/>
        <v>29685781</v>
      </c>
      <c r="AV99" s="5">
        <f t="shared" si="70"/>
        <v>957273</v>
      </c>
      <c r="AW99" s="5">
        <f t="shared" si="70"/>
        <v>2102134</v>
      </c>
      <c r="AX99" s="5">
        <f t="shared" si="70"/>
        <v>4959055</v>
      </c>
      <c r="AY99" s="127">
        <f t="shared" si="70"/>
        <v>8018462</v>
      </c>
      <c r="AZ99" s="5">
        <f t="shared" si="70"/>
        <v>26178927</v>
      </c>
      <c r="BA99" s="5">
        <f t="shared" si="70"/>
        <v>0</v>
      </c>
      <c r="BB99" s="5">
        <f t="shared" si="70"/>
        <v>0</v>
      </c>
      <c r="BC99" s="127">
        <f t="shared" si="70"/>
        <v>26178927</v>
      </c>
      <c r="BD99" s="136">
        <f t="shared" si="70"/>
        <v>34197389</v>
      </c>
    </row>
    <row r="100" spans="1:56" ht="16.5" x14ac:dyDescent="0.25">
      <c r="A100" s="145" t="s">
        <v>152</v>
      </c>
      <c r="B100" s="7" t="s">
        <v>241</v>
      </c>
      <c r="C100" s="8">
        <v>645809</v>
      </c>
      <c r="D100" s="8">
        <v>439762</v>
      </c>
      <c r="E100" s="8">
        <v>2453854</v>
      </c>
      <c r="F100" s="128">
        <f>SUM(C100:E100)</f>
        <v>3539425</v>
      </c>
      <c r="G100" s="8">
        <v>150000</v>
      </c>
      <c r="H100" s="8"/>
      <c r="I100" s="8"/>
      <c r="J100" s="128">
        <f>SUM(G100:I100)</f>
        <v>150000</v>
      </c>
      <c r="K100" s="136">
        <f>F100+J100</f>
        <v>3689425</v>
      </c>
      <c r="L100" s="8">
        <v>515304</v>
      </c>
      <c r="M100" s="8">
        <v>1086943</v>
      </c>
      <c r="N100" s="8">
        <v>241000</v>
      </c>
      <c r="O100" s="128">
        <f>SUM(L100:N100)</f>
        <v>1843247</v>
      </c>
      <c r="P100" s="8">
        <v>0</v>
      </c>
      <c r="Q100" s="8"/>
      <c r="R100" s="8"/>
      <c r="S100" s="128">
        <f>SUM(P100:R100)</f>
        <v>0</v>
      </c>
      <c r="T100" s="136">
        <f t="shared" si="51"/>
        <v>1843247</v>
      </c>
      <c r="U100" s="33">
        <v>537486</v>
      </c>
      <c r="V100" s="33">
        <v>1114393</v>
      </c>
      <c r="W100" s="33">
        <v>241000</v>
      </c>
      <c r="X100" s="128">
        <f>SUM(U100:W100)</f>
        <v>1892879</v>
      </c>
      <c r="Y100" s="33">
        <v>0</v>
      </c>
      <c r="Z100" s="33">
        <v>0</v>
      </c>
      <c r="AA100" s="33">
        <v>0</v>
      </c>
      <c r="AB100" s="128">
        <f>Y100+Z100+AA100</f>
        <v>0</v>
      </c>
      <c r="AC100" s="136">
        <f>X100+AB100</f>
        <v>1892879</v>
      </c>
      <c r="AD100" s="33">
        <v>306160</v>
      </c>
      <c r="AE100" s="8">
        <v>1216464</v>
      </c>
      <c r="AF100" s="8">
        <v>241000</v>
      </c>
      <c r="AG100" s="128">
        <f>SUM(AD100:AF100)</f>
        <v>1763624</v>
      </c>
      <c r="AH100" s="8">
        <v>0</v>
      </c>
      <c r="AI100" s="8"/>
      <c r="AJ100" s="8"/>
      <c r="AK100" s="128">
        <f>AH100+AI100+AJ100</f>
        <v>0</v>
      </c>
      <c r="AL100" s="136">
        <f>AG100+AK100</f>
        <v>1763624</v>
      </c>
      <c r="AM100" s="33">
        <v>316578</v>
      </c>
      <c r="AN100" s="8">
        <v>1216464</v>
      </c>
      <c r="AO100" s="8">
        <v>241000</v>
      </c>
      <c r="AP100" s="128">
        <f>SUM(AM100:AO100)</f>
        <v>1774042</v>
      </c>
      <c r="AQ100" s="8">
        <v>0</v>
      </c>
      <c r="AR100" s="8"/>
      <c r="AS100" s="8"/>
      <c r="AT100" s="128">
        <f>AQ100+AR100+AS100</f>
        <v>0</v>
      </c>
      <c r="AU100" s="136">
        <f t="shared" si="68"/>
        <v>1774042</v>
      </c>
      <c r="AV100" s="8">
        <v>332677</v>
      </c>
      <c r="AW100" s="8">
        <v>1216464</v>
      </c>
      <c r="AX100" s="8">
        <v>241000</v>
      </c>
      <c r="AY100" s="128">
        <f>SUM(AV100:AX100)</f>
        <v>1790141</v>
      </c>
      <c r="AZ100" s="8">
        <v>0</v>
      </c>
      <c r="BA100" s="8"/>
      <c r="BB100" s="8"/>
      <c r="BC100" s="128">
        <f t="shared" si="61"/>
        <v>0</v>
      </c>
      <c r="BD100" s="136">
        <f t="shared" si="57"/>
        <v>1790141</v>
      </c>
    </row>
    <row r="101" spans="1:56" ht="16.5" x14ac:dyDescent="0.25">
      <c r="A101" s="145" t="s">
        <v>153</v>
      </c>
      <c r="B101" s="7" t="s">
        <v>154</v>
      </c>
      <c r="C101" s="8">
        <v>523072</v>
      </c>
      <c r="D101" s="8">
        <v>378470</v>
      </c>
      <c r="E101" s="8">
        <v>2765055</v>
      </c>
      <c r="F101" s="128">
        <f>SUM(C101:E101)</f>
        <v>3666597</v>
      </c>
      <c r="G101" s="8">
        <v>13850000</v>
      </c>
      <c r="H101" s="8"/>
      <c r="I101" s="8"/>
      <c r="J101" s="128">
        <f>SUM(G101:I101)</f>
        <v>13850000</v>
      </c>
      <c r="K101" s="136">
        <f>F101+J101</f>
        <v>17516597</v>
      </c>
      <c r="L101" s="8">
        <v>702874</v>
      </c>
      <c r="M101" s="8">
        <v>616905</v>
      </c>
      <c r="N101" s="8">
        <v>2868055</v>
      </c>
      <c r="O101" s="128">
        <f>SUM(L101:N101)</f>
        <v>4187834</v>
      </c>
      <c r="P101" s="8">
        <v>16000000</v>
      </c>
      <c r="Q101" s="8"/>
      <c r="R101" s="8">
        <v>0</v>
      </c>
      <c r="S101" s="128">
        <f>SUM(P101:R101)</f>
        <v>16000000</v>
      </c>
      <c r="T101" s="136">
        <f t="shared" si="51"/>
        <v>20187834</v>
      </c>
      <c r="U101" s="35">
        <v>774242</v>
      </c>
      <c r="V101" s="35">
        <v>735360</v>
      </c>
      <c r="W101" s="35">
        <v>2746056</v>
      </c>
      <c r="X101" s="128">
        <f>SUM(U101:W101)</f>
        <v>4255658</v>
      </c>
      <c r="Y101" s="35">
        <f>3392000+22388000</f>
        <v>25780000</v>
      </c>
      <c r="Z101" s="35">
        <v>0</v>
      </c>
      <c r="AA101" s="35">
        <v>0</v>
      </c>
      <c r="AB101" s="128">
        <f>Y101+Z101+AA101</f>
        <v>25780000</v>
      </c>
      <c r="AC101" s="136">
        <f>X101+AB101</f>
        <v>30035658</v>
      </c>
      <c r="AD101" s="35">
        <v>528624</v>
      </c>
      <c r="AE101" s="8">
        <v>807425</v>
      </c>
      <c r="AF101" s="8">
        <v>3996056</v>
      </c>
      <c r="AG101" s="128">
        <f>SUM(AD101:AF101)</f>
        <v>5332105</v>
      </c>
      <c r="AH101" s="8">
        <v>24510368</v>
      </c>
      <c r="AI101" s="8"/>
      <c r="AJ101" s="8">
        <v>0</v>
      </c>
      <c r="AK101" s="128">
        <f>AH101+AI101+AJ101</f>
        <v>24510368</v>
      </c>
      <c r="AL101" s="136">
        <f>AG101+AK101</f>
        <v>29842473</v>
      </c>
      <c r="AM101" s="35">
        <v>548227</v>
      </c>
      <c r="AN101" s="8">
        <v>807425</v>
      </c>
      <c r="AO101" s="8">
        <v>3996055</v>
      </c>
      <c r="AP101" s="128">
        <f>SUM(AM101:AO101)</f>
        <v>5351707</v>
      </c>
      <c r="AQ101" s="8">
        <v>21216208</v>
      </c>
      <c r="AR101" s="8"/>
      <c r="AS101" s="8">
        <v>0</v>
      </c>
      <c r="AT101" s="128">
        <f>AQ101+AR101+AS101</f>
        <v>21216208</v>
      </c>
      <c r="AU101" s="136">
        <f t="shared" si="68"/>
        <v>26567915</v>
      </c>
      <c r="AV101" s="8">
        <v>578519</v>
      </c>
      <c r="AW101" s="8">
        <v>807425</v>
      </c>
      <c r="AX101" s="8">
        <v>3996055</v>
      </c>
      <c r="AY101" s="128">
        <f>SUM(AV101:AX101)</f>
        <v>5381999</v>
      </c>
      <c r="AZ101" s="8">
        <v>25678927</v>
      </c>
      <c r="BA101" s="8"/>
      <c r="BB101" s="8">
        <v>0</v>
      </c>
      <c r="BC101" s="128">
        <f t="shared" si="61"/>
        <v>25678927</v>
      </c>
      <c r="BD101" s="136">
        <f t="shared" si="57"/>
        <v>31060926</v>
      </c>
    </row>
    <row r="102" spans="1:56" ht="16.5" x14ac:dyDescent="0.25">
      <c r="A102" s="145" t="s">
        <v>155</v>
      </c>
      <c r="B102" s="7" t="s">
        <v>220</v>
      </c>
      <c r="C102" s="8">
        <v>61919</v>
      </c>
      <c r="D102" s="8">
        <v>83650</v>
      </c>
      <c r="E102" s="8">
        <v>250000</v>
      </c>
      <c r="F102" s="128">
        <f>SUM(C102:E102)</f>
        <v>395569</v>
      </c>
      <c r="G102" s="8">
        <v>0</v>
      </c>
      <c r="H102" s="8"/>
      <c r="I102" s="8"/>
      <c r="J102" s="128">
        <f>SUM(G102:I102)</f>
        <v>0</v>
      </c>
      <c r="K102" s="136">
        <f>F102+J102</f>
        <v>395569</v>
      </c>
      <c r="L102" s="8">
        <v>106716</v>
      </c>
      <c r="M102" s="8">
        <v>82150</v>
      </c>
      <c r="N102" s="8">
        <v>250000</v>
      </c>
      <c r="O102" s="128">
        <f>SUM(L102:N102)</f>
        <v>438866</v>
      </c>
      <c r="P102" s="8">
        <v>0</v>
      </c>
      <c r="Q102" s="8">
        <v>0</v>
      </c>
      <c r="R102" s="8"/>
      <c r="S102" s="128">
        <f>SUM(P102:R102)</f>
        <v>0</v>
      </c>
      <c r="T102" s="136">
        <f t="shared" si="51"/>
        <v>438866</v>
      </c>
      <c r="U102" s="40">
        <v>79019</v>
      </c>
      <c r="V102" s="40">
        <v>79245</v>
      </c>
      <c r="W102" s="40">
        <v>721000</v>
      </c>
      <c r="X102" s="128">
        <f>SUM(U102:W102)</f>
        <v>879264</v>
      </c>
      <c r="Y102" s="40">
        <v>170000</v>
      </c>
      <c r="Z102" s="40">
        <v>0</v>
      </c>
      <c r="AA102" s="40">
        <v>0</v>
      </c>
      <c r="AB102" s="128">
        <f>Y102+Z102+AA102</f>
        <v>170000</v>
      </c>
      <c r="AC102" s="136">
        <f>X102+AB102</f>
        <v>1049264</v>
      </c>
      <c r="AD102" s="40">
        <v>41962</v>
      </c>
      <c r="AE102" s="8">
        <v>78245</v>
      </c>
      <c r="AF102" s="8">
        <v>722000</v>
      </c>
      <c r="AG102" s="128">
        <f>SUM(AD102:AF102)</f>
        <v>842207</v>
      </c>
      <c r="AH102" s="8">
        <v>470000</v>
      </c>
      <c r="AI102" s="8">
        <v>0</v>
      </c>
      <c r="AJ102" s="8"/>
      <c r="AK102" s="128">
        <f>AH102+AI102+AJ102</f>
        <v>470000</v>
      </c>
      <c r="AL102" s="136">
        <f>AG102+AK102</f>
        <v>1312207</v>
      </c>
      <c r="AM102" s="40">
        <v>43579</v>
      </c>
      <c r="AN102" s="8">
        <v>78245</v>
      </c>
      <c r="AO102" s="8">
        <v>722000</v>
      </c>
      <c r="AP102" s="128">
        <f>SUM(AM102:AO102)</f>
        <v>843824</v>
      </c>
      <c r="AQ102" s="8">
        <v>500000</v>
      </c>
      <c r="AR102" s="8">
        <v>0</v>
      </c>
      <c r="AS102" s="8"/>
      <c r="AT102" s="128">
        <f>AQ102+AR102+AS102</f>
        <v>500000</v>
      </c>
      <c r="AU102" s="136">
        <f t="shared" si="68"/>
        <v>1343824</v>
      </c>
      <c r="AV102" s="8">
        <v>46077</v>
      </c>
      <c r="AW102" s="8">
        <v>78245</v>
      </c>
      <c r="AX102" s="8">
        <v>722000</v>
      </c>
      <c r="AY102" s="128">
        <f>SUM(AV102:AX102)</f>
        <v>846322</v>
      </c>
      <c r="AZ102" s="8">
        <v>500000</v>
      </c>
      <c r="BA102" s="8">
        <v>0</v>
      </c>
      <c r="BB102" s="8"/>
      <c r="BC102" s="128">
        <f t="shared" si="61"/>
        <v>500000</v>
      </c>
      <c r="BD102" s="136">
        <f t="shared" si="57"/>
        <v>1346322</v>
      </c>
    </row>
    <row r="103" spans="1:56" ht="16.5" x14ac:dyDescent="0.25">
      <c r="A103" s="145" t="s">
        <v>156</v>
      </c>
      <c r="B103" s="7" t="s">
        <v>157</v>
      </c>
      <c r="C103" s="8">
        <v>0</v>
      </c>
      <c r="D103" s="8">
        <v>0</v>
      </c>
      <c r="E103" s="8">
        <v>0</v>
      </c>
      <c r="F103" s="128">
        <f>SUM(C103:E103)</f>
        <v>0</v>
      </c>
      <c r="G103" s="8">
        <v>0</v>
      </c>
      <c r="H103" s="8"/>
      <c r="I103" s="8">
        <v>0</v>
      </c>
      <c r="J103" s="128">
        <f>SUM(G103:I103)</f>
        <v>0</v>
      </c>
      <c r="K103" s="136">
        <f>F103+J103</f>
        <v>0</v>
      </c>
      <c r="L103" s="8">
        <v>0</v>
      </c>
      <c r="M103" s="8">
        <v>0</v>
      </c>
      <c r="N103" s="8">
        <v>0</v>
      </c>
      <c r="O103" s="128">
        <v>0</v>
      </c>
      <c r="P103" s="8">
        <v>0</v>
      </c>
      <c r="Q103" s="8">
        <v>0</v>
      </c>
      <c r="R103" s="8">
        <v>0</v>
      </c>
      <c r="S103" s="128">
        <v>0</v>
      </c>
      <c r="T103" s="136">
        <f t="shared" si="51"/>
        <v>0</v>
      </c>
      <c r="U103" s="8">
        <v>0</v>
      </c>
      <c r="V103" s="8">
        <v>0</v>
      </c>
      <c r="W103" s="8">
        <v>0</v>
      </c>
      <c r="X103" s="128">
        <v>0</v>
      </c>
      <c r="Y103" s="8">
        <v>0</v>
      </c>
      <c r="Z103" s="8">
        <v>0</v>
      </c>
      <c r="AA103" s="8">
        <v>0</v>
      </c>
      <c r="AB103" s="128">
        <v>0</v>
      </c>
      <c r="AC103" s="136">
        <v>0</v>
      </c>
      <c r="AD103" s="8">
        <v>0</v>
      </c>
      <c r="AE103" s="8">
        <v>0</v>
      </c>
      <c r="AF103" s="8">
        <v>0</v>
      </c>
      <c r="AG103" s="128">
        <v>0</v>
      </c>
      <c r="AH103" s="8">
        <v>0</v>
      </c>
      <c r="AI103" s="8">
        <v>0</v>
      </c>
      <c r="AJ103" s="8">
        <v>0</v>
      </c>
      <c r="AK103" s="128">
        <v>0</v>
      </c>
      <c r="AL103" s="136">
        <f>AG103+AK103</f>
        <v>0</v>
      </c>
      <c r="AM103" s="8">
        <v>0</v>
      </c>
      <c r="AN103" s="8">
        <v>0</v>
      </c>
      <c r="AO103" s="8">
        <v>0</v>
      </c>
      <c r="AP103" s="128">
        <v>0</v>
      </c>
      <c r="AQ103" s="8">
        <v>0</v>
      </c>
      <c r="AR103" s="8">
        <v>0</v>
      </c>
      <c r="AS103" s="8">
        <v>0</v>
      </c>
      <c r="AT103" s="128">
        <v>0</v>
      </c>
      <c r="AU103" s="136">
        <f t="shared" si="68"/>
        <v>0</v>
      </c>
      <c r="AV103" s="8">
        <v>0</v>
      </c>
      <c r="AW103" s="8">
        <v>0</v>
      </c>
      <c r="AX103" s="8">
        <v>0</v>
      </c>
      <c r="AY103" s="128">
        <v>0</v>
      </c>
      <c r="AZ103" s="8">
        <v>0</v>
      </c>
      <c r="BA103" s="8">
        <v>0</v>
      </c>
      <c r="BB103" s="8">
        <v>0</v>
      </c>
      <c r="BC103" s="128">
        <v>0</v>
      </c>
      <c r="BD103" s="136">
        <f t="shared" si="57"/>
        <v>0</v>
      </c>
    </row>
    <row r="104" spans="1:56" ht="16.5" x14ac:dyDescent="0.25">
      <c r="A104" s="145" t="s">
        <v>158</v>
      </c>
      <c r="B104" s="7" t="s">
        <v>159</v>
      </c>
      <c r="C104" s="8">
        <v>0</v>
      </c>
      <c r="D104" s="8">
        <v>0</v>
      </c>
      <c r="E104" s="8">
        <v>0</v>
      </c>
      <c r="F104" s="128">
        <v>0</v>
      </c>
      <c r="G104" s="8">
        <v>0</v>
      </c>
      <c r="H104" s="8">
        <v>0</v>
      </c>
      <c r="I104" s="8">
        <v>0</v>
      </c>
      <c r="J104" s="128">
        <v>0</v>
      </c>
      <c r="K104" s="136">
        <f>F104+J104</f>
        <v>0</v>
      </c>
      <c r="L104" s="8">
        <v>0</v>
      </c>
      <c r="M104" s="8">
        <v>0</v>
      </c>
      <c r="N104" s="8">
        <v>0</v>
      </c>
      <c r="O104" s="128">
        <v>0</v>
      </c>
      <c r="P104" s="8">
        <v>0</v>
      </c>
      <c r="Q104" s="8"/>
      <c r="R104" s="8"/>
      <c r="S104" s="128">
        <v>0</v>
      </c>
      <c r="T104" s="136">
        <f t="shared" si="51"/>
        <v>0</v>
      </c>
      <c r="U104" s="8">
        <v>0</v>
      </c>
      <c r="V104" s="8">
        <v>0</v>
      </c>
      <c r="W104" s="8">
        <v>0</v>
      </c>
      <c r="X104" s="128">
        <v>0</v>
      </c>
      <c r="Y104" s="8">
        <v>0</v>
      </c>
      <c r="Z104" s="8"/>
      <c r="AA104" s="8"/>
      <c r="AB104" s="128">
        <v>0</v>
      </c>
      <c r="AC104" s="136">
        <f>X104+AB104</f>
        <v>0</v>
      </c>
      <c r="AD104" s="8">
        <v>0</v>
      </c>
      <c r="AE104" s="8">
        <v>0</v>
      </c>
      <c r="AF104" s="8">
        <v>0</v>
      </c>
      <c r="AG104" s="128">
        <v>0</v>
      </c>
      <c r="AH104" s="8">
        <v>0</v>
      </c>
      <c r="AI104" s="8"/>
      <c r="AJ104" s="8"/>
      <c r="AK104" s="128">
        <v>0</v>
      </c>
      <c r="AL104" s="136">
        <v>0</v>
      </c>
      <c r="AM104" s="8">
        <v>0</v>
      </c>
      <c r="AN104" s="8">
        <v>0</v>
      </c>
      <c r="AO104" s="8">
        <v>0</v>
      </c>
      <c r="AP104" s="128">
        <v>0</v>
      </c>
      <c r="AQ104" s="8">
        <v>0</v>
      </c>
      <c r="AR104" s="8"/>
      <c r="AS104" s="8"/>
      <c r="AT104" s="128">
        <v>0</v>
      </c>
      <c r="AU104" s="136">
        <v>0</v>
      </c>
      <c r="AV104" s="8">
        <v>0</v>
      </c>
      <c r="AW104" s="8">
        <v>0</v>
      </c>
      <c r="AX104" s="8">
        <v>0</v>
      </c>
      <c r="AY104" s="128">
        <v>0</v>
      </c>
      <c r="AZ104" s="8">
        <v>0</v>
      </c>
      <c r="BA104" s="8"/>
      <c r="BB104" s="8"/>
      <c r="BC104" s="128">
        <v>0</v>
      </c>
      <c r="BD104" s="136">
        <v>0</v>
      </c>
    </row>
    <row r="105" spans="1:56" ht="16.5" x14ac:dyDescent="0.25">
      <c r="A105" s="96" t="s">
        <v>160</v>
      </c>
      <c r="B105" s="97"/>
      <c r="C105" s="5">
        <f>C106+C107+C108+C109+C110</f>
        <v>32541900</v>
      </c>
      <c r="D105" s="5">
        <f t="shared" ref="D105:K105" si="71">D106+D107+D108+D109+D110</f>
        <v>7771912</v>
      </c>
      <c r="E105" s="5">
        <f t="shared" si="71"/>
        <v>556364</v>
      </c>
      <c r="F105" s="127">
        <f t="shared" si="71"/>
        <v>40870176</v>
      </c>
      <c r="G105" s="5">
        <f t="shared" si="71"/>
        <v>1984000</v>
      </c>
      <c r="H105" s="5">
        <f t="shared" si="71"/>
        <v>0</v>
      </c>
      <c r="I105" s="5">
        <f t="shared" si="71"/>
        <v>0</v>
      </c>
      <c r="J105" s="127">
        <f t="shared" si="71"/>
        <v>1984000</v>
      </c>
      <c r="K105" s="136">
        <f t="shared" si="71"/>
        <v>42854176</v>
      </c>
      <c r="L105" s="5">
        <f>L106+L107+L108+L109+L110</f>
        <v>34391569</v>
      </c>
      <c r="M105" s="5">
        <f t="shared" ref="M105:S105" si="72">M106+M107+M108+M109+M110</f>
        <v>7243967</v>
      </c>
      <c r="N105" s="5">
        <f t="shared" si="72"/>
        <v>563899</v>
      </c>
      <c r="O105" s="127">
        <f t="shared" si="72"/>
        <v>42199435</v>
      </c>
      <c r="P105" s="5">
        <f t="shared" si="72"/>
        <v>11840802</v>
      </c>
      <c r="Q105" s="5">
        <f t="shared" si="72"/>
        <v>0</v>
      </c>
      <c r="R105" s="5">
        <f t="shared" si="72"/>
        <v>0</v>
      </c>
      <c r="S105" s="127">
        <f t="shared" si="72"/>
        <v>11840802</v>
      </c>
      <c r="T105" s="136">
        <f>O105+S105</f>
        <v>54040237</v>
      </c>
      <c r="U105" s="5">
        <v>37864665</v>
      </c>
      <c r="V105" s="5">
        <v>7270347</v>
      </c>
      <c r="W105" s="5">
        <v>537519</v>
      </c>
      <c r="X105" s="127">
        <v>45672531</v>
      </c>
      <c r="Y105" s="5">
        <v>14937036</v>
      </c>
      <c r="Z105" s="5">
        <v>0</v>
      </c>
      <c r="AA105" s="5">
        <v>0</v>
      </c>
      <c r="AB105" s="127">
        <v>14937036</v>
      </c>
      <c r="AC105" s="136">
        <v>60609567</v>
      </c>
      <c r="AD105" s="5">
        <f>AD106+AD107+AD108+AD109+AD110</f>
        <v>41882161</v>
      </c>
      <c r="AE105" s="5">
        <f t="shared" ref="AE105:BD105" si="73">AE106+AE107+AE108+AE109+AE110</f>
        <v>16375138</v>
      </c>
      <c r="AF105" s="5">
        <f t="shared" si="73"/>
        <v>291000</v>
      </c>
      <c r="AG105" s="127">
        <f t="shared" si="73"/>
        <v>58548299</v>
      </c>
      <c r="AH105" s="5">
        <f t="shared" si="73"/>
        <v>18925040</v>
      </c>
      <c r="AI105" s="5">
        <f t="shared" si="73"/>
        <v>0</v>
      </c>
      <c r="AJ105" s="5">
        <f t="shared" si="73"/>
        <v>8000000</v>
      </c>
      <c r="AK105" s="127">
        <f t="shared" si="73"/>
        <v>26925040</v>
      </c>
      <c r="AL105" s="136">
        <f t="shared" si="73"/>
        <v>85473339</v>
      </c>
      <c r="AM105" s="5">
        <f t="shared" si="73"/>
        <v>44756264</v>
      </c>
      <c r="AN105" s="5">
        <f t="shared" si="73"/>
        <v>16355110</v>
      </c>
      <c r="AO105" s="5">
        <f t="shared" si="73"/>
        <v>291000</v>
      </c>
      <c r="AP105" s="127">
        <f t="shared" si="73"/>
        <v>61402374</v>
      </c>
      <c r="AQ105" s="5">
        <f t="shared" si="73"/>
        <v>22493806</v>
      </c>
      <c r="AR105" s="5">
        <f t="shared" si="73"/>
        <v>0</v>
      </c>
      <c r="AS105" s="5">
        <f t="shared" si="73"/>
        <v>8000000</v>
      </c>
      <c r="AT105" s="127">
        <f t="shared" si="73"/>
        <v>30493806</v>
      </c>
      <c r="AU105" s="136">
        <f t="shared" si="73"/>
        <v>91896180</v>
      </c>
      <c r="AV105" s="5">
        <f t="shared" si="73"/>
        <v>48837045</v>
      </c>
      <c r="AW105" s="5">
        <f t="shared" si="73"/>
        <v>16355104</v>
      </c>
      <c r="AX105" s="5">
        <f t="shared" si="73"/>
        <v>291000</v>
      </c>
      <c r="AY105" s="127">
        <f t="shared" si="73"/>
        <v>65483149</v>
      </c>
      <c r="AZ105" s="5">
        <f t="shared" si="73"/>
        <v>22056988</v>
      </c>
      <c r="BA105" s="5">
        <f t="shared" si="73"/>
        <v>0</v>
      </c>
      <c r="BB105" s="5">
        <f t="shared" si="73"/>
        <v>8000000</v>
      </c>
      <c r="BC105" s="127">
        <f t="shared" si="73"/>
        <v>30056988</v>
      </c>
      <c r="BD105" s="136">
        <f t="shared" si="73"/>
        <v>95540137</v>
      </c>
    </row>
    <row r="106" spans="1:56" ht="16.5" x14ac:dyDescent="0.25">
      <c r="A106" s="145" t="s">
        <v>161</v>
      </c>
      <c r="B106" s="7" t="s">
        <v>162</v>
      </c>
      <c r="C106" s="8">
        <v>379680</v>
      </c>
      <c r="D106" s="8">
        <v>1796652</v>
      </c>
      <c r="E106" s="8">
        <v>365476</v>
      </c>
      <c r="F106" s="127">
        <f>C106+D106+E106</f>
        <v>2541808</v>
      </c>
      <c r="G106" s="8">
        <v>0</v>
      </c>
      <c r="H106" s="8"/>
      <c r="I106" s="8"/>
      <c r="J106" s="127">
        <f>SUM(G106:I106)</f>
        <v>0</v>
      </c>
      <c r="K106" s="136">
        <f>F106+J106</f>
        <v>2541808</v>
      </c>
      <c r="L106" s="8">
        <v>379680</v>
      </c>
      <c r="M106" s="8">
        <v>2293995</v>
      </c>
      <c r="N106" s="8">
        <v>376899</v>
      </c>
      <c r="O106" s="127">
        <f>L106+M106+N106</f>
        <v>3050574</v>
      </c>
      <c r="P106" s="8">
        <v>0</v>
      </c>
      <c r="Q106" s="8"/>
      <c r="R106" s="8"/>
      <c r="S106" s="127">
        <f>SUM(P106:R106)</f>
        <v>0</v>
      </c>
      <c r="T106" s="136">
        <f t="shared" ref="T106:T127" si="74">O106+S106</f>
        <v>3050574</v>
      </c>
      <c r="U106" s="33">
        <v>229621</v>
      </c>
      <c r="V106" s="33">
        <f>2058914+306397</f>
        <v>2365311</v>
      </c>
      <c r="W106" s="33">
        <v>320519</v>
      </c>
      <c r="X106" s="127">
        <f>SUM(U106:W106)</f>
        <v>2915451</v>
      </c>
      <c r="Y106" s="41">
        <v>0</v>
      </c>
      <c r="Z106" s="33">
        <v>0</v>
      </c>
      <c r="AA106" s="33">
        <v>0</v>
      </c>
      <c r="AB106" s="127">
        <f>Y106+Z106+AA106</f>
        <v>0</v>
      </c>
      <c r="AC106" s="136">
        <f>X106+AB106</f>
        <v>2915451</v>
      </c>
      <c r="AD106" s="33">
        <v>272507</v>
      </c>
      <c r="AE106" s="33">
        <v>1719604</v>
      </c>
      <c r="AF106" s="33">
        <v>130000</v>
      </c>
      <c r="AG106" s="127">
        <f>AD106+AE106+AF106</f>
        <v>2122111</v>
      </c>
      <c r="AH106" s="8">
        <v>18925040</v>
      </c>
      <c r="AI106" s="8"/>
      <c r="AJ106" s="8"/>
      <c r="AK106" s="127">
        <f>AH106+AI106+AJ106</f>
        <v>18925040</v>
      </c>
      <c r="AL106" s="136">
        <f>AG106+AK106</f>
        <v>21047151</v>
      </c>
      <c r="AM106" s="33">
        <v>245833</v>
      </c>
      <c r="AN106" s="33">
        <v>1726863</v>
      </c>
      <c r="AO106" s="33">
        <v>130000</v>
      </c>
      <c r="AP106" s="127">
        <f>AM106+AN106+AO106</f>
        <v>2102696</v>
      </c>
      <c r="AQ106" s="8">
        <v>22493806</v>
      </c>
      <c r="AR106" s="8"/>
      <c r="AS106" s="8"/>
      <c r="AT106" s="127">
        <f t="shared" ref="AT106:AT119" si="75">AQ106+AR106+AS106</f>
        <v>22493806</v>
      </c>
      <c r="AU106" s="136">
        <f t="shared" ref="AU106:AU123" si="76">AP106+AT106</f>
        <v>24596502</v>
      </c>
      <c r="AV106" s="33">
        <v>313615</v>
      </c>
      <c r="AW106" s="33">
        <v>1726857</v>
      </c>
      <c r="AX106" s="33">
        <v>130000</v>
      </c>
      <c r="AY106" s="127">
        <f>AV106+AW106+AX106</f>
        <v>2170472</v>
      </c>
      <c r="AZ106" s="8">
        <v>22056988</v>
      </c>
      <c r="BA106" s="8"/>
      <c r="BB106" s="8"/>
      <c r="BC106" s="127">
        <f t="shared" si="61"/>
        <v>22056988</v>
      </c>
      <c r="BD106" s="136">
        <f t="shared" si="57"/>
        <v>24227460</v>
      </c>
    </row>
    <row r="107" spans="1:56" ht="16.5" x14ac:dyDescent="0.25">
      <c r="A107" s="145" t="s">
        <v>163</v>
      </c>
      <c r="B107" s="7" t="s">
        <v>164</v>
      </c>
      <c r="C107" s="8">
        <v>0</v>
      </c>
      <c r="D107" s="8">
        <v>0</v>
      </c>
      <c r="E107" s="8">
        <v>0</v>
      </c>
      <c r="F107" s="127">
        <f>C107+D107+E107</f>
        <v>0</v>
      </c>
      <c r="G107" s="8">
        <v>0</v>
      </c>
      <c r="H107" s="8"/>
      <c r="I107" s="8"/>
      <c r="J107" s="127">
        <f>SUM(G107:I107)</f>
        <v>0</v>
      </c>
      <c r="K107" s="136">
        <f>F107+J107</f>
        <v>0</v>
      </c>
      <c r="L107" s="8">
        <v>0</v>
      </c>
      <c r="M107" s="8">
        <v>0</v>
      </c>
      <c r="N107" s="8">
        <v>0</v>
      </c>
      <c r="O107" s="127">
        <f>L107+M107+N107</f>
        <v>0</v>
      </c>
      <c r="P107" s="8">
        <v>0</v>
      </c>
      <c r="Q107" s="8">
        <v>0</v>
      </c>
      <c r="R107" s="8">
        <v>0</v>
      </c>
      <c r="S107" s="127">
        <f>SUM(P107:R107)</f>
        <v>0</v>
      </c>
      <c r="T107" s="136">
        <f t="shared" si="74"/>
        <v>0</v>
      </c>
      <c r="U107" s="8">
        <v>0</v>
      </c>
      <c r="V107" s="8">
        <v>0</v>
      </c>
      <c r="W107" s="8">
        <v>0</v>
      </c>
      <c r="X107" s="127">
        <f>U107+V107+W107</f>
        <v>0</v>
      </c>
      <c r="Y107" s="8">
        <v>0</v>
      </c>
      <c r="Z107" s="8">
        <v>0</v>
      </c>
      <c r="AA107" s="8">
        <v>0</v>
      </c>
      <c r="AB107" s="127">
        <f>Y107+Z107+AA107</f>
        <v>0</v>
      </c>
      <c r="AC107" s="136">
        <f>X107+AB107</f>
        <v>0</v>
      </c>
      <c r="AD107" s="8">
        <v>0</v>
      </c>
      <c r="AE107" s="33">
        <v>0</v>
      </c>
      <c r="AF107" s="8">
        <v>0</v>
      </c>
      <c r="AG107" s="127">
        <f>AD107+AE107+AF107</f>
        <v>0</v>
      </c>
      <c r="AH107" s="8">
        <v>0</v>
      </c>
      <c r="AI107" s="8">
        <v>0</v>
      </c>
      <c r="AJ107" s="8">
        <v>0</v>
      </c>
      <c r="AK107" s="127">
        <f>AH107+AI107+AJ107</f>
        <v>0</v>
      </c>
      <c r="AL107" s="136">
        <f>AG107+AK107</f>
        <v>0</v>
      </c>
      <c r="AM107" s="8">
        <v>0</v>
      </c>
      <c r="AN107" s="8">
        <v>0</v>
      </c>
      <c r="AO107" s="8">
        <v>0</v>
      </c>
      <c r="AP107" s="127">
        <f>AM107+AN107+AO107</f>
        <v>0</v>
      </c>
      <c r="AQ107" s="8">
        <v>0</v>
      </c>
      <c r="AR107" s="8">
        <v>0</v>
      </c>
      <c r="AS107" s="8">
        <v>0</v>
      </c>
      <c r="AT107" s="127">
        <f t="shared" si="75"/>
        <v>0</v>
      </c>
      <c r="AU107" s="136">
        <f t="shared" si="76"/>
        <v>0</v>
      </c>
      <c r="AV107" s="8">
        <v>0</v>
      </c>
      <c r="AW107" s="8">
        <v>0</v>
      </c>
      <c r="AX107" s="33">
        <v>0</v>
      </c>
      <c r="AY107" s="127">
        <f>AV107+AW107+AX107</f>
        <v>0</v>
      </c>
      <c r="AZ107" s="8">
        <v>0</v>
      </c>
      <c r="BA107" s="8">
        <v>0</v>
      </c>
      <c r="BB107" s="8">
        <v>0</v>
      </c>
      <c r="BC107" s="127">
        <f t="shared" si="61"/>
        <v>0</v>
      </c>
      <c r="BD107" s="136">
        <f t="shared" si="57"/>
        <v>0</v>
      </c>
    </row>
    <row r="108" spans="1:56" ht="33" x14ac:dyDescent="0.25">
      <c r="A108" s="145" t="s">
        <v>165</v>
      </c>
      <c r="B108" s="7" t="s">
        <v>166</v>
      </c>
      <c r="C108" s="8">
        <v>32162220</v>
      </c>
      <c r="D108" s="8">
        <v>5975260</v>
      </c>
      <c r="E108" s="8">
        <v>190888</v>
      </c>
      <c r="F108" s="127">
        <f>C108+D108+E108</f>
        <v>38328368</v>
      </c>
      <c r="G108" s="8">
        <v>1984000</v>
      </c>
      <c r="H108" s="8">
        <v>0</v>
      </c>
      <c r="I108" s="8">
        <v>0</v>
      </c>
      <c r="J108" s="127">
        <f>SUM(G108:I108)</f>
        <v>1984000</v>
      </c>
      <c r="K108" s="136">
        <f>F108+J108</f>
        <v>40312368</v>
      </c>
      <c r="L108" s="8">
        <v>34011889</v>
      </c>
      <c r="M108" s="8">
        <v>4949972</v>
      </c>
      <c r="N108" s="8">
        <v>187000</v>
      </c>
      <c r="O108" s="127">
        <f>L108+M108+N108</f>
        <v>39148861</v>
      </c>
      <c r="P108" s="8">
        <v>11840802</v>
      </c>
      <c r="Q108" s="8">
        <v>0</v>
      </c>
      <c r="R108" s="8">
        <v>0</v>
      </c>
      <c r="S108" s="127">
        <f>SUM(P108:R108)</f>
        <v>11840802</v>
      </c>
      <c r="T108" s="136">
        <f t="shared" si="74"/>
        <v>50989663</v>
      </c>
      <c r="U108" s="40">
        <v>37635044</v>
      </c>
      <c r="V108" s="40">
        <v>4905036</v>
      </c>
      <c r="W108" s="40">
        <v>217000</v>
      </c>
      <c r="X108" s="127">
        <f>SUM(U108:W108)</f>
        <v>42757080</v>
      </c>
      <c r="Y108" s="40">
        <v>14937036</v>
      </c>
      <c r="Z108" s="40">
        <v>0</v>
      </c>
      <c r="AA108" s="40">
        <v>0</v>
      </c>
      <c r="AB108" s="127">
        <f>Y108+Z108+AA108</f>
        <v>14937036</v>
      </c>
      <c r="AC108" s="136">
        <f>X108+AB108</f>
        <v>57694116</v>
      </c>
      <c r="AD108" s="40">
        <v>41609654</v>
      </c>
      <c r="AE108" s="33">
        <v>14655534</v>
      </c>
      <c r="AF108" s="40">
        <v>161000</v>
      </c>
      <c r="AG108" s="127">
        <f>AD108+AE108+AF108</f>
        <v>56426188</v>
      </c>
      <c r="AH108" s="21">
        <v>0</v>
      </c>
      <c r="AI108" s="8">
        <v>0</v>
      </c>
      <c r="AJ108" s="8">
        <v>0</v>
      </c>
      <c r="AK108" s="127">
        <f>AH108+AI108+AJ108</f>
        <v>0</v>
      </c>
      <c r="AL108" s="136">
        <f>AG108+AK108</f>
        <v>56426188</v>
      </c>
      <c r="AM108" s="40">
        <v>44510431</v>
      </c>
      <c r="AN108" s="33">
        <v>14628247</v>
      </c>
      <c r="AO108" s="40">
        <v>161000</v>
      </c>
      <c r="AP108" s="127">
        <f>AM108+AN108+AO108</f>
        <v>59299678</v>
      </c>
      <c r="AQ108" s="21">
        <v>0</v>
      </c>
      <c r="AR108" s="8">
        <v>0</v>
      </c>
      <c r="AS108" s="8">
        <v>0</v>
      </c>
      <c r="AT108" s="127">
        <f t="shared" si="75"/>
        <v>0</v>
      </c>
      <c r="AU108" s="136">
        <f t="shared" si="76"/>
        <v>59299678</v>
      </c>
      <c r="AV108" s="40">
        <v>48523430</v>
      </c>
      <c r="AW108" s="33">
        <v>14628247</v>
      </c>
      <c r="AX108" s="33">
        <v>161000</v>
      </c>
      <c r="AY108" s="127">
        <f>AV108+AW108+AX108</f>
        <v>63312677</v>
      </c>
      <c r="AZ108" s="21">
        <v>0</v>
      </c>
      <c r="BA108" s="8">
        <v>0</v>
      </c>
      <c r="BB108" s="8">
        <v>0</v>
      </c>
      <c r="BC108" s="127">
        <f t="shared" si="61"/>
        <v>0</v>
      </c>
      <c r="BD108" s="136">
        <f t="shared" si="57"/>
        <v>63312677</v>
      </c>
    </row>
    <row r="109" spans="1:56" ht="16.5" x14ac:dyDescent="0.25">
      <c r="A109" s="146" t="s">
        <v>167</v>
      </c>
      <c r="B109" s="12" t="s">
        <v>168</v>
      </c>
      <c r="C109" s="13">
        <v>0</v>
      </c>
      <c r="D109" s="13">
        <v>0</v>
      </c>
      <c r="E109" s="13">
        <v>0</v>
      </c>
      <c r="F109" s="127">
        <f>C109+D109+E109</f>
        <v>0</v>
      </c>
      <c r="G109" s="13">
        <v>0</v>
      </c>
      <c r="H109" s="13">
        <v>0</v>
      </c>
      <c r="I109" s="13">
        <v>0</v>
      </c>
      <c r="J109" s="127">
        <f>SUM(G109:I109)</f>
        <v>0</v>
      </c>
      <c r="K109" s="136">
        <f>F109+J109</f>
        <v>0</v>
      </c>
      <c r="L109" s="13">
        <v>0</v>
      </c>
      <c r="M109" s="13">
        <v>0</v>
      </c>
      <c r="N109" s="13">
        <v>0</v>
      </c>
      <c r="O109" s="127">
        <f>L109+M109+N109</f>
        <v>0</v>
      </c>
      <c r="P109" s="13">
        <v>0</v>
      </c>
      <c r="Q109" s="13"/>
      <c r="R109" s="13"/>
      <c r="S109" s="127">
        <f>SUM(P109:R109)</f>
        <v>0</v>
      </c>
      <c r="T109" s="136">
        <f t="shared" si="74"/>
        <v>0</v>
      </c>
      <c r="U109" s="13">
        <v>0</v>
      </c>
      <c r="V109" s="13">
        <v>0</v>
      </c>
      <c r="W109" s="13">
        <v>0</v>
      </c>
      <c r="X109" s="127">
        <f>U109+V109+W109</f>
        <v>0</v>
      </c>
      <c r="Y109" s="13">
        <v>0</v>
      </c>
      <c r="Z109" s="13"/>
      <c r="AA109" s="13"/>
      <c r="AB109" s="127">
        <f>Y109+Z109+AA109</f>
        <v>0</v>
      </c>
      <c r="AC109" s="136">
        <f>X109+AB109</f>
        <v>0</v>
      </c>
      <c r="AD109" s="13">
        <v>0</v>
      </c>
      <c r="AE109" s="33">
        <v>0</v>
      </c>
      <c r="AF109" s="13">
        <v>0</v>
      </c>
      <c r="AG109" s="127">
        <f>AD109+AE109+AF109</f>
        <v>0</v>
      </c>
      <c r="AH109" s="13">
        <v>0</v>
      </c>
      <c r="AI109" s="13"/>
      <c r="AJ109" s="13"/>
      <c r="AK109" s="127">
        <f>AH109+AI109+AJ109</f>
        <v>0</v>
      </c>
      <c r="AL109" s="136">
        <f>AG109+AK109</f>
        <v>0</v>
      </c>
      <c r="AM109" s="13">
        <v>0</v>
      </c>
      <c r="AN109" s="13">
        <v>0</v>
      </c>
      <c r="AO109" s="13">
        <v>0</v>
      </c>
      <c r="AP109" s="127">
        <f>AM109+AN109+AO109</f>
        <v>0</v>
      </c>
      <c r="AQ109" s="13">
        <v>0</v>
      </c>
      <c r="AR109" s="13"/>
      <c r="AS109" s="13"/>
      <c r="AT109" s="127">
        <f t="shared" si="75"/>
        <v>0</v>
      </c>
      <c r="AU109" s="136">
        <f t="shared" si="76"/>
        <v>0</v>
      </c>
      <c r="AV109" s="13">
        <v>0</v>
      </c>
      <c r="AW109" s="13">
        <v>0</v>
      </c>
      <c r="AX109" s="33">
        <v>0</v>
      </c>
      <c r="AY109" s="127">
        <f>AV109+AW109+AX109</f>
        <v>0</v>
      </c>
      <c r="AZ109" s="13">
        <v>0</v>
      </c>
      <c r="BA109" s="13"/>
      <c r="BB109" s="13">
        <v>8000000</v>
      </c>
      <c r="BC109" s="127">
        <f t="shared" si="61"/>
        <v>8000000</v>
      </c>
      <c r="BD109" s="136">
        <f t="shared" si="57"/>
        <v>8000000</v>
      </c>
    </row>
    <row r="110" spans="1:56" ht="16.5" x14ac:dyDescent="0.25">
      <c r="A110" s="148">
        <v>110</v>
      </c>
      <c r="B110" s="73" t="s">
        <v>287</v>
      </c>
      <c r="C110" s="71">
        <v>0</v>
      </c>
      <c r="D110" s="71">
        <v>0</v>
      </c>
      <c r="E110" s="71">
        <v>0</v>
      </c>
      <c r="F110" s="127">
        <v>0</v>
      </c>
      <c r="G110" s="71">
        <v>0</v>
      </c>
      <c r="H110" s="71">
        <v>0</v>
      </c>
      <c r="I110" s="71">
        <v>0</v>
      </c>
      <c r="J110" s="127">
        <v>0</v>
      </c>
      <c r="K110" s="136"/>
      <c r="L110" s="71">
        <v>0</v>
      </c>
      <c r="M110" s="71">
        <v>0</v>
      </c>
      <c r="N110" s="71">
        <v>0</v>
      </c>
      <c r="O110" s="127">
        <v>0</v>
      </c>
      <c r="P110" s="71">
        <v>0</v>
      </c>
      <c r="Q110" s="71">
        <v>0</v>
      </c>
      <c r="R110" s="71">
        <v>0</v>
      </c>
      <c r="S110" s="127">
        <v>0</v>
      </c>
      <c r="T110" s="136">
        <f t="shared" si="74"/>
        <v>0</v>
      </c>
      <c r="U110" s="71">
        <v>0</v>
      </c>
      <c r="V110" s="71">
        <v>0</v>
      </c>
      <c r="W110" s="71">
        <v>0</v>
      </c>
      <c r="X110" s="127">
        <v>0</v>
      </c>
      <c r="Y110" s="71">
        <v>0</v>
      </c>
      <c r="Z110" s="71">
        <v>0</v>
      </c>
      <c r="AA110" s="71">
        <v>0</v>
      </c>
      <c r="AB110" s="127">
        <v>0</v>
      </c>
      <c r="AC110" s="136">
        <v>0</v>
      </c>
      <c r="AD110" s="71">
        <v>0</v>
      </c>
      <c r="AE110" s="33">
        <v>0</v>
      </c>
      <c r="AF110" s="71">
        <v>0</v>
      </c>
      <c r="AG110" s="127">
        <v>0</v>
      </c>
      <c r="AH110" s="71">
        <v>0</v>
      </c>
      <c r="AI110" s="71">
        <v>0</v>
      </c>
      <c r="AJ110" s="71">
        <v>8000000</v>
      </c>
      <c r="AK110" s="127">
        <f>AH110+AI110+AJ110</f>
        <v>8000000</v>
      </c>
      <c r="AL110" s="136">
        <f>AG110+AK110</f>
        <v>8000000</v>
      </c>
      <c r="AM110" s="71"/>
      <c r="AN110" s="71"/>
      <c r="AO110" s="71"/>
      <c r="AP110" s="127"/>
      <c r="AQ110" s="71"/>
      <c r="AR110" s="71"/>
      <c r="AS110" s="71">
        <v>8000000</v>
      </c>
      <c r="AT110" s="127">
        <f t="shared" si="75"/>
        <v>8000000</v>
      </c>
      <c r="AU110" s="136">
        <f t="shared" si="76"/>
        <v>8000000</v>
      </c>
      <c r="AV110" s="71"/>
      <c r="AW110" s="71"/>
      <c r="AX110" s="71"/>
      <c r="AY110" s="127"/>
      <c r="AZ110" s="71"/>
      <c r="BA110" s="71"/>
      <c r="BB110" s="71"/>
      <c r="BC110" s="127"/>
      <c r="BD110" s="136"/>
    </row>
    <row r="111" spans="1:56" ht="16.5" x14ac:dyDescent="0.25">
      <c r="A111" s="96" t="s">
        <v>169</v>
      </c>
      <c r="B111" s="97"/>
      <c r="C111" s="5">
        <v>698900</v>
      </c>
      <c r="D111" s="5">
        <v>1257988</v>
      </c>
      <c r="E111" s="5">
        <v>2577785</v>
      </c>
      <c r="F111" s="127">
        <v>4534673</v>
      </c>
      <c r="G111" s="5">
        <v>1200000</v>
      </c>
      <c r="H111" s="5">
        <v>0</v>
      </c>
      <c r="I111" s="5">
        <v>0</v>
      </c>
      <c r="J111" s="127">
        <v>1200000</v>
      </c>
      <c r="K111" s="136">
        <v>5734673</v>
      </c>
      <c r="L111" s="5">
        <f>L112+L113+L114</f>
        <v>1667209</v>
      </c>
      <c r="M111" s="5">
        <f t="shared" ref="M111:S111" si="77">M112+M113+M114</f>
        <v>2961408</v>
      </c>
      <c r="N111" s="5">
        <f t="shared" si="77"/>
        <v>1993720</v>
      </c>
      <c r="O111" s="127">
        <f t="shared" si="77"/>
        <v>6622337</v>
      </c>
      <c r="P111" s="5">
        <f t="shared" si="77"/>
        <v>1000000</v>
      </c>
      <c r="Q111" s="5">
        <f t="shared" si="77"/>
        <v>0</v>
      </c>
      <c r="R111" s="5">
        <f t="shared" si="77"/>
        <v>0</v>
      </c>
      <c r="S111" s="127">
        <f t="shared" si="77"/>
        <v>1000000</v>
      </c>
      <c r="T111" s="136">
        <f t="shared" si="74"/>
        <v>7622337</v>
      </c>
      <c r="U111" s="5">
        <v>1914117</v>
      </c>
      <c r="V111" s="5">
        <v>2961408</v>
      </c>
      <c r="W111" s="5">
        <v>1993720</v>
      </c>
      <c r="X111" s="127">
        <v>6869245</v>
      </c>
      <c r="Y111" s="5">
        <v>1000000</v>
      </c>
      <c r="Z111" s="5">
        <v>5391886</v>
      </c>
      <c r="AA111" s="5">
        <v>0</v>
      </c>
      <c r="AB111" s="127">
        <v>6391886</v>
      </c>
      <c r="AC111" s="136">
        <v>13261131</v>
      </c>
      <c r="AD111" s="5">
        <f>AD112+AD113+AD114</f>
        <v>1723719</v>
      </c>
      <c r="AE111" s="5">
        <f t="shared" ref="AE111:BD111" si="78">AE112+AE113+AE114</f>
        <v>3841753</v>
      </c>
      <c r="AF111" s="5">
        <f t="shared" si="78"/>
        <v>1623620</v>
      </c>
      <c r="AG111" s="127">
        <f t="shared" si="78"/>
        <v>7189092</v>
      </c>
      <c r="AH111" s="5">
        <f t="shared" si="78"/>
        <v>16541766</v>
      </c>
      <c r="AI111" s="5">
        <f t="shared" si="78"/>
        <v>5391886</v>
      </c>
      <c r="AJ111" s="5">
        <f t="shared" si="78"/>
        <v>0</v>
      </c>
      <c r="AK111" s="127">
        <f t="shared" si="78"/>
        <v>21933652</v>
      </c>
      <c r="AL111" s="136">
        <f t="shared" si="78"/>
        <v>29122744</v>
      </c>
      <c r="AM111" s="5">
        <f t="shared" si="78"/>
        <v>1802639</v>
      </c>
      <c r="AN111" s="5">
        <f t="shared" si="78"/>
        <v>3841753</v>
      </c>
      <c r="AO111" s="5">
        <f t="shared" si="78"/>
        <v>1623620</v>
      </c>
      <c r="AP111" s="127">
        <f t="shared" si="78"/>
        <v>7268012</v>
      </c>
      <c r="AQ111" s="5">
        <f t="shared" si="78"/>
        <v>17123002</v>
      </c>
      <c r="AR111" s="5">
        <f t="shared" si="78"/>
        <v>5391886</v>
      </c>
      <c r="AS111" s="5">
        <f t="shared" si="78"/>
        <v>0</v>
      </c>
      <c r="AT111" s="127">
        <f t="shared" si="78"/>
        <v>22514888</v>
      </c>
      <c r="AU111" s="136">
        <f t="shared" si="78"/>
        <v>29782900</v>
      </c>
      <c r="AV111" s="5">
        <f t="shared" si="78"/>
        <v>1908230</v>
      </c>
      <c r="AW111" s="5">
        <f t="shared" si="78"/>
        <v>3841753</v>
      </c>
      <c r="AX111" s="5">
        <f t="shared" si="78"/>
        <v>1343720</v>
      </c>
      <c r="AY111" s="127">
        <f t="shared" si="78"/>
        <v>7093703</v>
      </c>
      <c r="AZ111" s="5">
        <f t="shared" si="78"/>
        <v>23719153</v>
      </c>
      <c r="BA111" s="5">
        <f t="shared" si="78"/>
        <v>7391886</v>
      </c>
      <c r="BB111" s="5">
        <f t="shared" si="78"/>
        <v>0</v>
      </c>
      <c r="BC111" s="127">
        <f t="shared" si="78"/>
        <v>31111039</v>
      </c>
      <c r="BD111" s="136">
        <f t="shared" si="78"/>
        <v>38204742</v>
      </c>
    </row>
    <row r="112" spans="1:56" ht="16.5" x14ac:dyDescent="0.25">
      <c r="A112" s="145" t="s">
        <v>170</v>
      </c>
      <c r="B112" s="7" t="s">
        <v>171</v>
      </c>
      <c r="C112" s="8">
        <v>346454</v>
      </c>
      <c r="D112" s="8">
        <v>686501</v>
      </c>
      <c r="E112" s="8">
        <v>715770</v>
      </c>
      <c r="F112" s="128">
        <f>SUM(C112:E112)</f>
        <v>1748725</v>
      </c>
      <c r="G112" s="8">
        <v>0</v>
      </c>
      <c r="H112" s="8"/>
      <c r="I112" s="8"/>
      <c r="J112" s="128">
        <f>SUM(G112:I112)</f>
        <v>0</v>
      </c>
      <c r="K112" s="136">
        <f>F112+J112</f>
        <v>1748725</v>
      </c>
      <c r="L112" s="8">
        <v>1299858</v>
      </c>
      <c r="M112" s="8">
        <v>2807087</v>
      </c>
      <c r="N112" s="8">
        <v>607585</v>
      </c>
      <c r="O112" s="128">
        <f>SUM(L112:N112)</f>
        <v>4714530</v>
      </c>
      <c r="P112" s="8">
        <v>0</v>
      </c>
      <c r="Q112" s="8">
        <v>0</v>
      </c>
      <c r="R112" s="8">
        <v>0</v>
      </c>
      <c r="S112" s="128">
        <f>SUM(P112:R112)</f>
        <v>0</v>
      </c>
      <c r="T112" s="136">
        <f t="shared" si="74"/>
        <v>4714530</v>
      </c>
      <c r="U112" s="33">
        <v>1544539</v>
      </c>
      <c r="V112" s="33">
        <v>2036337</v>
      </c>
      <c r="W112" s="33">
        <v>0</v>
      </c>
      <c r="X112" s="128">
        <f>SUM(U112:W112)</f>
        <v>3580876</v>
      </c>
      <c r="Y112" s="33">
        <v>0</v>
      </c>
      <c r="Z112" s="33">
        <v>0</v>
      </c>
      <c r="AA112" s="33">
        <v>0</v>
      </c>
      <c r="AB112" s="128">
        <f>Y112+Z112+AA112</f>
        <v>0</v>
      </c>
      <c r="AC112" s="136">
        <f>X112+AB112</f>
        <v>3580876</v>
      </c>
      <c r="AD112" s="33">
        <v>1380390</v>
      </c>
      <c r="AE112" s="33">
        <v>2754763</v>
      </c>
      <c r="AF112" s="33">
        <v>279900</v>
      </c>
      <c r="AG112" s="128">
        <f>SUM(AD112:AF112)</f>
        <v>4415053</v>
      </c>
      <c r="AH112" s="8">
        <v>0</v>
      </c>
      <c r="AI112" s="8">
        <v>0</v>
      </c>
      <c r="AJ112" s="8">
        <v>0</v>
      </c>
      <c r="AK112" s="128">
        <f>AH112+AI112+AJ112</f>
        <v>0</v>
      </c>
      <c r="AL112" s="136">
        <f>AG112+AK112</f>
        <v>4415053</v>
      </c>
      <c r="AM112" s="33">
        <v>1441808</v>
      </c>
      <c r="AN112" s="33">
        <v>2754763</v>
      </c>
      <c r="AO112" s="33">
        <v>279900</v>
      </c>
      <c r="AP112" s="128">
        <f>SUM(AM112:AO112)</f>
        <v>4476471</v>
      </c>
      <c r="AQ112" s="8">
        <v>0</v>
      </c>
      <c r="AR112" s="8">
        <v>0</v>
      </c>
      <c r="AS112" s="8">
        <v>0</v>
      </c>
      <c r="AT112" s="128">
        <f t="shared" si="75"/>
        <v>0</v>
      </c>
      <c r="AU112" s="136">
        <f t="shared" si="76"/>
        <v>4476471</v>
      </c>
      <c r="AV112" s="33">
        <v>1523980</v>
      </c>
      <c r="AW112" s="35">
        <v>2754763</v>
      </c>
      <c r="AX112" s="8">
        <v>0</v>
      </c>
      <c r="AY112" s="128">
        <f>SUM(AV112:AX112)</f>
        <v>4278743</v>
      </c>
      <c r="AZ112" s="8">
        <v>0</v>
      </c>
      <c r="BA112" s="8">
        <v>0</v>
      </c>
      <c r="BB112" s="8">
        <v>0</v>
      </c>
      <c r="BC112" s="128">
        <f t="shared" si="61"/>
        <v>0</v>
      </c>
      <c r="BD112" s="136">
        <f t="shared" si="57"/>
        <v>4278743</v>
      </c>
    </row>
    <row r="113" spans="1:56" ht="33" x14ac:dyDescent="0.25">
      <c r="A113" s="145" t="s">
        <v>172</v>
      </c>
      <c r="B113" s="7" t="s">
        <v>173</v>
      </c>
      <c r="C113" s="8">
        <v>276591</v>
      </c>
      <c r="D113" s="8">
        <v>404500</v>
      </c>
      <c r="E113" s="8">
        <v>942015</v>
      </c>
      <c r="F113" s="128">
        <f>SUM(C113:E113)</f>
        <v>1623106</v>
      </c>
      <c r="G113" s="8">
        <v>1200000</v>
      </c>
      <c r="H113" s="8">
        <v>0</v>
      </c>
      <c r="I113" s="8">
        <v>0</v>
      </c>
      <c r="J113" s="128">
        <f>SUM(G113:I113)</f>
        <v>1200000</v>
      </c>
      <c r="K113" s="136">
        <f>F113+J113</f>
        <v>2823106</v>
      </c>
      <c r="L113" s="8">
        <v>278173</v>
      </c>
      <c r="M113" s="8">
        <v>121440</v>
      </c>
      <c r="N113" s="8">
        <v>684135</v>
      </c>
      <c r="O113" s="128">
        <f>SUM(L113:N113)</f>
        <v>1083748</v>
      </c>
      <c r="P113" s="8">
        <v>1000000</v>
      </c>
      <c r="Q113" s="8">
        <v>0</v>
      </c>
      <c r="R113" s="8">
        <v>0</v>
      </c>
      <c r="S113" s="128">
        <f>P113+R113+R113</f>
        <v>1000000</v>
      </c>
      <c r="T113" s="136">
        <f t="shared" si="74"/>
        <v>2083748</v>
      </c>
      <c r="U113" s="35">
        <v>278917</v>
      </c>
      <c r="V113" s="35">
        <v>790190</v>
      </c>
      <c r="W113" s="35">
        <v>1160000</v>
      </c>
      <c r="X113" s="128">
        <f>SUM(U113:W113)</f>
        <v>2229107</v>
      </c>
      <c r="Y113" s="35">
        <v>1000000</v>
      </c>
      <c r="Z113" s="35">
        <v>5391886</v>
      </c>
      <c r="AA113" s="35">
        <v>0</v>
      </c>
      <c r="AB113" s="128">
        <f>Y113+Z113+AA113</f>
        <v>6391886</v>
      </c>
      <c r="AC113" s="136">
        <f>X113+AB113</f>
        <v>8620993</v>
      </c>
      <c r="AD113" s="35">
        <v>287686</v>
      </c>
      <c r="AE113" s="33">
        <v>981190</v>
      </c>
      <c r="AF113" s="33">
        <v>610000</v>
      </c>
      <c r="AG113" s="128">
        <f>SUM(AD113:AF113)</f>
        <v>1878876</v>
      </c>
      <c r="AH113" s="8">
        <v>16541766</v>
      </c>
      <c r="AI113" s="8">
        <v>5391886</v>
      </c>
      <c r="AJ113" s="21">
        <v>0</v>
      </c>
      <c r="AK113" s="128">
        <f>AH113+AI113+AJ113</f>
        <v>21933652</v>
      </c>
      <c r="AL113" s="136">
        <f>AG113+AK113</f>
        <v>23812528</v>
      </c>
      <c r="AM113" s="35">
        <v>302346</v>
      </c>
      <c r="AN113" s="33">
        <v>981190</v>
      </c>
      <c r="AO113" s="33">
        <v>610000</v>
      </c>
      <c r="AP113" s="128">
        <f>SUM(AM113:AO113)</f>
        <v>1893536</v>
      </c>
      <c r="AQ113" s="8">
        <v>17123002</v>
      </c>
      <c r="AR113" s="8">
        <v>5391886</v>
      </c>
      <c r="AS113" s="21">
        <v>0</v>
      </c>
      <c r="AT113" s="128">
        <f t="shared" si="75"/>
        <v>22514888</v>
      </c>
      <c r="AU113" s="136">
        <f t="shared" si="76"/>
        <v>24408424</v>
      </c>
      <c r="AV113" s="35">
        <v>321962</v>
      </c>
      <c r="AW113" s="35">
        <v>981190</v>
      </c>
      <c r="AX113" s="8">
        <v>610000</v>
      </c>
      <c r="AY113" s="128">
        <f>SUM(AV113:AX113)</f>
        <v>1913152</v>
      </c>
      <c r="AZ113" s="8">
        <v>23719153</v>
      </c>
      <c r="BA113" s="8">
        <v>7391886</v>
      </c>
      <c r="BB113" s="21">
        <v>0</v>
      </c>
      <c r="BC113" s="128">
        <f t="shared" si="61"/>
        <v>31111039</v>
      </c>
      <c r="BD113" s="136">
        <f t="shared" si="57"/>
        <v>33024191</v>
      </c>
    </row>
    <row r="114" spans="1:56" ht="33" x14ac:dyDescent="0.25">
      <c r="A114" s="145" t="s">
        <v>174</v>
      </c>
      <c r="B114" s="7" t="s">
        <v>175</v>
      </c>
      <c r="C114" s="8">
        <v>75855</v>
      </c>
      <c r="D114" s="8">
        <v>166987</v>
      </c>
      <c r="E114" s="8">
        <v>920000</v>
      </c>
      <c r="F114" s="128">
        <f>SUM(C114:E114)</f>
        <v>1162842</v>
      </c>
      <c r="G114" s="8">
        <v>0</v>
      </c>
      <c r="H114" s="8">
        <v>0</v>
      </c>
      <c r="I114" s="8"/>
      <c r="J114" s="128">
        <f>SUM(G114:I114)</f>
        <v>0</v>
      </c>
      <c r="K114" s="136">
        <f>F114+J114</f>
        <v>1162842</v>
      </c>
      <c r="L114" s="8">
        <v>89178</v>
      </c>
      <c r="M114" s="8">
        <v>32881</v>
      </c>
      <c r="N114" s="8">
        <v>702000</v>
      </c>
      <c r="O114" s="128">
        <f>SUM(L114:N114)</f>
        <v>824059</v>
      </c>
      <c r="P114" s="8">
        <v>0</v>
      </c>
      <c r="Q114" s="8">
        <v>0</v>
      </c>
      <c r="R114" s="8">
        <v>0</v>
      </c>
      <c r="S114" s="128">
        <f>SUM(P114:R114)</f>
        <v>0</v>
      </c>
      <c r="T114" s="136">
        <f t="shared" si="74"/>
        <v>824059</v>
      </c>
      <c r="U114" s="40">
        <v>90661</v>
      </c>
      <c r="V114" s="40">
        <v>134881</v>
      </c>
      <c r="W114" s="40">
        <v>833720</v>
      </c>
      <c r="X114" s="128">
        <f>SUM(U114:W114)</f>
        <v>1059262</v>
      </c>
      <c r="Y114" s="40">
        <v>0</v>
      </c>
      <c r="Z114" s="40">
        <v>0</v>
      </c>
      <c r="AA114" s="40">
        <v>0</v>
      </c>
      <c r="AB114" s="128">
        <f>Y114+Z114+AA114</f>
        <v>0</v>
      </c>
      <c r="AC114" s="136">
        <f>X114+AB114</f>
        <v>1059262</v>
      </c>
      <c r="AD114" s="40">
        <v>55643</v>
      </c>
      <c r="AE114" s="33">
        <v>105800</v>
      </c>
      <c r="AF114" s="33">
        <v>733720</v>
      </c>
      <c r="AG114" s="128">
        <f>SUM(AD114:AF114)</f>
        <v>895163</v>
      </c>
      <c r="AH114" s="8">
        <v>0</v>
      </c>
      <c r="AI114" s="8">
        <v>0</v>
      </c>
      <c r="AJ114" s="8">
        <v>0</v>
      </c>
      <c r="AK114" s="128">
        <f>AH114+AI114+AJ114</f>
        <v>0</v>
      </c>
      <c r="AL114" s="136">
        <f>AG114+AK114</f>
        <v>895163</v>
      </c>
      <c r="AM114" s="40">
        <v>58485</v>
      </c>
      <c r="AN114" s="33">
        <v>105800</v>
      </c>
      <c r="AO114" s="33">
        <v>733720</v>
      </c>
      <c r="AP114" s="128">
        <f>SUM(AM114:AO114)</f>
        <v>898005</v>
      </c>
      <c r="AQ114" s="8">
        <v>0</v>
      </c>
      <c r="AR114" s="8">
        <v>0</v>
      </c>
      <c r="AS114" s="8">
        <v>0</v>
      </c>
      <c r="AT114" s="128">
        <f t="shared" si="75"/>
        <v>0</v>
      </c>
      <c r="AU114" s="136">
        <f t="shared" si="76"/>
        <v>898005</v>
      </c>
      <c r="AV114" s="40">
        <v>62288</v>
      </c>
      <c r="AW114" s="35">
        <v>105800</v>
      </c>
      <c r="AX114" s="8">
        <v>733720</v>
      </c>
      <c r="AY114" s="128">
        <f>SUM(AV114:AX114)</f>
        <v>901808</v>
      </c>
      <c r="AZ114" s="8">
        <v>0</v>
      </c>
      <c r="BA114" s="8">
        <v>0</v>
      </c>
      <c r="BB114" s="8">
        <v>0</v>
      </c>
      <c r="BC114" s="128">
        <f t="shared" si="61"/>
        <v>0</v>
      </c>
      <c r="BD114" s="136">
        <f t="shared" si="57"/>
        <v>901808</v>
      </c>
    </row>
    <row r="115" spans="1:56" ht="16.5" x14ac:dyDescent="0.25">
      <c r="A115" s="103" t="s">
        <v>176</v>
      </c>
      <c r="B115" s="104"/>
      <c r="C115" s="5">
        <v>99300</v>
      </c>
      <c r="D115" s="5">
        <v>705647</v>
      </c>
      <c r="E115" s="5">
        <v>4333191</v>
      </c>
      <c r="F115" s="127">
        <v>5138138</v>
      </c>
      <c r="G115" s="5">
        <v>300000</v>
      </c>
      <c r="H115" s="5">
        <v>0</v>
      </c>
      <c r="I115" s="5">
        <v>0</v>
      </c>
      <c r="J115" s="127">
        <v>300000</v>
      </c>
      <c r="K115" s="136">
        <v>5438138</v>
      </c>
      <c r="L115" s="5">
        <f>L116+L117+L118+L119</f>
        <v>303881</v>
      </c>
      <c r="M115" s="5">
        <f t="shared" ref="M115:S115" si="79">M116+M117+M118+M119</f>
        <v>1186942</v>
      </c>
      <c r="N115" s="5">
        <f t="shared" si="79"/>
        <v>11455019</v>
      </c>
      <c r="O115" s="127">
        <f t="shared" si="79"/>
        <v>12945842</v>
      </c>
      <c r="P115" s="5">
        <f>P116+P117+P118+P119</f>
        <v>655500</v>
      </c>
      <c r="Q115" s="5">
        <f t="shared" si="79"/>
        <v>582164</v>
      </c>
      <c r="R115" s="5">
        <f t="shared" si="79"/>
        <v>0</v>
      </c>
      <c r="S115" s="127">
        <f t="shared" si="79"/>
        <v>1237664</v>
      </c>
      <c r="T115" s="136">
        <f t="shared" si="74"/>
        <v>14183506</v>
      </c>
      <c r="U115" s="5">
        <v>324974</v>
      </c>
      <c r="V115" s="5">
        <v>1186942</v>
      </c>
      <c r="W115" s="5">
        <v>11905019</v>
      </c>
      <c r="X115" s="127">
        <v>13416935</v>
      </c>
      <c r="Y115" s="5">
        <v>0</v>
      </c>
      <c r="Z115" s="5">
        <v>0</v>
      </c>
      <c r="AA115" s="5">
        <v>0</v>
      </c>
      <c r="AB115" s="127">
        <v>0</v>
      </c>
      <c r="AC115" s="136">
        <v>13416935</v>
      </c>
      <c r="AD115" s="5">
        <f>AD116+AD117+AD118+AD119</f>
        <v>237616</v>
      </c>
      <c r="AE115" s="5">
        <f t="shared" ref="AE115:BD115" si="80">AE116+AE117+AE118+AE119</f>
        <v>1757161</v>
      </c>
      <c r="AF115" s="5">
        <f t="shared" si="80"/>
        <v>7350000</v>
      </c>
      <c r="AG115" s="127">
        <f t="shared" si="80"/>
        <v>9344777</v>
      </c>
      <c r="AH115" s="5">
        <f t="shared" si="80"/>
        <v>0</v>
      </c>
      <c r="AI115" s="5">
        <f t="shared" si="80"/>
        <v>200000</v>
      </c>
      <c r="AJ115" s="5">
        <f t="shared" si="80"/>
        <v>0</v>
      </c>
      <c r="AK115" s="127">
        <f t="shared" si="80"/>
        <v>200000</v>
      </c>
      <c r="AL115" s="136">
        <f t="shared" si="80"/>
        <v>9544777</v>
      </c>
      <c r="AM115" s="5">
        <f t="shared" si="80"/>
        <v>248994</v>
      </c>
      <c r="AN115" s="5">
        <f t="shared" si="80"/>
        <v>1757162</v>
      </c>
      <c r="AO115" s="5">
        <f t="shared" si="80"/>
        <v>7350000</v>
      </c>
      <c r="AP115" s="127">
        <f t="shared" si="80"/>
        <v>9356156</v>
      </c>
      <c r="AQ115" s="5">
        <f t="shared" si="80"/>
        <v>0</v>
      </c>
      <c r="AR115" s="5">
        <f t="shared" si="80"/>
        <v>1312000</v>
      </c>
      <c r="AS115" s="5">
        <f t="shared" si="80"/>
        <v>0</v>
      </c>
      <c r="AT115" s="127">
        <f t="shared" si="80"/>
        <v>1312000</v>
      </c>
      <c r="AU115" s="136">
        <f t="shared" si="80"/>
        <v>10668156</v>
      </c>
      <c r="AV115" s="5">
        <f t="shared" si="80"/>
        <v>264088</v>
      </c>
      <c r="AW115" s="5">
        <f t="shared" si="80"/>
        <v>1757161</v>
      </c>
      <c r="AX115" s="5">
        <f t="shared" si="80"/>
        <v>7350000</v>
      </c>
      <c r="AY115" s="127">
        <f t="shared" si="80"/>
        <v>9371249</v>
      </c>
      <c r="AZ115" s="5">
        <f t="shared" si="80"/>
        <v>0</v>
      </c>
      <c r="BA115" s="5">
        <f t="shared" si="80"/>
        <v>1312000</v>
      </c>
      <c r="BB115" s="5">
        <f t="shared" si="80"/>
        <v>0</v>
      </c>
      <c r="BC115" s="127">
        <f t="shared" si="80"/>
        <v>1312000</v>
      </c>
      <c r="BD115" s="136">
        <f t="shared" si="80"/>
        <v>10683249</v>
      </c>
    </row>
    <row r="116" spans="1:56" ht="16.5" x14ac:dyDescent="0.25">
      <c r="A116" s="145" t="s">
        <v>177</v>
      </c>
      <c r="B116" s="7" t="s">
        <v>178</v>
      </c>
      <c r="C116" s="8">
        <v>67675</v>
      </c>
      <c r="D116" s="8">
        <v>586647</v>
      </c>
      <c r="E116" s="8">
        <v>1040000</v>
      </c>
      <c r="F116" s="128">
        <f>C116+D116+E116</f>
        <v>1694322</v>
      </c>
      <c r="G116" s="8"/>
      <c r="H116" s="8"/>
      <c r="I116" s="8"/>
      <c r="J116" s="128">
        <f>SUM(G116:I116)</f>
        <v>0</v>
      </c>
      <c r="K116" s="136">
        <f>F116+J116</f>
        <v>1694322</v>
      </c>
      <c r="L116" s="8">
        <v>198707</v>
      </c>
      <c r="M116" s="8">
        <v>1069242</v>
      </c>
      <c r="N116" s="8">
        <v>0</v>
      </c>
      <c r="O116" s="128">
        <f>SUM(L116:N116)</f>
        <v>1267949</v>
      </c>
      <c r="P116" s="8">
        <v>355500</v>
      </c>
      <c r="Q116" s="8">
        <v>0</v>
      </c>
      <c r="R116" s="8">
        <v>0</v>
      </c>
      <c r="S116" s="128">
        <f>SUM(P116:R116)</f>
        <v>355500</v>
      </c>
      <c r="T116" s="136">
        <f t="shared" si="74"/>
        <v>1623449</v>
      </c>
      <c r="U116" s="33">
        <v>199549</v>
      </c>
      <c r="V116" s="33">
        <v>987242</v>
      </c>
      <c r="W116" s="33">
        <v>0</v>
      </c>
      <c r="X116" s="128">
        <f>SUM(U116:W116)</f>
        <v>1186791</v>
      </c>
      <c r="Y116" s="33">
        <v>0</v>
      </c>
      <c r="Z116" s="33">
        <v>0</v>
      </c>
      <c r="AA116" s="33">
        <v>0</v>
      </c>
      <c r="AB116" s="128">
        <f>Y116+Z116+AA116</f>
        <v>0</v>
      </c>
      <c r="AC116" s="136">
        <f>X116+AB116</f>
        <v>1186791</v>
      </c>
      <c r="AD116" s="33">
        <v>208252</v>
      </c>
      <c r="AE116" s="33">
        <v>1202161</v>
      </c>
      <c r="AF116" s="33">
        <v>65000</v>
      </c>
      <c r="AG116" s="128">
        <f>SUM(AD116:AF116)</f>
        <v>1475413</v>
      </c>
      <c r="AH116" s="8">
        <v>0</v>
      </c>
      <c r="AI116" s="8">
        <v>0</v>
      </c>
      <c r="AJ116" s="8">
        <v>0</v>
      </c>
      <c r="AK116" s="128">
        <f>AH116+AI116+AJ116</f>
        <v>0</v>
      </c>
      <c r="AL116" s="136">
        <f>AG116+AK116</f>
        <v>1475413</v>
      </c>
      <c r="AM116" s="33">
        <v>218023</v>
      </c>
      <c r="AN116" s="33">
        <v>1202162</v>
      </c>
      <c r="AO116" s="33">
        <v>65000</v>
      </c>
      <c r="AP116" s="128">
        <f>SUM(AM116:AO116)</f>
        <v>1485185</v>
      </c>
      <c r="AQ116" s="8">
        <v>0</v>
      </c>
      <c r="AR116" s="8">
        <v>0</v>
      </c>
      <c r="AS116" s="8">
        <v>0</v>
      </c>
      <c r="AT116" s="128">
        <f t="shared" si="75"/>
        <v>0</v>
      </c>
      <c r="AU116" s="136">
        <f t="shared" si="76"/>
        <v>1485185</v>
      </c>
      <c r="AV116" s="8">
        <v>230985</v>
      </c>
      <c r="AW116" s="8">
        <v>1202161</v>
      </c>
      <c r="AX116" s="8">
        <v>65000</v>
      </c>
      <c r="AY116" s="128">
        <f>SUM(AV116:AX116)</f>
        <v>1498146</v>
      </c>
      <c r="AZ116" s="8">
        <v>0</v>
      </c>
      <c r="BA116" s="8">
        <v>0</v>
      </c>
      <c r="BB116" s="8">
        <v>0</v>
      </c>
      <c r="BC116" s="128">
        <f t="shared" si="61"/>
        <v>0</v>
      </c>
      <c r="BD116" s="136">
        <f t="shared" si="57"/>
        <v>1498146</v>
      </c>
    </row>
    <row r="117" spans="1:56" ht="16.5" x14ac:dyDescent="0.25">
      <c r="A117" s="145" t="s">
        <v>179</v>
      </c>
      <c r="B117" s="7" t="s">
        <v>180</v>
      </c>
      <c r="C117" s="8">
        <v>30877</v>
      </c>
      <c r="D117" s="8">
        <v>57000</v>
      </c>
      <c r="E117" s="8">
        <v>2323191</v>
      </c>
      <c r="F117" s="128">
        <f>SUM(C117:E117)</f>
        <v>2411068</v>
      </c>
      <c r="G117" s="8">
        <v>0</v>
      </c>
      <c r="H117" s="8">
        <v>0</v>
      </c>
      <c r="I117" s="8">
        <v>0</v>
      </c>
      <c r="J117" s="128">
        <f>SUM(G117:I117)</f>
        <v>0</v>
      </c>
      <c r="K117" s="136">
        <f>F117+J117</f>
        <v>2411068</v>
      </c>
      <c r="L117" s="8">
        <v>21314</v>
      </c>
      <c r="M117" s="8">
        <v>37000</v>
      </c>
      <c r="N117" s="8">
        <v>9075519</v>
      </c>
      <c r="O117" s="128">
        <f>SUM(L117:N117)</f>
        <v>9133833</v>
      </c>
      <c r="P117" s="8">
        <v>0</v>
      </c>
      <c r="Q117" s="8">
        <v>0</v>
      </c>
      <c r="R117" s="8">
        <v>0</v>
      </c>
      <c r="S117" s="128">
        <f>SUM(P117:R117)</f>
        <v>0</v>
      </c>
      <c r="T117" s="136">
        <f t="shared" si="74"/>
        <v>9133833</v>
      </c>
      <c r="U117" s="35">
        <v>30040</v>
      </c>
      <c r="V117" s="35">
        <v>57000</v>
      </c>
      <c r="W117" s="35">
        <v>7798839</v>
      </c>
      <c r="X117" s="128">
        <f>SUM(U117:W117)</f>
        <v>7885879</v>
      </c>
      <c r="Y117" s="35">
        <v>0</v>
      </c>
      <c r="Z117" s="35">
        <v>0</v>
      </c>
      <c r="AA117" s="35">
        <v>0</v>
      </c>
      <c r="AB117" s="128">
        <f>Y117+Z117+AA117</f>
        <v>0</v>
      </c>
      <c r="AC117" s="136">
        <f>X117+AB117</f>
        <v>7885879</v>
      </c>
      <c r="AD117" s="35">
        <v>0</v>
      </c>
      <c r="AE117" s="33">
        <v>60000</v>
      </c>
      <c r="AF117" s="33">
        <v>2000000</v>
      </c>
      <c r="AG117" s="128">
        <f>SUM(AD117:AF117)</f>
        <v>2060000</v>
      </c>
      <c r="AH117" s="8">
        <v>0</v>
      </c>
      <c r="AI117" s="8">
        <v>200000</v>
      </c>
      <c r="AJ117" s="8">
        <v>0</v>
      </c>
      <c r="AK117" s="128">
        <f>AH117+AI117+AJ117</f>
        <v>200000</v>
      </c>
      <c r="AL117" s="136">
        <f>AG117+AK117</f>
        <v>2260000</v>
      </c>
      <c r="AM117" s="35">
        <v>0</v>
      </c>
      <c r="AN117" s="33">
        <v>60000</v>
      </c>
      <c r="AO117" s="33">
        <v>2000000</v>
      </c>
      <c r="AP117" s="128">
        <f>SUM(AM117:AO117)</f>
        <v>2060000</v>
      </c>
      <c r="AQ117" s="8">
        <v>0</v>
      </c>
      <c r="AR117" s="8">
        <v>1312000</v>
      </c>
      <c r="AS117" s="8">
        <v>0</v>
      </c>
      <c r="AT117" s="128">
        <f t="shared" si="75"/>
        <v>1312000</v>
      </c>
      <c r="AU117" s="136">
        <f t="shared" si="76"/>
        <v>3372000</v>
      </c>
      <c r="AV117" s="8">
        <v>0</v>
      </c>
      <c r="AW117" s="8">
        <v>60000</v>
      </c>
      <c r="AX117" s="21">
        <v>2000000</v>
      </c>
      <c r="AY117" s="128">
        <f>SUM(AV117:AX117)</f>
        <v>2060000</v>
      </c>
      <c r="AZ117" s="8">
        <v>0</v>
      </c>
      <c r="BA117" s="8">
        <v>1312000</v>
      </c>
      <c r="BB117" s="8">
        <v>0</v>
      </c>
      <c r="BC117" s="128">
        <f t="shared" si="61"/>
        <v>1312000</v>
      </c>
      <c r="BD117" s="136">
        <f t="shared" si="57"/>
        <v>3372000</v>
      </c>
    </row>
    <row r="118" spans="1:56" ht="16.5" x14ac:dyDescent="0.25">
      <c r="A118" s="145" t="s">
        <v>181</v>
      </c>
      <c r="B118" s="7" t="s">
        <v>182</v>
      </c>
      <c r="C118" s="8">
        <v>0</v>
      </c>
      <c r="D118" s="8">
        <v>0</v>
      </c>
      <c r="E118" s="8">
        <v>0</v>
      </c>
      <c r="F118" s="128">
        <f>SUM(C118:E118)</f>
        <v>0</v>
      </c>
      <c r="G118" s="8"/>
      <c r="H118" s="8"/>
      <c r="I118" s="8"/>
      <c r="J118" s="128">
        <f>SUM(G118:I118)</f>
        <v>0</v>
      </c>
      <c r="K118" s="136">
        <f>F118+J118</f>
        <v>0</v>
      </c>
      <c r="L118" s="8">
        <v>39923</v>
      </c>
      <c r="M118" s="8">
        <v>43000</v>
      </c>
      <c r="N118" s="8">
        <v>585500</v>
      </c>
      <c r="O118" s="128">
        <f>SUM(L118:N118)</f>
        <v>668423</v>
      </c>
      <c r="P118" s="8">
        <v>0</v>
      </c>
      <c r="Q118" s="8"/>
      <c r="R118" s="8"/>
      <c r="S118" s="128">
        <f>SUM(P118:R118)</f>
        <v>0</v>
      </c>
      <c r="T118" s="136">
        <f t="shared" si="74"/>
        <v>668423</v>
      </c>
      <c r="U118" s="35">
        <v>29804</v>
      </c>
      <c r="V118" s="35">
        <v>63000</v>
      </c>
      <c r="W118" s="35">
        <v>1456365</v>
      </c>
      <c r="X118" s="128">
        <f>SUM(U118:W118)</f>
        <v>1549169</v>
      </c>
      <c r="Y118" s="35">
        <v>0</v>
      </c>
      <c r="Z118" s="35">
        <v>0</v>
      </c>
      <c r="AA118" s="35">
        <v>0</v>
      </c>
      <c r="AB118" s="128">
        <f>Y118+Z118+AA118</f>
        <v>0</v>
      </c>
      <c r="AC118" s="136">
        <f>X118+AB118</f>
        <v>1549169</v>
      </c>
      <c r="AD118" s="35">
        <v>29364</v>
      </c>
      <c r="AE118" s="33">
        <v>200000</v>
      </c>
      <c r="AF118" s="33">
        <v>2400000</v>
      </c>
      <c r="AG118" s="128">
        <f>SUM(AD118:AF118)</f>
        <v>2629364</v>
      </c>
      <c r="AH118" s="8"/>
      <c r="AI118" s="8"/>
      <c r="AJ118" s="8"/>
      <c r="AK118" s="128">
        <f>AH118+AI118+AJ118</f>
        <v>0</v>
      </c>
      <c r="AL118" s="136">
        <f>AG118+AK118</f>
        <v>2629364</v>
      </c>
      <c r="AM118" s="35">
        <v>30971</v>
      </c>
      <c r="AN118" s="33">
        <v>200000</v>
      </c>
      <c r="AO118" s="33">
        <v>2400000</v>
      </c>
      <c r="AP118" s="128">
        <f>SUM(AM118:AO118)</f>
        <v>2630971</v>
      </c>
      <c r="AQ118" s="8"/>
      <c r="AR118" s="8"/>
      <c r="AS118" s="8"/>
      <c r="AT118" s="128">
        <f t="shared" si="75"/>
        <v>0</v>
      </c>
      <c r="AU118" s="136">
        <f t="shared" si="76"/>
        <v>2630971</v>
      </c>
      <c r="AV118" s="8">
        <v>33103</v>
      </c>
      <c r="AW118" s="8">
        <v>200000</v>
      </c>
      <c r="AX118" s="21">
        <v>2400000</v>
      </c>
      <c r="AY118" s="128">
        <f>SUM(AV118:AX118)</f>
        <v>2633103</v>
      </c>
      <c r="AZ118" s="8"/>
      <c r="BA118" s="8"/>
      <c r="BB118" s="8"/>
      <c r="BC118" s="128">
        <f t="shared" si="61"/>
        <v>0</v>
      </c>
      <c r="BD118" s="136">
        <f t="shared" si="57"/>
        <v>2633103</v>
      </c>
    </row>
    <row r="119" spans="1:56" ht="16.5" x14ac:dyDescent="0.25">
      <c r="A119" s="145" t="s">
        <v>183</v>
      </c>
      <c r="B119" s="7" t="s">
        <v>184</v>
      </c>
      <c r="C119" s="8">
        <v>748</v>
      </c>
      <c r="D119" s="8">
        <v>62000</v>
      </c>
      <c r="E119" s="8">
        <v>970000</v>
      </c>
      <c r="F119" s="128">
        <f>SUM(C119:E119)</f>
        <v>1032748</v>
      </c>
      <c r="G119" s="8">
        <v>300000</v>
      </c>
      <c r="H119" s="8">
        <v>0</v>
      </c>
      <c r="I119" s="8">
        <v>0</v>
      </c>
      <c r="J119" s="128">
        <f>SUM(G119:I119)</f>
        <v>300000</v>
      </c>
      <c r="K119" s="136">
        <f>F119+J119</f>
        <v>1332748</v>
      </c>
      <c r="L119" s="8">
        <v>43937</v>
      </c>
      <c r="M119" s="8">
        <v>37700</v>
      </c>
      <c r="N119" s="8">
        <v>1794000</v>
      </c>
      <c r="O119" s="128">
        <f>SUM(L119:N119)</f>
        <v>1875637</v>
      </c>
      <c r="P119" s="8">
        <v>300000</v>
      </c>
      <c r="Q119" s="8">
        <v>582164</v>
      </c>
      <c r="R119" s="8">
        <v>0</v>
      </c>
      <c r="S119" s="128">
        <f>SUM(P119:R119)</f>
        <v>882164</v>
      </c>
      <c r="T119" s="136">
        <f t="shared" si="74"/>
        <v>2757801</v>
      </c>
      <c r="U119" s="40">
        <v>65581</v>
      </c>
      <c r="V119" s="40">
        <v>79700</v>
      </c>
      <c r="W119" s="40">
        <v>2649815</v>
      </c>
      <c r="X119" s="128">
        <f>SUM(U119:W119)</f>
        <v>2795096</v>
      </c>
      <c r="Y119" s="40">
        <v>0</v>
      </c>
      <c r="Z119" s="40">
        <v>0</v>
      </c>
      <c r="AA119" s="40">
        <v>0</v>
      </c>
      <c r="AB119" s="128">
        <f>Y119+Z119+AA119</f>
        <v>0</v>
      </c>
      <c r="AC119" s="136">
        <f>X119+AB119</f>
        <v>2795096</v>
      </c>
      <c r="AD119" s="40">
        <v>0</v>
      </c>
      <c r="AE119" s="33">
        <v>295000</v>
      </c>
      <c r="AF119" s="33">
        <v>2885000</v>
      </c>
      <c r="AG119" s="128">
        <f>SUM(AD119:AF119)</f>
        <v>3180000</v>
      </c>
      <c r="AH119" s="8">
        <v>0</v>
      </c>
      <c r="AI119" s="8">
        <v>0</v>
      </c>
      <c r="AJ119" s="8">
        <v>0</v>
      </c>
      <c r="AK119" s="128">
        <f>AH119+AI119+AJ119</f>
        <v>0</v>
      </c>
      <c r="AL119" s="136">
        <f>AG119+AK119</f>
        <v>3180000</v>
      </c>
      <c r="AM119" s="40">
        <v>0</v>
      </c>
      <c r="AN119" s="33">
        <v>295000</v>
      </c>
      <c r="AO119" s="33">
        <v>2885000</v>
      </c>
      <c r="AP119" s="128">
        <f>SUM(AM119:AO119)</f>
        <v>3180000</v>
      </c>
      <c r="AQ119" s="8">
        <v>0</v>
      </c>
      <c r="AR119" s="8">
        <v>0</v>
      </c>
      <c r="AS119" s="8">
        <v>0</v>
      </c>
      <c r="AT119" s="128">
        <f t="shared" si="75"/>
        <v>0</v>
      </c>
      <c r="AU119" s="136">
        <f t="shared" si="76"/>
        <v>3180000</v>
      </c>
      <c r="AV119" s="8">
        <v>0</v>
      </c>
      <c r="AW119" s="8">
        <v>295000</v>
      </c>
      <c r="AX119" s="21">
        <v>2885000</v>
      </c>
      <c r="AY119" s="128">
        <f>SUM(AV119:AX119)</f>
        <v>3180000</v>
      </c>
      <c r="AZ119" s="8">
        <v>0</v>
      </c>
      <c r="BA119" s="8">
        <v>0</v>
      </c>
      <c r="BB119" s="8">
        <v>0</v>
      </c>
      <c r="BC119" s="128">
        <f t="shared" si="61"/>
        <v>0</v>
      </c>
      <c r="BD119" s="136">
        <f t="shared" si="57"/>
        <v>3180000</v>
      </c>
    </row>
    <row r="120" spans="1:56" ht="16.5" x14ac:dyDescent="0.25">
      <c r="A120" s="96" t="s">
        <v>185</v>
      </c>
      <c r="B120" s="97"/>
      <c r="C120" s="5">
        <v>134400</v>
      </c>
      <c r="D120" s="5">
        <v>562225</v>
      </c>
      <c r="E120" s="5">
        <v>318719</v>
      </c>
      <c r="F120" s="127">
        <v>1015344</v>
      </c>
      <c r="G120" s="5">
        <v>15020000</v>
      </c>
      <c r="H120" s="5">
        <v>7500000</v>
      </c>
      <c r="I120" s="5">
        <v>25000000</v>
      </c>
      <c r="J120" s="127">
        <v>47520000</v>
      </c>
      <c r="K120" s="136">
        <v>48535344</v>
      </c>
      <c r="L120" s="5">
        <f>L121+L122+L123</f>
        <v>926402</v>
      </c>
      <c r="M120" s="5">
        <f>M121+M122+M123</f>
        <v>1515747</v>
      </c>
      <c r="N120" s="5">
        <f t="shared" ref="N120:S120" si="81">N121+N122+N123</f>
        <v>69993</v>
      </c>
      <c r="O120" s="127">
        <f t="shared" si="81"/>
        <v>2512142</v>
      </c>
      <c r="P120" s="5">
        <f t="shared" si="81"/>
        <v>22030269</v>
      </c>
      <c r="Q120" s="5">
        <f t="shared" si="81"/>
        <v>6948708</v>
      </c>
      <c r="R120" s="5">
        <f t="shared" si="81"/>
        <v>23000000</v>
      </c>
      <c r="S120" s="127">
        <f t="shared" si="81"/>
        <v>51978977</v>
      </c>
      <c r="T120" s="136">
        <f t="shared" si="74"/>
        <v>54491119</v>
      </c>
      <c r="U120" s="5">
        <v>884681</v>
      </c>
      <c r="V120" s="5">
        <v>1526740</v>
      </c>
      <c r="W120" s="5">
        <v>59000</v>
      </c>
      <c r="X120" s="127">
        <v>2470421</v>
      </c>
      <c r="Y120" s="5">
        <v>44825891</v>
      </c>
      <c r="Z120" s="5">
        <v>11472105</v>
      </c>
      <c r="AA120" s="5">
        <v>15680116</v>
      </c>
      <c r="AB120" s="127">
        <v>71978112</v>
      </c>
      <c r="AC120" s="136">
        <v>74448533</v>
      </c>
      <c r="AD120" s="5">
        <f>AD121+AD122+AD123</f>
        <v>324882</v>
      </c>
      <c r="AE120" s="5">
        <f t="shared" ref="AE120:BD120" si="82">AE121+AE122+AE123</f>
        <v>1717724</v>
      </c>
      <c r="AF120" s="5">
        <f t="shared" si="82"/>
        <v>10000</v>
      </c>
      <c r="AG120" s="127">
        <f t="shared" si="82"/>
        <v>2052606</v>
      </c>
      <c r="AH120" s="5">
        <f t="shared" si="82"/>
        <v>64600000</v>
      </c>
      <c r="AI120" s="5">
        <f t="shared" si="82"/>
        <v>420833</v>
      </c>
      <c r="AJ120" s="5">
        <f t="shared" si="82"/>
        <v>18106378</v>
      </c>
      <c r="AK120" s="127">
        <f t="shared" si="82"/>
        <v>83127211</v>
      </c>
      <c r="AL120" s="136">
        <f t="shared" si="82"/>
        <v>85179817</v>
      </c>
      <c r="AM120" s="5">
        <f t="shared" si="82"/>
        <v>449667</v>
      </c>
      <c r="AN120" s="5">
        <f t="shared" si="82"/>
        <v>1717724</v>
      </c>
      <c r="AO120" s="5">
        <f t="shared" si="82"/>
        <v>10000</v>
      </c>
      <c r="AP120" s="127">
        <f t="shared" si="82"/>
        <v>2177391</v>
      </c>
      <c r="AQ120" s="5">
        <f t="shared" si="82"/>
        <v>61950876</v>
      </c>
      <c r="AR120" s="5">
        <f t="shared" si="82"/>
        <v>0</v>
      </c>
      <c r="AS120" s="5">
        <f t="shared" si="82"/>
        <v>11638878</v>
      </c>
      <c r="AT120" s="127">
        <f t="shared" si="82"/>
        <v>73589754</v>
      </c>
      <c r="AU120" s="136">
        <f t="shared" si="82"/>
        <v>75767145</v>
      </c>
      <c r="AV120" s="5">
        <f t="shared" si="82"/>
        <v>492424</v>
      </c>
      <c r="AW120" s="5">
        <f t="shared" si="82"/>
        <v>1717724</v>
      </c>
      <c r="AX120" s="5">
        <f t="shared" si="82"/>
        <v>10000</v>
      </c>
      <c r="AY120" s="127">
        <f t="shared" si="82"/>
        <v>2220148</v>
      </c>
      <c r="AZ120" s="5">
        <f t="shared" si="82"/>
        <v>43631715</v>
      </c>
      <c r="BA120" s="5">
        <f t="shared" si="82"/>
        <v>0</v>
      </c>
      <c r="BB120" s="5">
        <f t="shared" si="82"/>
        <v>0</v>
      </c>
      <c r="BC120" s="127">
        <f t="shared" si="82"/>
        <v>43631715</v>
      </c>
      <c r="BD120" s="136">
        <f t="shared" si="82"/>
        <v>45851863</v>
      </c>
    </row>
    <row r="121" spans="1:56" ht="16.5" x14ac:dyDescent="0.25">
      <c r="A121" s="145" t="s">
        <v>186</v>
      </c>
      <c r="B121" s="7" t="s">
        <v>187</v>
      </c>
      <c r="C121" s="8">
        <v>35225</v>
      </c>
      <c r="D121" s="8">
        <v>522225</v>
      </c>
      <c r="E121" s="8">
        <v>308719</v>
      </c>
      <c r="F121" s="128">
        <f>SUM(C121:E121)</f>
        <v>866169</v>
      </c>
      <c r="G121" s="8">
        <v>0</v>
      </c>
      <c r="H121" s="8">
        <v>0</v>
      </c>
      <c r="I121" s="8">
        <v>0</v>
      </c>
      <c r="J121" s="128">
        <f>SUM(G121:I121)</f>
        <v>0</v>
      </c>
      <c r="K121" s="136">
        <f>F121+J121</f>
        <v>866169</v>
      </c>
      <c r="L121" s="8">
        <v>646948</v>
      </c>
      <c r="M121" s="8">
        <v>1414747</v>
      </c>
      <c r="N121" s="8">
        <v>59993</v>
      </c>
      <c r="O121" s="128">
        <f>SUM(L121:N121)</f>
        <v>2121688</v>
      </c>
      <c r="P121" s="8">
        <v>0</v>
      </c>
      <c r="Q121" s="8">
        <v>0</v>
      </c>
      <c r="R121" s="8">
        <v>0</v>
      </c>
      <c r="S121" s="128">
        <f>SUM(P121:R121)</f>
        <v>0</v>
      </c>
      <c r="T121" s="136">
        <f t="shared" si="74"/>
        <v>2121688</v>
      </c>
      <c r="U121" s="33">
        <v>577966</v>
      </c>
      <c r="V121" s="33">
        <v>1441740</v>
      </c>
      <c r="W121" s="33">
        <v>49000</v>
      </c>
      <c r="X121" s="128">
        <f>SUM(U121:W121)</f>
        <v>2068706</v>
      </c>
      <c r="Y121" s="33">
        <v>0</v>
      </c>
      <c r="Z121" s="33">
        <v>0</v>
      </c>
      <c r="AA121" s="33">
        <v>0</v>
      </c>
      <c r="AB121" s="128">
        <f>SUM(Y121:AA121)</f>
        <v>0</v>
      </c>
      <c r="AC121" s="136">
        <f>X121+AB121</f>
        <v>2068706</v>
      </c>
      <c r="AD121" s="33">
        <v>165190</v>
      </c>
      <c r="AE121" s="33">
        <v>1627224</v>
      </c>
      <c r="AF121" s="33">
        <v>0</v>
      </c>
      <c r="AG121" s="128">
        <f>SUM(AD121:AF121)</f>
        <v>1792414</v>
      </c>
      <c r="AH121" s="8">
        <v>0</v>
      </c>
      <c r="AI121" s="8">
        <v>0</v>
      </c>
      <c r="AJ121" s="8">
        <v>0</v>
      </c>
      <c r="AK121" s="128">
        <f>SUM(AH121:AJ121)</f>
        <v>0</v>
      </c>
      <c r="AL121" s="136">
        <f t="shared" ref="AL121:AL129" si="83">AG121+AK121</f>
        <v>1792414</v>
      </c>
      <c r="AM121" s="33">
        <v>222765</v>
      </c>
      <c r="AN121" s="33">
        <v>1627224</v>
      </c>
      <c r="AO121" s="33">
        <v>0</v>
      </c>
      <c r="AP121" s="128">
        <f>SUM(AM121:AO121)</f>
        <v>1849989</v>
      </c>
      <c r="AQ121" s="8">
        <v>0</v>
      </c>
      <c r="AR121" s="8">
        <v>0</v>
      </c>
      <c r="AS121" s="8">
        <v>0</v>
      </c>
      <c r="AT121" s="128">
        <f>SUM(AQ121:AS121)</f>
        <v>0</v>
      </c>
      <c r="AU121" s="136">
        <f t="shared" si="76"/>
        <v>1849989</v>
      </c>
      <c r="AV121" s="33">
        <v>242492</v>
      </c>
      <c r="AW121" s="35">
        <v>1627224</v>
      </c>
      <c r="AX121" s="35">
        <v>0</v>
      </c>
      <c r="AY121" s="128">
        <f>SUM(AV121:AX121)</f>
        <v>1869716</v>
      </c>
      <c r="AZ121" s="8">
        <v>0</v>
      </c>
      <c r="BA121" s="8">
        <v>0</v>
      </c>
      <c r="BB121" s="8">
        <v>0</v>
      </c>
      <c r="BC121" s="128">
        <f>SUM(AZ121:BB121)</f>
        <v>0</v>
      </c>
      <c r="BD121" s="136">
        <f t="shared" si="57"/>
        <v>1869716</v>
      </c>
    </row>
    <row r="122" spans="1:56" ht="16.5" x14ac:dyDescent="0.25">
      <c r="A122" s="145" t="s">
        <v>188</v>
      </c>
      <c r="B122" s="7" t="s">
        <v>189</v>
      </c>
      <c r="C122" s="8">
        <v>90002</v>
      </c>
      <c r="D122" s="8">
        <v>23000</v>
      </c>
      <c r="E122" s="8">
        <v>0</v>
      </c>
      <c r="F122" s="128">
        <f>SUM(C122:E122)</f>
        <v>113002</v>
      </c>
      <c r="G122" s="8">
        <v>11778760</v>
      </c>
      <c r="H122" s="8">
        <v>7500000</v>
      </c>
      <c r="I122" s="8">
        <v>25000000</v>
      </c>
      <c r="J122" s="128">
        <f>G122+H122+I122</f>
        <v>44278760</v>
      </c>
      <c r="K122" s="136">
        <f>F122+J122</f>
        <v>44391762</v>
      </c>
      <c r="L122" s="8">
        <v>92990</v>
      </c>
      <c r="M122" s="8">
        <v>38000</v>
      </c>
      <c r="N122" s="8">
        <v>0</v>
      </c>
      <c r="O122" s="128">
        <f>SUM(L122:N122)</f>
        <v>130990</v>
      </c>
      <c r="P122" s="8">
        <v>18995269</v>
      </c>
      <c r="Q122" s="8">
        <v>6948708</v>
      </c>
      <c r="R122" s="8">
        <v>23000000</v>
      </c>
      <c r="S122" s="128">
        <f>P122+Q122+R122</f>
        <v>48943977</v>
      </c>
      <c r="T122" s="136">
        <f t="shared" si="74"/>
        <v>49074967</v>
      </c>
      <c r="U122" s="35">
        <v>105817</v>
      </c>
      <c r="V122" s="35">
        <v>50000</v>
      </c>
      <c r="W122" s="35">
        <v>0</v>
      </c>
      <c r="X122" s="128">
        <f>SUM(U122:W122)</f>
        <v>155817</v>
      </c>
      <c r="Y122" s="35">
        <f>2706045+36270596</f>
        <v>38976641</v>
      </c>
      <c r="Z122" s="35">
        <f>6738081+4734024</f>
        <v>11472105</v>
      </c>
      <c r="AA122" s="35">
        <f>6701094+8979022</f>
        <v>15680116</v>
      </c>
      <c r="AB122" s="128">
        <f>Y122+Z122+AA122</f>
        <v>66128862</v>
      </c>
      <c r="AC122" s="136">
        <f>X122+AB122</f>
        <v>66284679</v>
      </c>
      <c r="AD122" s="35">
        <v>62195</v>
      </c>
      <c r="AE122" s="33">
        <v>46000</v>
      </c>
      <c r="AF122" s="33">
        <v>0</v>
      </c>
      <c r="AG122" s="128">
        <f>SUM(AD122:AF122)</f>
        <v>108195</v>
      </c>
      <c r="AH122" s="8">
        <v>62881000</v>
      </c>
      <c r="AI122" s="8">
        <v>420833</v>
      </c>
      <c r="AJ122" s="8">
        <v>18106378</v>
      </c>
      <c r="AK122" s="128">
        <f>AH122+AI122+AJ122</f>
        <v>81408211</v>
      </c>
      <c r="AL122" s="136">
        <f t="shared" si="83"/>
        <v>81516406</v>
      </c>
      <c r="AM122" s="35">
        <v>89976</v>
      </c>
      <c r="AN122" s="33">
        <v>46000</v>
      </c>
      <c r="AO122" s="33">
        <v>0</v>
      </c>
      <c r="AP122" s="128">
        <f>SUM(AM122:AO122)</f>
        <v>135976</v>
      </c>
      <c r="AQ122" s="8">
        <v>61950876</v>
      </c>
      <c r="AR122" s="8">
        <v>0</v>
      </c>
      <c r="AS122" s="8">
        <v>11638878</v>
      </c>
      <c r="AT122" s="128">
        <f>AQ122+AR122+AS122</f>
        <v>73589754</v>
      </c>
      <c r="AU122" s="136">
        <f t="shared" si="76"/>
        <v>73725730</v>
      </c>
      <c r="AV122" s="35">
        <v>99495</v>
      </c>
      <c r="AW122" s="35">
        <v>46000</v>
      </c>
      <c r="AX122" s="35">
        <v>0</v>
      </c>
      <c r="AY122" s="128">
        <f>SUM(AV122:AX122)</f>
        <v>145495</v>
      </c>
      <c r="AZ122" s="8">
        <v>43631715</v>
      </c>
      <c r="BA122" s="8">
        <v>0</v>
      </c>
      <c r="BB122" s="8">
        <v>0</v>
      </c>
      <c r="BC122" s="128">
        <f>AZ122+BA122+BB122</f>
        <v>43631715</v>
      </c>
      <c r="BD122" s="136">
        <f t="shared" si="57"/>
        <v>43777210</v>
      </c>
    </row>
    <row r="123" spans="1:56" ht="16.5" x14ac:dyDescent="0.25">
      <c r="A123" s="146" t="s">
        <v>190</v>
      </c>
      <c r="B123" s="7" t="s">
        <v>191</v>
      </c>
      <c r="C123" s="8">
        <v>9173</v>
      </c>
      <c r="D123" s="8">
        <v>17000</v>
      </c>
      <c r="E123" s="8">
        <v>10000</v>
      </c>
      <c r="F123" s="128">
        <f>SUM(C123:E123)</f>
        <v>36173</v>
      </c>
      <c r="G123" s="8">
        <v>3241240</v>
      </c>
      <c r="H123" s="8"/>
      <c r="I123" s="8"/>
      <c r="J123" s="128">
        <f>SUM(G123:I123)</f>
        <v>3241240</v>
      </c>
      <c r="K123" s="136">
        <f>F123+J123</f>
        <v>3277413</v>
      </c>
      <c r="L123" s="8">
        <v>186464</v>
      </c>
      <c r="M123" s="8">
        <v>63000</v>
      </c>
      <c r="N123" s="8">
        <v>10000</v>
      </c>
      <c r="O123" s="128">
        <f>SUM(L123:N123)</f>
        <v>259464</v>
      </c>
      <c r="P123" s="8">
        <v>3035000</v>
      </c>
      <c r="Q123" s="8">
        <v>0</v>
      </c>
      <c r="R123" s="8"/>
      <c r="S123" s="128">
        <f>SUM(P123:R123)</f>
        <v>3035000</v>
      </c>
      <c r="T123" s="136">
        <f t="shared" si="74"/>
        <v>3294464</v>
      </c>
      <c r="U123" s="40">
        <v>200898</v>
      </c>
      <c r="V123" s="40">
        <v>35000</v>
      </c>
      <c r="W123" s="40">
        <v>10000</v>
      </c>
      <c r="X123" s="128">
        <f>SUM(U123:W123)</f>
        <v>245898</v>
      </c>
      <c r="Y123" s="40">
        <v>5849250</v>
      </c>
      <c r="Z123" s="40">
        <v>0</v>
      </c>
      <c r="AA123" s="40">
        <v>0</v>
      </c>
      <c r="AB123" s="128">
        <f>SUM(Y123:AA123)</f>
        <v>5849250</v>
      </c>
      <c r="AC123" s="136">
        <f>X123+AB123</f>
        <v>6095148</v>
      </c>
      <c r="AD123" s="40">
        <v>97497</v>
      </c>
      <c r="AE123" s="33">
        <v>44500</v>
      </c>
      <c r="AF123" s="33">
        <v>10000</v>
      </c>
      <c r="AG123" s="128">
        <f>SUM(AD123:AF123)</f>
        <v>151997</v>
      </c>
      <c r="AH123" s="8">
        <v>1719000</v>
      </c>
      <c r="AI123" s="8">
        <v>0</v>
      </c>
      <c r="AJ123" s="8"/>
      <c r="AK123" s="128">
        <f>SUM(AH123:AJ123)</f>
        <v>1719000</v>
      </c>
      <c r="AL123" s="136">
        <f t="shared" si="83"/>
        <v>1870997</v>
      </c>
      <c r="AM123" s="40">
        <v>136926</v>
      </c>
      <c r="AN123" s="33">
        <v>44500</v>
      </c>
      <c r="AO123" s="33">
        <v>10000</v>
      </c>
      <c r="AP123" s="128">
        <f>SUM(AM123:AO123)</f>
        <v>191426</v>
      </c>
      <c r="AQ123" s="8">
        <v>0</v>
      </c>
      <c r="AR123" s="8">
        <v>0</v>
      </c>
      <c r="AS123" s="8"/>
      <c r="AT123" s="128">
        <f>SUM(AQ123:AS123)</f>
        <v>0</v>
      </c>
      <c r="AU123" s="136">
        <f t="shared" si="76"/>
        <v>191426</v>
      </c>
      <c r="AV123" s="40">
        <v>150437</v>
      </c>
      <c r="AW123" s="35">
        <v>44500</v>
      </c>
      <c r="AX123" s="35">
        <v>10000</v>
      </c>
      <c r="AY123" s="128">
        <f>SUM(AV123:AX123)</f>
        <v>204937</v>
      </c>
      <c r="AZ123" s="8">
        <v>0</v>
      </c>
      <c r="BA123" s="8">
        <v>0</v>
      </c>
      <c r="BB123" s="8"/>
      <c r="BC123" s="128">
        <f>SUM(AZ123:BB123)</f>
        <v>0</v>
      </c>
      <c r="BD123" s="136">
        <f t="shared" si="57"/>
        <v>204937</v>
      </c>
    </row>
    <row r="124" spans="1:56" ht="16.5" x14ac:dyDescent="0.25">
      <c r="A124" s="96" t="s">
        <v>236</v>
      </c>
      <c r="B124" s="97"/>
      <c r="C124" s="5">
        <v>590700</v>
      </c>
      <c r="D124" s="5">
        <v>911710</v>
      </c>
      <c r="E124" s="5">
        <v>3522540</v>
      </c>
      <c r="F124" s="127">
        <v>5024950</v>
      </c>
      <c r="G124" s="5">
        <v>9505000</v>
      </c>
      <c r="H124" s="5">
        <v>0</v>
      </c>
      <c r="I124" s="5">
        <v>15791494</v>
      </c>
      <c r="J124" s="127">
        <v>25296494</v>
      </c>
      <c r="K124" s="136">
        <v>30321444</v>
      </c>
      <c r="L124" s="5">
        <f t="shared" ref="L124:S124" si="84">L125+L127+L126</f>
        <v>687243</v>
      </c>
      <c r="M124" s="5">
        <f t="shared" si="84"/>
        <v>2793571</v>
      </c>
      <c r="N124" s="5">
        <f t="shared" si="84"/>
        <v>2586264</v>
      </c>
      <c r="O124" s="127">
        <f t="shared" si="84"/>
        <v>6067078</v>
      </c>
      <c r="P124" s="5">
        <f t="shared" si="84"/>
        <v>25449475</v>
      </c>
      <c r="Q124" s="5">
        <f t="shared" si="84"/>
        <v>12214429</v>
      </c>
      <c r="R124" s="5">
        <f t="shared" si="84"/>
        <v>0</v>
      </c>
      <c r="S124" s="127">
        <f t="shared" si="84"/>
        <v>37663904</v>
      </c>
      <c r="T124" s="136">
        <f t="shared" si="74"/>
        <v>43730982</v>
      </c>
      <c r="U124" s="5">
        <v>700301</v>
      </c>
      <c r="V124" s="5">
        <v>2366140</v>
      </c>
      <c r="W124" s="5">
        <v>2913695</v>
      </c>
      <c r="X124" s="127">
        <v>5980136</v>
      </c>
      <c r="Y124" s="5">
        <v>28939111</v>
      </c>
      <c r="Z124" s="5">
        <v>1967871</v>
      </c>
      <c r="AA124" s="5">
        <v>11712748</v>
      </c>
      <c r="AB124" s="127">
        <v>42619730</v>
      </c>
      <c r="AC124" s="136">
        <v>48599866</v>
      </c>
      <c r="AD124" s="5">
        <f>AD125+AD126+AD127</f>
        <v>1432913</v>
      </c>
      <c r="AE124" s="5">
        <f>AE125+AE126+AE127</f>
        <v>3070786</v>
      </c>
      <c r="AF124" s="5">
        <f>AF125+AF126+AF127+AF128</f>
        <v>2675000</v>
      </c>
      <c r="AG124" s="127">
        <f>AG125+AG126+AG127+AG128</f>
        <v>7178699</v>
      </c>
      <c r="AH124" s="5">
        <f>AH125+AH126+AH127</f>
        <v>27599913</v>
      </c>
      <c r="AI124" s="5">
        <f>AI125+AI126+AI127</f>
        <v>231042</v>
      </c>
      <c r="AJ124" s="5">
        <f>AJ125+AJ126+AJ127</f>
        <v>13399739</v>
      </c>
      <c r="AK124" s="127">
        <f>AK125+AK126+AK127</f>
        <v>41230694</v>
      </c>
      <c r="AL124" s="136">
        <f t="shared" si="83"/>
        <v>48409393</v>
      </c>
      <c r="AM124" s="5">
        <f t="shared" ref="AM124:BD124" si="85">AM125+AM126+AM127</f>
        <v>1464590</v>
      </c>
      <c r="AN124" s="5">
        <f t="shared" si="85"/>
        <v>2554341</v>
      </c>
      <c r="AO124" s="5">
        <f t="shared" si="85"/>
        <v>1405000</v>
      </c>
      <c r="AP124" s="127">
        <f t="shared" si="85"/>
        <v>5423931</v>
      </c>
      <c r="AQ124" s="5">
        <f t="shared" si="85"/>
        <v>20177293</v>
      </c>
      <c r="AR124" s="5">
        <f t="shared" si="85"/>
        <v>224198</v>
      </c>
      <c r="AS124" s="5">
        <f t="shared" si="85"/>
        <v>13289438</v>
      </c>
      <c r="AT124" s="127">
        <f t="shared" si="85"/>
        <v>33690929</v>
      </c>
      <c r="AU124" s="136">
        <f t="shared" si="85"/>
        <v>39114860</v>
      </c>
      <c r="AV124" s="5">
        <f t="shared" si="85"/>
        <v>1528045</v>
      </c>
      <c r="AW124" s="5">
        <f t="shared" si="85"/>
        <v>2554341</v>
      </c>
      <c r="AX124" s="5">
        <f t="shared" si="85"/>
        <v>1405000</v>
      </c>
      <c r="AY124" s="127">
        <f t="shared" si="85"/>
        <v>5487386</v>
      </c>
      <c r="AZ124" s="5">
        <f t="shared" si="85"/>
        <v>35681054</v>
      </c>
      <c r="BA124" s="5">
        <f t="shared" si="85"/>
        <v>1444462</v>
      </c>
      <c r="BB124" s="5">
        <f t="shared" si="85"/>
        <v>14216608</v>
      </c>
      <c r="BC124" s="127">
        <f t="shared" si="85"/>
        <v>51342124</v>
      </c>
      <c r="BD124" s="136">
        <f t="shared" si="85"/>
        <v>56829510</v>
      </c>
    </row>
    <row r="125" spans="1:56" ht="16.5" x14ac:dyDescent="0.25">
      <c r="A125" s="146" t="s">
        <v>165</v>
      </c>
      <c r="B125" s="7" t="s">
        <v>229</v>
      </c>
      <c r="C125" s="7">
        <v>21473</v>
      </c>
      <c r="D125" s="8">
        <v>106776</v>
      </c>
      <c r="E125" s="8">
        <f>1000000+500000</f>
        <v>1500000</v>
      </c>
      <c r="F125" s="127">
        <f>C125+D125+E125</f>
        <v>1628249</v>
      </c>
      <c r="G125" s="8"/>
      <c r="H125" s="7"/>
      <c r="I125" s="8"/>
      <c r="J125" s="127">
        <f>G125+H125+I125</f>
        <v>0</v>
      </c>
      <c r="K125" s="136">
        <f>F125+J125</f>
        <v>1628249</v>
      </c>
      <c r="L125" s="81">
        <v>279754</v>
      </c>
      <c r="M125" s="8">
        <v>2062621</v>
      </c>
      <c r="N125" s="8">
        <v>484264</v>
      </c>
      <c r="O125" s="127">
        <f>L125+M125+N125</f>
        <v>2826639</v>
      </c>
      <c r="P125" s="8">
        <v>550000</v>
      </c>
      <c r="Q125" s="8">
        <v>0</v>
      </c>
      <c r="R125" s="8"/>
      <c r="S125" s="127">
        <f>P125+Q125+R125</f>
        <v>550000</v>
      </c>
      <c r="T125" s="136">
        <f t="shared" si="74"/>
        <v>3376639</v>
      </c>
      <c r="U125" s="36">
        <v>270438</v>
      </c>
      <c r="V125" s="36">
        <v>1580650</v>
      </c>
      <c r="W125" s="36">
        <v>52000</v>
      </c>
      <c r="X125" s="127">
        <f>SUM(U125:W125)</f>
        <v>1903088</v>
      </c>
      <c r="Y125" s="36">
        <v>250000</v>
      </c>
      <c r="Z125" s="36">
        <v>0</v>
      </c>
      <c r="AA125" s="36">
        <v>0</v>
      </c>
      <c r="AB125" s="127">
        <f>Y125+Z125+AA125</f>
        <v>250000</v>
      </c>
      <c r="AC125" s="136">
        <f>X125+AA125</f>
        <v>1903088</v>
      </c>
      <c r="AD125" s="36">
        <v>692561</v>
      </c>
      <c r="AE125" s="33">
        <v>2096026</v>
      </c>
      <c r="AF125" s="33">
        <v>0</v>
      </c>
      <c r="AG125" s="127">
        <f>AD125+AE125+AF125</f>
        <v>2788587</v>
      </c>
      <c r="AH125" s="33">
        <v>250000</v>
      </c>
      <c r="AI125" s="8">
        <v>0</v>
      </c>
      <c r="AJ125" s="8"/>
      <c r="AK125" s="127">
        <f>AH125+AI125+AJ125</f>
        <v>250000</v>
      </c>
      <c r="AL125" s="136">
        <f t="shared" si="83"/>
        <v>3038587</v>
      </c>
      <c r="AM125" s="36">
        <v>707383</v>
      </c>
      <c r="AN125" s="21">
        <v>1743516</v>
      </c>
      <c r="AO125" s="21">
        <v>0</v>
      </c>
      <c r="AP125" s="127">
        <f>AM125+AN125+AO125</f>
        <v>2450899</v>
      </c>
      <c r="AQ125" s="8">
        <v>250000</v>
      </c>
      <c r="AR125" s="8">
        <v>0</v>
      </c>
      <c r="AS125" s="8"/>
      <c r="AT125" s="127">
        <f>AQ125+AR125+AS125</f>
        <v>250000</v>
      </c>
      <c r="AU125" s="136">
        <f>AP125+AT125</f>
        <v>2700899</v>
      </c>
      <c r="AV125" s="8">
        <v>737075</v>
      </c>
      <c r="AW125" s="8">
        <v>1743516</v>
      </c>
      <c r="AX125" s="8">
        <v>0</v>
      </c>
      <c r="AY125" s="127">
        <f>AV125+AW125+AX125</f>
        <v>2480591</v>
      </c>
      <c r="AZ125" s="8">
        <v>250000</v>
      </c>
      <c r="BA125" s="8">
        <v>0</v>
      </c>
      <c r="BB125" s="8"/>
      <c r="BC125" s="127">
        <f>AZ125+BA125+BB125</f>
        <v>250000</v>
      </c>
      <c r="BD125" s="136">
        <f>AY125+BC125</f>
        <v>2730591</v>
      </c>
    </row>
    <row r="126" spans="1:56" ht="16.5" x14ac:dyDescent="0.25">
      <c r="A126" s="145" t="s">
        <v>230</v>
      </c>
      <c r="B126" s="7" t="s">
        <v>157</v>
      </c>
      <c r="C126" s="7">
        <f>82931+20577</f>
        <v>103508</v>
      </c>
      <c r="D126" s="8">
        <v>617084</v>
      </c>
      <c r="E126" s="8">
        <v>1522540</v>
      </c>
      <c r="F126" s="127">
        <f>C126+D126+E126</f>
        <v>2243132</v>
      </c>
      <c r="G126" s="8">
        <v>6342000</v>
      </c>
      <c r="H126" s="7">
        <v>0</v>
      </c>
      <c r="I126" s="8">
        <v>15791494</v>
      </c>
      <c r="J126" s="127">
        <f>G126+H126+I126</f>
        <v>22133494</v>
      </c>
      <c r="K126" s="136">
        <f>F126+J126</f>
        <v>24376626</v>
      </c>
      <c r="L126" s="81">
        <v>65625</v>
      </c>
      <c r="M126" s="8">
        <v>98000</v>
      </c>
      <c r="N126" s="8">
        <v>200000</v>
      </c>
      <c r="O126" s="127">
        <f>L126+M126+N126</f>
        <v>363625</v>
      </c>
      <c r="P126" s="8">
        <v>19747346</v>
      </c>
      <c r="Q126" s="8">
        <v>12214429</v>
      </c>
      <c r="R126" s="8">
        <v>0</v>
      </c>
      <c r="S126" s="127">
        <f>P126+Q126+R126</f>
        <v>31961775</v>
      </c>
      <c r="T126" s="136">
        <f t="shared" si="74"/>
        <v>32325400</v>
      </c>
      <c r="U126" s="37">
        <v>67914</v>
      </c>
      <c r="V126" s="37">
        <v>92280</v>
      </c>
      <c r="W126" s="37">
        <v>100000</v>
      </c>
      <c r="X126" s="127">
        <f>SUM(U126:W126)</f>
        <v>260194</v>
      </c>
      <c r="Y126" s="37">
        <f>528000+22093086</f>
        <v>22621086</v>
      </c>
      <c r="Z126" s="37">
        <v>1967871</v>
      </c>
      <c r="AA126" s="37">
        <v>11712748</v>
      </c>
      <c r="AB126" s="127">
        <f>Y126+Z126+AA126</f>
        <v>36301705</v>
      </c>
      <c r="AC126" s="136">
        <f>X126+AA126</f>
        <v>11972942</v>
      </c>
      <c r="AD126" s="37">
        <v>85891</v>
      </c>
      <c r="AE126" s="33">
        <v>250000</v>
      </c>
      <c r="AF126" s="33">
        <v>0</v>
      </c>
      <c r="AG126" s="127">
        <f>AD126+AE126+AF126</f>
        <v>335891</v>
      </c>
      <c r="AH126" s="33">
        <v>25139913</v>
      </c>
      <c r="AI126" s="8">
        <v>231042</v>
      </c>
      <c r="AJ126" s="8">
        <v>13399739</v>
      </c>
      <c r="AK126" s="127">
        <f>AH126+AI126+AJ126</f>
        <v>38770694</v>
      </c>
      <c r="AL126" s="136">
        <f t="shared" si="83"/>
        <v>39106585</v>
      </c>
      <c r="AM126" s="37">
        <v>87835</v>
      </c>
      <c r="AN126" s="21">
        <v>207955</v>
      </c>
      <c r="AO126" s="21">
        <v>0</v>
      </c>
      <c r="AP126" s="127">
        <f>AM126+AN126+AO126</f>
        <v>295790</v>
      </c>
      <c r="AQ126" s="8">
        <v>18727293</v>
      </c>
      <c r="AR126" s="8">
        <v>224198</v>
      </c>
      <c r="AS126" s="8">
        <v>13289438</v>
      </c>
      <c r="AT126" s="127">
        <f>AQ126+AR126+AS126</f>
        <v>32240929</v>
      </c>
      <c r="AU126" s="136">
        <f>AP126+AT126</f>
        <v>32536719</v>
      </c>
      <c r="AV126" s="8">
        <v>91729</v>
      </c>
      <c r="AW126" s="8">
        <v>207955</v>
      </c>
      <c r="AX126" s="8">
        <v>0</v>
      </c>
      <c r="AY126" s="127">
        <f>AV126+AW126+AX126</f>
        <v>299684</v>
      </c>
      <c r="AZ126" s="8">
        <v>34231054</v>
      </c>
      <c r="BA126" s="8">
        <v>1444462</v>
      </c>
      <c r="BB126" s="8">
        <v>14216608</v>
      </c>
      <c r="BC126" s="127">
        <f>AZ126+BA126+BB126</f>
        <v>49892124</v>
      </c>
      <c r="BD126" s="136">
        <f>AY126+BC126</f>
        <v>50191808</v>
      </c>
    </row>
    <row r="127" spans="1:56" ht="16.5" x14ac:dyDescent="0.25">
      <c r="A127" s="150" t="s">
        <v>161</v>
      </c>
      <c r="B127" s="7" t="s">
        <v>231</v>
      </c>
      <c r="C127" s="7">
        <v>465719</v>
      </c>
      <c r="D127" s="8">
        <f>187850</f>
        <v>187850</v>
      </c>
      <c r="E127" s="8">
        <v>500000</v>
      </c>
      <c r="F127" s="127">
        <f>C127+D127+E127</f>
        <v>1153569</v>
      </c>
      <c r="G127" s="8">
        <v>3163000</v>
      </c>
      <c r="H127" s="7"/>
      <c r="I127" s="8"/>
      <c r="J127" s="127">
        <f>G127+H127+I127</f>
        <v>3163000</v>
      </c>
      <c r="K127" s="139"/>
      <c r="L127" s="81">
        <v>341864</v>
      </c>
      <c r="M127" s="8">
        <v>632950</v>
      </c>
      <c r="N127" s="8">
        <v>1902000</v>
      </c>
      <c r="O127" s="127">
        <f>L127+M127+N127</f>
        <v>2876814</v>
      </c>
      <c r="P127" s="8">
        <v>5152129</v>
      </c>
      <c r="Q127" s="8">
        <v>0</v>
      </c>
      <c r="R127" s="8">
        <v>0</v>
      </c>
      <c r="S127" s="127">
        <f>P127+Q127+R127</f>
        <v>5152129</v>
      </c>
      <c r="T127" s="139">
        <f t="shared" si="74"/>
        <v>8028943</v>
      </c>
      <c r="U127" s="38">
        <v>361949</v>
      </c>
      <c r="V127" s="38">
        <v>693210</v>
      </c>
      <c r="W127" s="38">
        <v>2761695</v>
      </c>
      <c r="X127" s="127">
        <f>SUM(U127:W127)</f>
        <v>3816854</v>
      </c>
      <c r="Y127" s="38">
        <f>1970000+4098025</f>
        <v>6068025</v>
      </c>
      <c r="Z127" s="38">
        <v>0</v>
      </c>
      <c r="AA127" s="38">
        <v>0</v>
      </c>
      <c r="AB127" s="127">
        <f>Y127+Z127+AA127</f>
        <v>6068025</v>
      </c>
      <c r="AC127" s="139">
        <f>X127+AA127</f>
        <v>3816854</v>
      </c>
      <c r="AD127" s="84">
        <v>654461</v>
      </c>
      <c r="AE127" s="88">
        <v>724760</v>
      </c>
      <c r="AF127" s="88">
        <v>1475000</v>
      </c>
      <c r="AG127" s="127">
        <f>AD127+AE127+AF127</f>
        <v>2854221</v>
      </c>
      <c r="AH127" s="88">
        <v>2210000</v>
      </c>
      <c r="AI127" s="89">
        <v>0</v>
      </c>
      <c r="AJ127" s="89">
        <v>0</v>
      </c>
      <c r="AK127" s="127">
        <f>AH127+AI127+AJ127</f>
        <v>2210000</v>
      </c>
      <c r="AL127" s="139">
        <f t="shared" si="83"/>
        <v>5064221</v>
      </c>
      <c r="AM127" s="84">
        <v>669372</v>
      </c>
      <c r="AN127" s="21">
        <v>602870</v>
      </c>
      <c r="AO127" s="21">
        <v>1405000</v>
      </c>
      <c r="AP127" s="127">
        <f>AM127+AN127+AO127</f>
        <v>2677242</v>
      </c>
      <c r="AQ127" s="8">
        <v>1200000</v>
      </c>
      <c r="AR127" s="8">
        <v>0</v>
      </c>
      <c r="AS127" s="8">
        <v>0</v>
      </c>
      <c r="AT127" s="127">
        <f>AQ127+AR127+AS127</f>
        <v>1200000</v>
      </c>
      <c r="AU127" s="139">
        <f>AP127+AT127</f>
        <v>3877242</v>
      </c>
      <c r="AV127" s="8">
        <v>699241</v>
      </c>
      <c r="AW127" s="8">
        <v>602870</v>
      </c>
      <c r="AX127" s="8">
        <v>1405000</v>
      </c>
      <c r="AY127" s="127">
        <f>AV127+AW127+AX127</f>
        <v>2707111</v>
      </c>
      <c r="AZ127" s="8">
        <v>1200000</v>
      </c>
      <c r="BA127" s="89">
        <v>0</v>
      </c>
      <c r="BB127" s="89">
        <v>0</v>
      </c>
      <c r="BC127" s="127">
        <f>AZ127+BA127+BB127</f>
        <v>1200000</v>
      </c>
      <c r="BD127" s="139">
        <f>AY127+BC127</f>
        <v>3907111</v>
      </c>
    </row>
    <row r="128" spans="1:56" ht="16.5" x14ac:dyDescent="0.25">
      <c r="A128" s="151">
        <v>112</v>
      </c>
      <c r="B128" s="62" t="s">
        <v>296</v>
      </c>
      <c r="C128" s="62"/>
      <c r="D128" s="85"/>
      <c r="E128" s="85"/>
      <c r="F128" s="132"/>
      <c r="G128" s="85"/>
      <c r="H128" s="62"/>
      <c r="I128" s="85"/>
      <c r="J128" s="132"/>
      <c r="K128" s="140"/>
      <c r="L128" s="86"/>
      <c r="M128" s="85"/>
      <c r="N128" s="85"/>
      <c r="O128" s="132"/>
      <c r="P128" s="85"/>
      <c r="Q128" s="85"/>
      <c r="R128" s="85"/>
      <c r="S128" s="132"/>
      <c r="T128" s="140"/>
      <c r="U128" s="87"/>
      <c r="V128" s="87"/>
      <c r="W128" s="87"/>
      <c r="X128" s="132"/>
      <c r="Y128" s="87"/>
      <c r="Z128" s="87"/>
      <c r="AA128" s="87"/>
      <c r="AB128" s="132"/>
      <c r="AC128" s="140"/>
      <c r="AD128" s="90">
        <v>0</v>
      </c>
      <c r="AE128" s="43">
        <v>0</v>
      </c>
      <c r="AF128" s="43">
        <v>1200000</v>
      </c>
      <c r="AG128" s="132">
        <f>AD128+AE128+AF128</f>
        <v>1200000</v>
      </c>
      <c r="AH128" s="43">
        <v>0</v>
      </c>
      <c r="AI128" s="91">
        <v>0</v>
      </c>
      <c r="AJ128" s="91">
        <v>0</v>
      </c>
      <c r="AK128" s="132">
        <v>0</v>
      </c>
      <c r="AL128" s="140">
        <f t="shared" si="83"/>
        <v>1200000</v>
      </c>
      <c r="AM128" s="90"/>
      <c r="AN128" s="92"/>
      <c r="AO128" s="92"/>
      <c r="AP128" s="132"/>
      <c r="AQ128" s="91"/>
      <c r="AR128" s="91"/>
      <c r="AS128" s="91"/>
      <c r="AT128" s="132"/>
      <c r="AU128" s="140"/>
      <c r="AV128" s="90"/>
      <c r="AW128" s="92"/>
      <c r="AX128" s="92"/>
      <c r="AY128" s="132"/>
      <c r="AZ128" s="91"/>
      <c r="BA128" s="91"/>
      <c r="BB128" s="91"/>
      <c r="BC128" s="132"/>
      <c r="BD128" s="140"/>
    </row>
    <row r="129" spans="1:56" ht="16.5" x14ac:dyDescent="0.25">
      <c r="A129" s="14"/>
      <c r="B129" s="14"/>
      <c r="C129" s="14"/>
      <c r="D129" s="14"/>
      <c r="E129" s="14"/>
      <c r="F129" s="133"/>
      <c r="G129" s="14"/>
      <c r="H129" s="14"/>
      <c r="I129" s="14"/>
      <c r="J129" s="133"/>
      <c r="K129" s="141">
        <f>F129+J129</f>
        <v>0</v>
      </c>
      <c r="L129" s="14"/>
      <c r="M129" s="14"/>
      <c r="N129" s="14"/>
      <c r="O129" s="133"/>
      <c r="P129" s="14"/>
      <c r="Q129" s="14"/>
      <c r="R129" s="14"/>
      <c r="S129" s="133"/>
      <c r="T129" s="141"/>
      <c r="U129" s="14"/>
      <c r="V129" s="14"/>
      <c r="W129" s="14"/>
      <c r="X129" s="133"/>
      <c r="Y129" s="14"/>
      <c r="Z129" s="14"/>
      <c r="AA129" s="14"/>
      <c r="AB129" s="133">
        <f>Y129+Z129+AA129</f>
        <v>0</v>
      </c>
      <c r="AC129" s="141">
        <f>X129+AB129</f>
        <v>0</v>
      </c>
      <c r="AD129" s="14"/>
      <c r="AE129" s="14"/>
      <c r="AF129" s="14"/>
      <c r="AG129" s="133"/>
      <c r="AH129" s="14"/>
      <c r="AI129" s="14"/>
      <c r="AJ129" s="14"/>
      <c r="AK129" s="133">
        <f>AH129+AI129+AJ129</f>
        <v>0</v>
      </c>
      <c r="AL129" s="141">
        <f t="shared" si="83"/>
        <v>0</v>
      </c>
      <c r="AM129" s="14"/>
      <c r="AN129" s="14"/>
      <c r="AO129" s="14"/>
      <c r="AP129" s="133"/>
      <c r="AQ129" s="14"/>
      <c r="AR129" s="14"/>
      <c r="AS129" s="14"/>
      <c r="AT129" s="133">
        <f>AQ129+AR129+AS129</f>
        <v>0</v>
      </c>
      <c r="AU129" s="141">
        <f>AP129+AT129</f>
        <v>0</v>
      </c>
      <c r="AV129" s="14"/>
      <c r="AW129" s="14"/>
      <c r="AX129" s="14"/>
      <c r="AY129" s="133"/>
      <c r="AZ129" s="14"/>
      <c r="BA129" s="14"/>
      <c r="BB129" s="14"/>
      <c r="BC129" s="133">
        <f t="shared" si="61"/>
        <v>0</v>
      </c>
      <c r="BD129" s="141">
        <f t="shared" si="57"/>
        <v>0</v>
      </c>
    </row>
    <row r="130" spans="1:56" ht="16.5" x14ac:dyDescent="0.25">
      <c r="A130" s="99" t="s">
        <v>192</v>
      </c>
      <c r="B130" s="99"/>
      <c r="C130" s="15">
        <f t="shared" ref="C130:J130" si="86">C7+C11+C17+C22+C31+C37+C42+C47+C51+C55+C60+C65+C70+C79+C85+C90+C93+C99+C105+C111+C115+C120+C124+C76</f>
        <v>321893920</v>
      </c>
      <c r="D130" s="15">
        <f t="shared" si="86"/>
        <v>84637524</v>
      </c>
      <c r="E130" s="15">
        <f t="shared" si="86"/>
        <v>121138330</v>
      </c>
      <c r="F130" s="134">
        <f t="shared" si="86"/>
        <v>527669774</v>
      </c>
      <c r="G130" s="15">
        <f t="shared" si="86"/>
        <v>314506000</v>
      </c>
      <c r="H130" s="15">
        <f t="shared" si="86"/>
        <v>67900000</v>
      </c>
      <c r="I130" s="15">
        <f t="shared" si="86"/>
        <v>158980690</v>
      </c>
      <c r="J130" s="134">
        <f t="shared" si="86"/>
        <v>541386690</v>
      </c>
      <c r="K130" s="140">
        <f>F130+J130</f>
        <v>1069056464</v>
      </c>
      <c r="L130" s="15">
        <f t="shared" ref="L130:S130" si="87">L7+L11+L17+L22+L31+L37+L42+L47+L51+L55+L60+L65+L70+L76+L79+L85+L90+L93+L99+L105+L111+L115+L120+L124</f>
        <v>328988391</v>
      </c>
      <c r="M130" s="15">
        <f t="shared" si="87"/>
        <v>121300472</v>
      </c>
      <c r="N130" s="15">
        <f t="shared" si="87"/>
        <v>116569343</v>
      </c>
      <c r="O130" s="134">
        <f t="shared" si="87"/>
        <v>566858206</v>
      </c>
      <c r="P130" s="15">
        <f t="shared" si="87"/>
        <v>358656612</v>
      </c>
      <c r="Q130" s="15">
        <f t="shared" si="87"/>
        <v>76065918</v>
      </c>
      <c r="R130" s="15">
        <f t="shared" si="87"/>
        <v>141224082</v>
      </c>
      <c r="S130" s="134">
        <f t="shared" si="87"/>
        <v>575946612</v>
      </c>
      <c r="T130" s="140">
        <f>O130+S130</f>
        <v>1142804818</v>
      </c>
      <c r="U130" s="15">
        <f t="shared" ref="U130:AC130" si="88">U7+U11+U17+U22+U31+U37+U42+U47+U51+U55+U60+U65+U70+U79+U85+U90+U93+U99+U105+U111+U115+U120+U124+U76</f>
        <v>347509520.02399999</v>
      </c>
      <c r="V130" s="15">
        <f t="shared" si="88"/>
        <v>122479573</v>
      </c>
      <c r="W130" s="15">
        <f t="shared" si="88"/>
        <v>134143354</v>
      </c>
      <c r="X130" s="134">
        <f t="shared" si="88"/>
        <v>604132447.02399993</v>
      </c>
      <c r="Y130" s="15">
        <f t="shared" si="88"/>
        <v>512389000</v>
      </c>
      <c r="Z130" s="15">
        <f t="shared" si="88"/>
        <v>72600000</v>
      </c>
      <c r="AA130" s="15">
        <f t="shared" si="88"/>
        <v>217745960</v>
      </c>
      <c r="AB130" s="134">
        <f t="shared" si="88"/>
        <v>802734960</v>
      </c>
      <c r="AC130" s="140">
        <f t="shared" si="88"/>
        <v>1406867407.0239999</v>
      </c>
      <c r="AD130" s="15">
        <f t="shared" ref="AD130:AU130" si="89">AD7+AD11+AD17+AD22+AD31+AD37+AD42+AD47+AD51+AD55+AD60+AD65+AD70+AD79+AD85+AD90+AD93+AD99+AD105+AD111+AD115+AD120+AD124</f>
        <v>436960293</v>
      </c>
      <c r="AE130" s="15">
        <f t="shared" si="89"/>
        <v>155169438</v>
      </c>
      <c r="AF130" s="15">
        <f t="shared" si="89"/>
        <v>259763994</v>
      </c>
      <c r="AG130" s="134">
        <f t="shared" si="89"/>
        <v>851893725</v>
      </c>
      <c r="AH130" s="15">
        <f t="shared" si="89"/>
        <v>635025608</v>
      </c>
      <c r="AI130" s="15">
        <f t="shared" si="89"/>
        <v>81700000</v>
      </c>
      <c r="AJ130" s="15">
        <f t="shared" si="89"/>
        <v>244750000</v>
      </c>
      <c r="AK130" s="134">
        <f t="shared" si="89"/>
        <v>961475608</v>
      </c>
      <c r="AL130" s="140">
        <f t="shared" si="89"/>
        <v>1813369333</v>
      </c>
      <c r="AM130" s="15">
        <f t="shared" si="89"/>
        <v>462613597</v>
      </c>
      <c r="AN130" s="15">
        <f t="shared" si="89"/>
        <v>159073201</v>
      </c>
      <c r="AO130" s="15">
        <f t="shared" si="89"/>
        <v>257791076</v>
      </c>
      <c r="AP130" s="134">
        <f t="shared" si="89"/>
        <v>873104597</v>
      </c>
      <c r="AQ130" s="15">
        <f t="shared" si="89"/>
        <v>552642330</v>
      </c>
      <c r="AR130" s="15">
        <f t="shared" si="89"/>
        <v>81500000</v>
      </c>
      <c r="AS130" s="15">
        <f t="shared" si="89"/>
        <v>266300002</v>
      </c>
      <c r="AT130" s="134">
        <f t="shared" si="89"/>
        <v>900442332</v>
      </c>
      <c r="AU130" s="140">
        <f t="shared" si="89"/>
        <v>1773546929</v>
      </c>
      <c r="AV130" s="15">
        <f t="shared" ref="AV130:BD130" si="90">AV7+AV11+AV17+AV22+AV31+AV37+AV42+AV47+AV51+AV55+AV60+AV65+AV70+AV79+AV85+AV90+AV93+AV99+AV105+AV111+AV115+AV120+AV124</f>
        <v>494553291</v>
      </c>
      <c r="AW130" s="15">
        <f t="shared" si="90"/>
        <v>157519236</v>
      </c>
      <c r="AX130" s="15">
        <f t="shared" si="90"/>
        <v>262765135</v>
      </c>
      <c r="AY130" s="134">
        <f t="shared" si="90"/>
        <v>914837662</v>
      </c>
      <c r="AZ130" s="15">
        <f t="shared" si="90"/>
        <v>632845722</v>
      </c>
      <c r="BA130" s="15">
        <f t="shared" si="90"/>
        <v>88100000</v>
      </c>
      <c r="BB130" s="15">
        <f t="shared" si="90"/>
        <v>278937502</v>
      </c>
      <c r="BC130" s="134">
        <f t="shared" si="90"/>
        <v>997033224</v>
      </c>
      <c r="BD130" s="140">
        <f t="shared" si="90"/>
        <v>1914720886</v>
      </c>
    </row>
    <row r="131" spans="1:56" ht="16.5" x14ac:dyDescent="0.25">
      <c r="A131" s="144"/>
      <c r="B131" s="16"/>
      <c r="C131" s="16"/>
      <c r="D131" s="16"/>
      <c r="E131" s="16"/>
      <c r="F131" s="135"/>
      <c r="G131" s="16"/>
      <c r="H131" s="16"/>
      <c r="I131" s="16"/>
      <c r="J131" s="135"/>
      <c r="K131" s="136">
        <f>F131+J131</f>
        <v>0</v>
      </c>
      <c r="L131" s="16"/>
      <c r="M131" s="16"/>
      <c r="N131" s="16"/>
      <c r="O131" s="135"/>
      <c r="P131" s="16"/>
      <c r="Q131" s="16"/>
      <c r="R131" s="16"/>
      <c r="S131" s="135"/>
      <c r="T131" s="136">
        <f>O131+S131</f>
        <v>0</v>
      </c>
      <c r="U131" s="16"/>
      <c r="V131" s="16"/>
      <c r="W131" s="16"/>
      <c r="X131" s="135"/>
      <c r="Y131" s="16"/>
      <c r="Z131" s="16"/>
      <c r="AA131" s="16"/>
      <c r="AB131" s="135">
        <f>Y131+Z131+AA131</f>
        <v>0</v>
      </c>
      <c r="AC131" s="136">
        <f>X131+AB131</f>
        <v>0</v>
      </c>
      <c r="AD131" s="16"/>
      <c r="AE131" s="16"/>
      <c r="AF131" s="16"/>
      <c r="AG131" s="135"/>
      <c r="AH131" s="16"/>
      <c r="AI131" s="16"/>
      <c r="AJ131" s="16"/>
      <c r="AK131" s="135">
        <f>AH131+AI131+AJ131</f>
        <v>0</v>
      </c>
      <c r="AL131" s="136">
        <f>AG131+AK131</f>
        <v>0</v>
      </c>
      <c r="AM131" s="16"/>
      <c r="AN131" s="16"/>
      <c r="AO131" s="16"/>
      <c r="AP131" s="135"/>
      <c r="AQ131" s="16"/>
      <c r="AR131" s="16"/>
      <c r="AS131" s="16"/>
      <c r="AT131" s="135">
        <f>AQ131+AR131+AS131</f>
        <v>0</v>
      </c>
      <c r="AU131" s="136">
        <f>AP131+AT131</f>
        <v>0</v>
      </c>
      <c r="AV131" s="16"/>
      <c r="AW131" s="16"/>
      <c r="AX131" s="16"/>
      <c r="AY131" s="135"/>
      <c r="AZ131" s="16"/>
      <c r="BA131" s="16"/>
      <c r="BB131" s="16"/>
      <c r="BC131" s="135">
        <f t="shared" si="61"/>
        <v>0</v>
      </c>
      <c r="BD131" s="136">
        <f t="shared" si="57"/>
        <v>0</v>
      </c>
    </row>
    <row r="132" spans="1:56" ht="16.5" x14ac:dyDescent="0.25">
      <c r="A132" s="100" t="s">
        <v>193</v>
      </c>
      <c r="B132" s="101"/>
      <c r="C132" s="17">
        <v>72056080</v>
      </c>
      <c r="D132" s="17">
        <v>104192476</v>
      </c>
      <c r="E132" s="17">
        <v>233505670</v>
      </c>
      <c r="F132" s="134">
        <v>599054226</v>
      </c>
      <c r="G132" s="17">
        <v>10300000</v>
      </c>
      <c r="H132" s="17">
        <v>8078310</v>
      </c>
      <c r="I132" s="17">
        <v>12000000</v>
      </c>
      <c r="J132" s="134">
        <v>30378310</v>
      </c>
      <c r="K132" s="140">
        <v>629432536</v>
      </c>
      <c r="L132" s="17">
        <f>SUM(L133:L147)</f>
        <v>81938609</v>
      </c>
      <c r="M132" s="17">
        <f t="shared" ref="M132:S132" si="91">SUM(M133:M147)</f>
        <v>47999528</v>
      </c>
      <c r="N132" s="17">
        <f t="shared" si="91"/>
        <v>250830657</v>
      </c>
      <c r="O132" s="134">
        <f>SUM(O133:O148)</f>
        <v>601568794</v>
      </c>
      <c r="P132" s="17">
        <f t="shared" si="91"/>
        <v>20145518</v>
      </c>
      <c r="Q132" s="17">
        <f t="shared" si="91"/>
        <v>3750000</v>
      </c>
      <c r="R132" s="17">
        <f t="shared" si="91"/>
        <v>11960000</v>
      </c>
      <c r="S132" s="134">
        <f t="shared" si="91"/>
        <v>35855518</v>
      </c>
      <c r="T132" s="140">
        <v>708798973</v>
      </c>
      <c r="U132" s="17">
        <v>78590480</v>
      </c>
      <c r="V132" s="17">
        <v>66665427</v>
      </c>
      <c r="W132" s="17">
        <v>246739646</v>
      </c>
      <c r="X132" s="134">
        <v>596925768</v>
      </c>
      <c r="Y132" s="17">
        <v>8111000</v>
      </c>
      <c r="Z132" s="17">
        <v>2850000</v>
      </c>
      <c r="AA132" s="17">
        <v>13000000</v>
      </c>
      <c r="AB132" s="134">
        <v>23961000</v>
      </c>
      <c r="AC132" s="140">
        <v>620886767</v>
      </c>
      <c r="AD132" s="17">
        <f>AD133+AD134+AD135+AD136+AD137+AD138+AD139+AD140+AD141+AD142+AD143+AD144+AD145+AD146+0</f>
        <v>86418707</v>
      </c>
      <c r="AE132" s="17">
        <f t="shared" ref="AE132:BD132" si="92">AE133+AE134+AE135+AE136+AE137+AE138+AE139+AE140+AE141+AE142+AE143+AE144+AE145+AE146+0</f>
        <v>39280562</v>
      </c>
      <c r="AF132" s="17">
        <f t="shared" si="92"/>
        <v>221007006</v>
      </c>
      <c r="AG132" s="134">
        <f t="shared" si="92"/>
        <v>346706275</v>
      </c>
      <c r="AH132" s="17">
        <f t="shared" si="92"/>
        <v>4124392</v>
      </c>
      <c r="AI132" s="17">
        <f t="shared" si="92"/>
        <v>0</v>
      </c>
      <c r="AJ132" s="17">
        <f t="shared" si="92"/>
        <v>5000000</v>
      </c>
      <c r="AK132" s="134">
        <f t="shared" si="92"/>
        <v>9124392</v>
      </c>
      <c r="AL132" s="140">
        <f t="shared" si="92"/>
        <v>355830667</v>
      </c>
      <c r="AM132" s="17">
        <f t="shared" si="92"/>
        <v>106627535</v>
      </c>
      <c r="AN132" s="17">
        <f t="shared" si="92"/>
        <v>49947988</v>
      </c>
      <c r="AO132" s="17">
        <f t="shared" si="92"/>
        <v>227627738</v>
      </c>
      <c r="AP132" s="134">
        <f t="shared" si="92"/>
        <v>384203261</v>
      </c>
      <c r="AQ132" s="17">
        <f t="shared" si="92"/>
        <v>3970820</v>
      </c>
      <c r="AR132" s="17">
        <f t="shared" si="92"/>
        <v>0</v>
      </c>
      <c r="AS132" s="17">
        <f t="shared" si="92"/>
        <v>5000000</v>
      </c>
      <c r="AT132" s="134">
        <f t="shared" si="92"/>
        <v>8970820</v>
      </c>
      <c r="AU132" s="140">
        <f t="shared" si="92"/>
        <v>393174081</v>
      </c>
      <c r="AV132" s="17">
        <f t="shared" si="92"/>
        <v>126094894</v>
      </c>
      <c r="AW132" s="17">
        <f t="shared" si="92"/>
        <v>68301952</v>
      </c>
      <c r="AX132" s="17">
        <f t="shared" si="92"/>
        <v>265773779</v>
      </c>
      <c r="AY132" s="134">
        <f t="shared" si="92"/>
        <v>460170625</v>
      </c>
      <c r="AZ132" s="17">
        <f t="shared" si="92"/>
        <v>3817448</v>
      </c>
      <c r="BA132" s="17">
        <f t="shared" si="92"/>
        <v>0</v>
      </c>
      <c r="BB132" s="17">
        <f t="shared" si="92"/>
        <v>5000000</v>
      </c>
      <c r="BC132" s="134">
        <f t="shared" si="92"/>
        <v>8817448</v>
      </c>
      <c r="BD132" s="140">
        <f t="shared" si="92"/>
        <v>468988073</v>
      </c>
    </row>
    <row r="133" spans="1:56" ht="16.5" x14ac:dyDescent="0.25">
      <c r="A133" s="152" t="s">
        <v>194</v>
      </c>
      <c r="B133" s="18" t="s">
        <v>195</v>
      </c>
      <c r="C133" s="19">
        <v>10068300</v>
      </c>
      <c r="D133" s="19">
        <v>3623666</v>
      </c>
      <c r="E133" s="19">
        <v>265000</v>
      </c>
      <c r="F133" s="128">
        <f>SUM(C133:E133)</f>
        <v>13956966</v>
      </c>
      <c r="G133" s="19"/>
      <c r="H133" s="19"/>
      <c r="I133" s="19"/>
      <c r="J133" s="128">
        <f t="shared" ref="J133:J140" si="93">SUM(G133:I133)</f>
        <v>0</v>
      </c>
      <c r="K133" s="136">
        <f t="shared" ref="K133:K148" si="94">F133+J133</f>
        <v>13956966</v>
      </c>
      <c r="L133" s="19">
        <v>10634166</v>
      </c>
      <c r="M133" s="19">
        <v>3712584</v>
      </c>
      <c r="N133" s="19">
        <v>232000</v>
      </c>
      <c r="O133" s="128">
        <f>SUM(L133:N133)</f>
        <v>14578750</v>
      </c>
      <c r="P133" s="19">
        <v>2500000</v>
      </c>
      <c r="Q133" s="19">
        <v>0</v>
      </c>
      <c r="R133" s="19">
        <v>0</v>
      </c>
      <c r="S133" s="128">
        <f t="shared" ref="S133:S146" si="95">SUM(P133:R133)</f>
        <v>2500000</v>
      </c>
      <c r="T133" s="136">
        <f t="shared" ref="T133:T150" si="96">O133+S133</f>
        <v>17078750</v>
      </c>
      <c r="U133" s="36">
        <v>10609028</v>
      </c>
      <c r="V133" s="36">
        <v>4114478</v>
      </c>
      <c r="W133" s="36">
        <v>242000</v>
      </c>
      <c r="X133" s="128">
        <f t="shared" ref="X133:X142" si="97">SUM(U133:W133)</f>
        <v>14965506</v>
      </c>
      <c r="Y133" s="36">
        <v>4211000</v>
      </c>
      <c r="Z133" s="33"/>
      <c r="AA133" s="33"/>
      <c r="AB133" s="128">
        <f t="shared" ref="AB133:AB140" si="98">SUM(Y133:AA133)</f>
        <v>4211000</v>
      </c>
      <c r="AC133" s="136">
        <f t="shared" ref="AC133:AC148" si="99">X133+AB133</f>
        <v>19176506</v>
      </c>
      <c r="AD133" s="19">
        <v>14858520</v>
      </c>
      <c r="AE133" s="19">
        <v>6698444</v>
      </c>
      <c r="AF133" s="19">
        <v>275000</v>
      </c>
      <c r="AG133" s="128">
        <f>SUM(AD133:AF133)</f>
        <v>21831964</v>
      </c>
      <c r="AH133" s="19">
        <v>3224392</v>
      </c>
      <c r="AI133" s="19">
        <v>0</v>
      </c>
      <c r="AJ133" s="19">
        <v>0</v>
      </c>
      <c r="AK133" s="128">
        <f t="shared" ref="AK133:AK140" si="100">AH133+AI133+AJ133</f>
        <v>3224392</v>
      </c>
      <c r="AL133" s="136">
        <f t="shared" ref="AL133:AL147" si="101">AG133+AK133</f>
        <v>25056356</v>
      </c>
      <c r="AM133" s="19">
        <v>15611523</v>
      </c>
      <c r="AN133" s="19">
        <v>6698444</v>
      </c>
      <c r="AO133" s="19">
        <v>275000</v>
      </c>
      <c r="AP133" s="128">
        <f>SUM(AM133:AO133)</f>
        <v>22584967</v>
      </c>
      <c r="AQ133" s="19">
        <v>3070820</v>
      </c>
      <c r="AR133" s="19">
        <v>0</v>
      </c>
      <c r="AS133" s="19">
        <v>0</v>
      </c>
      <c r="AT133" s="128">
        <f t="shared" ref="AT133:AT140" si="102">AQ133+AR133+AS133</f>
        <v>3070820</v>
      </c>
      <c r="AU133" s="136">
        <f t="shared" ref="AU133:AU148" si="103">AP133+AT133</f>
        <v>25655787</v>
      </c>
      <c r="AV133" s="19">
        <v>16651620</v>
      </c>
      <c r="AW133" s="19">
        <v>6698444</v>
      </c>
      <c r="AX133" s="19">
        <v>275000</v>
      </c>
      <c r="AY133" s="128">
        <f>SUM(AV133:AX133)</f>
        <v>23625064</v>
      </c>
      <c r="AZ133" s="19">
        <v>2917448</v>
      </c>
      <c r="BA133" s="19">
        <v>0</v>
      </c>
      <c r="BB133" s="19">
        <v>0</v>
      </c>
      <c r="BC133" s="128">
        <f t="shared" si="61"/>
        <v>2917448</v>
      </c>
      <c r="BD133" s="136">
        <f t="shared" si="57"/>
        <v>26542512</v>
      </c>
    </row>
    <row r="134" spans="1:56" ht="16.5" x14ac:dyDescent="0.25">
      <c r="A134" s="145" t="s">
        <v>196</v>
      </c>
      <c r="B134" s="7" t="s">
        <v>197</v>
      </c>
      <c r="C134" s="19">
        <v>1139545</v>
      </c>
      <c r="D134" s="19">
        <v>556400</v>
      </c>
      <c r="E134" s="19">
        <v>3600</v>
      </c>
      <c r="F134" s="128">
        <f t="shared" ref="F134:F141" si="104">SUM(C134:E134)</f>
        <v>1699545</v>
      </c>
      <c r="G134" s="19"/>
      <c r="H134" s="19"/>
      <c r="I134" s="19"/>
      <c r="J134" s="128">
        <f t="shared" si="93"/>
        <v>0</v>
      </c>
      <c r="K134" s="136">
        <f t="shared" si="94"/>
        <v>1699545</v>
      </c>
      <c r="L134" s="19">
        <v>1103844</v>
      </c>
      <c r="M134" s="19">
        <v>593235</v>
      </c>
      <c r="N134" s="19">
        <v>3600</v>
      </c>
      <c r="O134" s="128">
        <f t="shared" ref="O134:O142" si="105">SUM(L134:N134)</f>
        <v>1700679</v>
      </c>
      <c r="P134" s="19"/>
      <c r="Q134" s="19">
        <v>0</v>
      </c>
      <c r="R134" s="19">
        <v>0</v>
      </c>
      <c r="S134" s="128">
        <f t="shared" si="95"/>
        <v>0</v>
      </c>
      <c r="T134" s="136">
        <f t="shared" si="96"/>
        <v>1700679</v>
      </c>
      <c r="U134" s="42">
        <v>1194501</v>
      </c>
      <c r="V134" s="42">
        <v>703235</v>
      </c>
      <c r="W134" s="42">
        <v>3600</v>
      </c>
      <c r="X134" s="128">
        <f t="shared" si="97"/>
        <v>1901336</v>
      </c>
      <c r="Y134" s="42"/>
      <c r="Z134" s="42"/>
      <c r="AA134" s="42"/>
      <c r="AB134" s="128">
        <f t="shared" si="98"/>
        <v>0</v>
      </c>
      <c r="AC134" s="136">
        <f t="shared" si="99"/>
        <v>1901336</v>
      </c>
      <c r="AD134" s="19">
        <v>1289231</v>
      </c>
      <c r="AE134" s="19">
        <v>703235</v>
      </c>
      <c r="AF134" s="19">
        <v>3600</v>
      </c>
      <c r="AG134" s="128">
        <f t="shared" ref="AG134:AG142" si="106">SUM(AD134:AF134)</f>
        <v>1996066</v>
      </c>
      <c r="AH134" s="19"/>
      <c r="AI134" s="19">
        <v>0</v>
      </c>
      <c r="AJ134" s="19">
        <v>0</v>
      </c>
      <c r="AK134" s="128">
        <f t="shared" si="100"/>
        <v>0</v>
      </c>
      <c r="AL134" s="136">
        <f t="shared" si="101"/>
        <v>1996066</v>
      </c>
      <c r="AM134" s="19">
        <v>1360158</v>
      </c>
      <c r="AN134" s="19">
        <v>703235</v>
      </c>
      <c r="AO134" s="19">
        <v>3600</v>
      </c>
      <c r="AP134" s="128">
        <f>SUM(AM134:AO134)</f>
        <v>2066993</v>
      </c>
      <c r="AQ134" s="19"/>
      <c r="AR134" s="19">
        <v>0</v>
      </c>
      <c r="AS134" s="19">
        <v>0</v>
      </c>
      <c r="AT134" s="128">
        <f t="shared" si="102"/>
        <v>0</v>
      </c>
      <c r="AU134" s="136">
        <f t="shared" si="103"/>
        <v>2066993</v>
      </c>
      <c r="AV134" s="19">
        <v>1442827</v>
      </c>
      <c r="AW134" s="19">
        <v>703235</v>
      </c>
      <c r="AX134" s="19">
        <v>3600</v>
      </c>
      <c r="AY134" s="128">
        <f t="shared" ref="AY134:AY146" si="107">SUM(AV134:AX134)</f>
        <v>2149662</v>
      </c>
      <c r="AZ134" s="19"/>
      <c r="BA134" s="19">
        <v>0</v>
      </c>
      <c r="BB134" s="19">
        <v>0</v>
      </c>
      <c r="BC134" s="128">
        <f t="shared" si="61"/>
        <v>0</v>
      </c>
      <c r="BD134" s="136">
        <f t="shared" si="57"/>
        <v>2149662</v>
      </c>
    </row>
    <row r="135" spans="1:56" ht="19.5" customHeight="1" x14ac:dyDescent="0.25">
      <c r="A135" s="145" t="s">
        <v>198</v>
      </c>
      <c r="B135" s="7" t="s">
        <v>199</v>
      </c>
      <c r="C135" s="19">
        <v>1819700</v>
      </c>
      <c r="D135" s="19">
        <v>750252</v>
      </c>
      <c r="E135" s="19">
        <v>528000</v>
      </c>
      <c r="F135" s="128">
        <f t="shared" si="104"/>
        <v>3097952</v>
      </c>
      <c r="G135" s="19"/>
      <c r="H135" s="19"/>
      <c r="I135" s="19"/>
      <c r="J135" s="128">
        <f t="shared" si="93"/>
        <v>0</v>
      </c>
      <c r="K135" s="136">
        <f t="shared" si="94"/>
        <v>3097952</v>
      </c>
      <c r="L135" s="19">
        <v>1910366</v>
      </c>
      <c r="M135" s="19">
        <v>750252</v>
      </c>
      <c r="N135" s="19">
        <v>528000</v>
      </c>
      <c r="O135" s="128">
        <f t="shared" si="105"/>
        <v>3188618</v>
      </c>
      <c r="P135" s="19"/>
      <c r="Q135" s="19">
        <v>0</v>
      </c>
      <c r="R135" s="19">
        <v>0</v>
      </c>
      <c r="S135" s="128">
        <f t="shared" si="95"/>
        <v>0</v>
      </c>
      <c r="T135" s="136">
        <f t="shared" si="96"/>
        <v>3188618</v>
      </c>
      <c r="U135" s="42">
        <v>1109172</v>
      </c>
      <c r="V135" s="42">
        <v>792037</v>
      </c>
      <c r="W135" s="42">
        <v>57387</v>
      </c>
      <c r="X135" s="128">
        <f t="shared" si="97"/>
        <v>1958596</v>
      </c>
      <c r="Y135" s="42"/>
      <c r="Z135" s="42"/>
      <c r="AA135" s="42"/>
      <c r="AB135" s="128">
        <f t="shared" si="98"/>
        <v>0</v>
      </c>
      <c r="AC135" s="136">
        <f t="shared" si="99"/>
        <v>1958596</v>
      </c>
      <c r="AD135" s="19">
        <v>1197135</v>
      </c>
      <c r="AE135" s="19">
        <v>899199</v>
      </c>
      <c r="AF135" s="19">
        <v>57387</v>
      </c>
      <c r="AG135" s="128">
        <f t="shared" si="106"/>
        <v>2153721</v>
      </c>
      <c r="AH135" s="19"/>
      <c r="AI135" s="19">
        <v>0</v>
      </c>
      <c r="AJ135" s="19">
        <v>0</v>
      </c>
      <c r="AK135" s="128">
        <f t="shared" si="100"/>
        <v>0</v>
      </c>
      <c r="AL135" s="136">
        <f t="shared" si="101"/>
        <v>2153721</v>
      </c>
      <c r="AM135" s="19">
        <v>1258899</v>
      </c>
      <c r="AN135" s="19">
        <v>899199</v>
      </c>
      <c r="AO135" s="19">
        <v>57387</v>
      </c>
      <c r="AP135" s="128">
        <f t="shared" ref="AP135:AP137" si="108">SUM(AM135:AO135)</f>
        <v>2215485</v>
      </c>
      <c r="AQ135" s="19"/>
      <c r="AR135" s="19">
        <v>0</v>
      </c>
      <c r="AS135" s="19">
        <v>0</v>
      </c>
      <c r="AT135" s="128">
        <f t="shared" si="102"/>
        <v>0</v>
      </c>
      <c r="AU135" s="136">
        <f t="shared" si="103"/>
        <v>2215485</v>
      </c>
      <c r="AV135" s="19">
        <v>1328801</v>
      </c>
      <c r="AW135" s="19">
        <v>899199</v>
      </c>
      <c r="AX135" s="19">
        <v>57387</v>
      </c>
      <c r="AY135" s="128">
        <f t="shared" si="107"/>
        <v>2285387</v>
      </c>
      <c r="AZ135" s="19"/>
      <c r="BA135" s="19">
        <v>0</v>
      </c>
      <c r="BB135" s="19">
        <v>0</v>
      </c>
      <c r="BC135" s="128">
        <f t="shared" si="61"/>
        <v>0</v>
      </c>
      <c r="BD135" s="136">
        <f t="shared" si="57"/>
        <v>2285387</v>
      </c>
    </row>
    <row r="136" spans="1:56" ht="16.5" x14ac:dyDescent="0.25">
      <c r="A136" s="145" t="s">
        <v>200</v>
      </c>
      <c r="B136" s="7" t="s">
        <v>201</v>
      </c>
      <c r="C136" s="19">
        <v>1345993</v>
      </c>
      <c r="D136" s="19">
        <v>546288</v>
      </c>
      <c r="E136" s="19">
        <v>45000</v>
      </c>
      <c r="F136" s="128">
        <f t="shared" si="104"/>
        <v>1937281</v>
      </c>
      <c r="G136" s="19"/>
      <c r="H136" s="19"/>
      <c r="I136" s="19"/>
      <c r="J136" s="128">
        <f t="shared" si="93"/>
        <v>0</v>
      </c>
      <c r="K136" s="136">
        <f t="shared" si="94"/>
        <v>1937281</v>
      </c>
      <c r="L136" s="19">
        <v>1404633</v>
      </c>
      <c r="M136" s="19">
        <v>543767</v>
      </c>
      <c r="N136" s="19">
        <v>47521</v>
      </c>
      <c r="O136" s="128">
        <f t="shared" si="105"/>
        <v>1995921</v>
      </c>
      <c r="P136" s="19"/>
      <c r="Q136" s="19">
        <v>0</v>
      </c>
      <c r="R136" s="19">
        <v>0</v>
      </c>
      <c r="S136" s="128">
        <f t="shared" si="95"/>
        <v>0</v>
      </c>
      <c r="T136" s="136">
        <f t="shared" si="96"/>
        <v>1995921</v>
      </c>
      <c r="U136" s="42">
        <v>1402623</v>
      </c>
      <c r="V136" s="42">
        <v>564288</v>
      </c>
      <c r="W136" s="42">
        <v>27000</v>
      </c>
      <c r="X136" s="128">
        <f t="shared" si="97"/>
        <v>1993911</v>
      </c>
      <c r="Y136" s="42"/>
      <c r="Z136" s="42"/>
      <c r="AA136" s="42"/>
      <c r="AB136" s="128">
        <f t="shared" si="98"/>
        <v>0</v>
      </c>
      <c r="AC136" s="136">
        <f t="shared" si="99"/>
        <v>1993911</v>
      </c>
      <c r="AD136" s="19">
        <v>1513858</v>
      </c>
      <c r="AE136" s="19">
        <v>564288</v>
      </c>
      <c r="AF136" s="19">
        <v>27000</v>
      </c>
      <c r="AG136" s="128">
        <f t="shared" si="106"/>
        <v>2105146</v>
      </c>
      <c r="AH136" s="19"/>
      <c r="AI136" s="19">
        <v>0</v>
      </c>
      <c r="AJ136" s="19">
        <v>0</v>
      </c>
      <c r="AK136" s="128">
        <f t="shared" si="100"/>
        <v>0</v>
      </c>
      <c r="AL136" s="136">
        <f t="shared" si="101"/>
        <v>2105146</v>
      </c>
      <c r="AM136" s="19">
        <v>1591229</v>
      </c>
      <c r="AN136" s="19">
        <v>564288</v>
      </c>
      <c r="AO136" s="19">
        <v>27000</v>
      </c>
      <c r="AP136" s="128">
        <f t="shared" si="108"/>
        <v>2182517</v>
      </c>
      <c r="AQ136" s="19"/>
      <c r="AR136" s="19">
        <v>0</v>
      </c>
      <c r="AS136" s="19">
        <v>0</v>
      </c>
      <c r="AT136" s="128">
        <f t="shared" si="102"/>
        <v>0</v>
      </c>
      <c r="AU136" s="136">
        <f t="shared" si="103"/>
        <v>2182517</v>
      </c>
      <c r="AV136" s="19">
        <v>1691062</v>
      </c>
      <c r="AW136" s="19">
        <v>564288</v>
      </c>
      <c r="AX136" s="19">
        <v>27000</v>
      </c>
      <c r="AY136" s="128">
        <f t="shared" si="107"/>
        <v>2282350</v>
      </c>
      <c r="AZ136" s="19"/>
      <c r="BA136" s="19">
        <v>0</v>
      </c>
      <c r="BB136" s="19">
        <v>0</v>
      </c>
      <c r="BC136" s="128">
        <f t="shared" si="61"/>
        <v>0</v>
      </c>
      <c r="BD136" s="136">
        <f t="shared" si="57"/>
        <v>2282350</v>
      </c>
    </row>
    <row r="137" spans="1:56" ht="40.5" customHeight="1" x14ac:dyDescent="0.25">
      <c r="A137" s="145" t="s">
        <v>202</v>
      </c>
      <c r="B137" s="7" t="s">
        <v>203</v>
      </c>
      <c r="C137" s="19">
        <v>1097931</v>
      </c>
      <c r="D137" s="19">
        <v>845674</v>
      </c>
      <c r="E137" s="19">
        <v>100000</v>
      </c>
      <c r="F137" s="128">
        <f t="shared" si="104"/>
        <v>2043605</v>
      </c>
      <c r="G137" s="19"/>
      <c r="H137" s="19"/>
      <c r="I137" s="19"/>
      <c r="J137" s="128">
        <f t="shared" si="93"/>
        <v>0</v>
      </c>
      <c r="K137" s="136">
        <f t="shared" si="94"/>
        <v>2043605</v>
      </c>
      <c r="L137" s="19">
        <v>1277730</v>
      </c>
      <c r="M137" s="19">
        <v>845674</v>
      </c>
      <c r="N137" s="19">
        <v>100000</v>
      </c>
      <c r="O137" s="128">
        <f t="shared" si="105"/>
        <v>2223404</v>
      </c>
      <c r="P137" s="19"/>
      <c r="Q137" s="19">
        <v>0</v>
      </c>
      <c r="R137" s="19">
        <v>0</v>
      </c>
      <c r="S137" s="128">
        <f t="shared" si="95"/>
        <v>0</v>
      </c>
      <c r="T137" s="136">
        <f t="shared" si="96"/>
        <v>2223404</v>
      </c>
      <c r="U137" s="42">
        <v>1277730</v>
      </c>
      <c r="V137" s="42">
        <v>942674</v>
      </c>
      <c r="W137" s="42">
        <v>3000</v>
      </c>
      <c r="X137" s="128">
        <f t="shared" si="97"/>
        <v>2223404</v>
      </c>
      <c r="Y137" s="42"/>
      <c r="Z137" s="42"/>
      <c r="AA137" s="42"/>
      <c r="AB137" s="128">
        <f t="shared" si="98"/>
        <v>0</v>
      </c>
      <c r="AC137" s="136">
        <f t="shared" si="99"/>
        <v>2223404</v>
      </c>
      <c r="AD137" s="19">
        <v>1462262</v>
      </c>
      <c r="AE137" s="19">
        <v>978273</v>
      </c>
      <c r="AF137" s="19">
        <v>3000</v>
      </c>
      <c r="AG137" s="128">
        <f t="shared" si="106"/>
        <v>2443535</v>
      </c>
      <c r="AH137" s="19"/>
      <c r="AI137" s="19">
        <v>0</v>
      </c>
      <c r="AJ137" s="19">
        <v>0</v>
      </c>
      <c r="AK137" s="128">
        <f t="shared" si="100"/>
        <v>0</v>
      </c>
      <c r="AL137" s="136">
        <f t="shared" si="101"/>
        <v>2443535</v>
      </c>
      <c r="AM137" s="19">
        <v>1518005</v>
      </c>
      <c r="AN137" s="19">
        <v>978273</v>
      </c>
      <c r="AO137" s="19">
        <v>3000</v>
      </c>
      <c r="AP137" s="128">
        <f t="shared" si="108"/>
        <v>2499278</v>
      </c>
      <c r="AQ137" s="19"/>
      <c r="AR137" s="19">
        <v>0</v>
      </c>
      <c r="AS137" s="19">
        <v>0</v>
      </c>
      <c r="AT137" s="128">
        <f t="shared" si="102"/>
        <v>0</v>
      </c>
      <c r="AU137" s="136">
        <f t="shared" si="103"/>
        <v>2499278</v>
      </c>
      <c r="AV137" s="19">
        <v>1607187</v>
      </c>
      <c r="AW137" s="19">
        <v>978273</v>
      </c>
      <c r="AX137" s="19">
        <v>3000</v>
      </c>
      <c r="AY137" s="128">
        <f t="shared" si="107"/>
        <v>2588460</v>
      </c>
      <c r="AZ137" s="19"/>
      <c r="BA137" s="19">
        <v>0</v>
      </c>
      <c r="BB137" s="19">
        <v>0</v>
      </c>
      <c r="BC137" s="128">
        <f t="shared" si="61"/>
        <v>0</v>
      </c>
      <c r="BD137" s="136">
        <f t="shared" si="57"/>
        <v>2588460</v>
      </c>
    </row>
    <row r="138" spans="1:56" ht="16.5" x14ac:dyDescent="0.25">
      <c r="A138" s="145" t="s">
        <v>204</v>
      </c>
      <c r="B138" s="7" t="s">
        <v>205</v>
      </c>
      <c r="C138" s="19">
        <v>287800</v>
      </c>
      <c r="D138" s="19">
        <v>215600</v>
      </c>
      <c r="E138" s="19">
        <v>1000</v>
      </c>
      <c r="F138" s="128">
        <f t="shared" si="104"/>
        <v>504400</v>
      </c>
      <c r="G138" s="19"/>
      <c r="H138" s="19"/>
      <c r="I138" s="19"/>
      <c r="J138" s="128">
        <f t="shared" si="93"/>
        <v>0</v>
      </c>
      <c r="K138" s="136">
        <f t="shared" si="94"/>
        <v>504400</v>
      </c>
      <c r="L138" s="19">
        <v>328808</v>
      </c>
      <c r="M138" s="19">
        <v>223685</v>
      </c>
      <c r="N138" s="19">
        <v>1000</v>
      </c>
      <c r="O138" s="128">
        <f t="shared" si="105"/>
        <v>553493</v>
      </c>
      <c r="P138" s="19"/>
      <c r="Q138" s="19">
        <v>0</v>
      </c>
      <c r="R138" s="19">
        <v>0</v>
      </c>
      <c r="S138" s="128">
        <f t="shared" si="95"/>
        <v>0</v>
      </c>
      <c r="T138" s="136">
        <f t="shared" si="96"/>
        <v>553493</v>
      </c>
      <c r="U138" s="42">
        <v>328808</v>
      </c>
      <c r="V138" s="42">
        <v>223685</v>
      </c>
      <c r="W138" s="42">
        <v>1000</v>
      </c>
      <c r="X138" s="128">
        <f t="shared" si="97"/>
        <v>553493</v>
      </c>
      <c r="Y138" s="42"/>
      <c r="Z138" s="42"/>
      <c r="AA138" s="42"/>
      <c r="AB138" s="128">
        <f t="shared" si="98"/>
        <v>0</v>
      </c>
      <c r="AC138" s="136">
        <f t="shared" si="99"/>
        <v>553493</v>
      </c>
      <c r="AD138" s="19">
        <v>354884</v>
      </c>
      <c r="AE138" s="19">
        <v>223685</v>
      </c>
      <c r="AF138" s="19">
        <v>1000</v>
      </c>
      <c r="AG138" s="128">
        <f t="shared" si="106"/>
        <v>579569</v>
      </c>
      <c r="AH138" s="19"/>
      <c r="AI138" s="19">
        <v>0</v>
      </c>
      <c r="AJ138" s="19">
        <v>0</v>
      </c>
      <c r="AK138" s="128">
        <f t="shared" si="100"/>
        <v>0</v>
      </c>
      <c r="AL138" s="136">
        <f t="shared" si="101"/>
        <v>579569</v>
      </c>
      <c r="AM138" s="19">
        <v>367922</v>
      </c>
      <c r="AN138" s="19">
        <v>223685</v>
      </c>
      <c r="AO138" s="19">
        <v>1000</v>
      </c>
      <c r="AP138" s="128">
        <f>SUM(AM138:AO138)</f>
        <v>592607</v>
      </c>
      <c r="AQ138" s="19"/>
      <c r="AR138" s="19">
        <v>0</v>
      </c>
      <c r="AS138" s="19">
        <v>0</v>
      </c>
      <c r="AT138" s="128">
        <f t="shared" si="102"/>
        <v>0</v>
      </c>
      <c r="AU138" s="136">
        <f t="shared" si="103"/>
        <v>592607</v>
      </c>
      <c r="AV138" s="19">
        <v>391613</v>
      </c>
      <c r="AW138" s="19">
        <v>223685</v>
      </c>
      <c r="AX138" s="19">
        <v>1000</v>
      </c>
      <c r="AY138" s="128">
        <f t="shared" si="107"/>
        <v>616298</v>
      </c>
      <c r="AZ138" s="19"/>
      <c r="BA138" s="19">
        <v>0</v>
      </c>
      <c r="BB138" s="19">
        <v>0</v>
      </c>
      <c r="BC138" s="128">
        <f t="shared" si="61"/>
        <v>0</v>
      </c>
      <c r="BD138" s="136">
        <f t="shared" si="57"/>
        <v>616298</v>
      </c>
    </row>
    <row r="139" spans="1:56" ht="16.5" x14ac:dyDescent="0.25">
      <c r="A139" s="145" t="s">
        <v>206</v>
      </c>
      <c r="B139" s="7" t="s">
        <v>207</v>
      </c>
      <c r="C139" s="19">
        <v>109393</v>
      </c>
      <c r="D139" s="19">
        <f>136155+75000</f>
        <v>211155</v>
      </c>
      <c r="E139" s="19">
        <v>80000</v>
      </c>
      <c r="F139" s="128">
        <f t="shared" si="104"/>
        <v>400548</v>
      </c>
      <c r="G139" s="19"/>
      <c r="H139" s="19"/>
      <c r="I139" s="19"/>
      <c r="J139" s="128">
        <f t="shared" si="93"/>
        <v>0</v>
      </c>
      <c r="K139" s="136">
        <f t="shared" si="94"/>
        <v>400548</v>
      </c>
      <c r="L139" s="19">
        <v>109648</v>
      </c>
      <c r="M139" s="19">
        <v>251155</v>
      </c>
      <c r="N139" s="19">
        <v>40000</v>
      </c>
      <c r="O139" s="128">
        <f t="shared" si="105"/>
        <v>400803</v>
      </c>
      <c r="P139" s="19"/>
      <c r="Q139" s="19">
        <v>0</v>
      </c>
      <c r="R139" s="19">
        <v>0</v>
      </c>
      <c r="S139" s="128">
        <f t="shared" si="95"/>
        <v>0</v>
      </c>
      <c r="T139" s="136">
        <f t="shared" si="96"/>
        <v>400803</v>
      </c>
      <c r="U139" s="42">
        <v>119238</v>
      </c>
      <c r="V139" s="42">
        <v>337755</v>
      </c>
      <c r="W139" s="42">
        <v>3400</v>
      </c>
      <c r="X139" s="128">
        <f t="shared" si="97"/>
        <v>460393</v>
      </c>
      <c r="Y139" s="42"/>
      <c r="Z139" s="42"/>
      <c r="AA139" s="42"/>
      <c r="AB139" s="128">
        <f t="shared" si="98"/>
        <v>0</v>
      </c>
      <c r="AC139" s="136">
        <f t="shared" si="99"/>
        <v>460393</v>
      </c>
      <c r="AD139" s="19">
        <v>128694</v>
      </c>
      <c r="AE139" s="19">
        <v>407755</v>
      </c>
      <c r="AF139" s="19">
        <v>3400</v>
      </c>
      <c r="AG139" s="128">
        <f t="shared" si="106"/>
        <v>539849</v>
      </c>
      <c r="AH139" s="19"/>
      <c r="AI139" s="19">
        <v>0</v>
      </c>
      <c r="AJ139" s="19">
        <v>0</v>
      </c>
      <c r="AK139" s="128">
        <f t="shared" si="100"/>
        <v>0</v>
      </c>
      <c r="AL139" s="136">
        <f t="shared" si="101"/>
        <v>539849</v>
      </c>
      <c r="AM139" s="19">
        <v>131448</v>
      </c>
      <c r="AN139" s="19">
        <v>407755</v>
      </c>
      <c r="AO139" s="19">
        <v>3400</v>
      </c>
      <c r="AP139" s="128">
        <f>SUM(AM139:AO139)</f>
        <v>542603</v>
      </c>
      <c r="AQ139" s="19"/>
      <c r="AR139" s="19">
        <v>0</v>
      </c>
      <c r="AS139" s="19">
        <v>0</v>
      </c>
      <c r="AT139" s="128">
        <f t="shared" si="102"/>
        <v>0</v>
      </c>
      <c r="AU139" s="136">
        <f t="shared" si="103"/>
        <v>542603</v>
      </c>
      <c r="AV139" s="19">
        <v>140457</v>
      </c>
      <c r="AW139" s="19">
        <v>407755</v>
      </c>
      <c r="AX139" s="19">
        <v>3400</v>
      </c>
      <c r="AY139" s="128">
        <f t="shared" si="107"/>
        <v>551612</v>
      </c>
      <c r="AZ139" s="19"/>
      <c r="BA139" s="19">
        <v>0</v>
      </c>
      <c r="BB139" s="19">
        <v>0</v>
      </c>
      <c r="BC139" s="128">
        <f t="shared" si="61"/>
        <v>0</v>
      </c>
      <c r="BD139" s="136">
        <f t="shared" si="57"/>
        <v>551612</v>
      </c>
    </row>
    <row r="140" spans="1:56" ht="33" x14ac:dyDescent="0.25">
      <c r="A140" s="145" t="s">
        <v>208</v>
      </c>
      <c r="B140" s="7" t="s">
        <v>209</v>
      </c>
      <c r="C140" s="19"/>
      <c r="D140" s="19"/>
      <c r="E140" s="19">
        <v>890000</v>
      </c>
      <c r="F140" s="128">
        <f t="shared" si="104"/>
        <v>890000</v>
      </c>
      <c r="G140" s="19"/>
      <c r="H140" s="19"/>
      <c r="I140" s="19"/>
      <c r="J140" s="128">
        <f t="shared" si="93"/>
        <v>0</v>
      </c>
      <c r="K140" s="136">
        <f t="shared" si="94"/>
        <v>890000</v>
      </c>
      <c r="L140" s="19"/>
      <c r="M140" s="19">
        <v>0</v>
      </c>
      <c r="N140" s="19">
        <v>890000</v>
      </c>
      <c r="O140" s="128">
        <f t="shared" si="105"/>
        <v>890000</v>
      </c>
      <c r="P140" s="19"/>
      <c r="Q140" s="19">
        <v>0</v>
      </c>
      <c r="R140" s="19">
        <v>0</v>
      </c>
      <c r="S140" s="128">
        <f t="shared" si="95"/>
        <v>0</v>
      </c>
      <c r="T140" s="136">
        <f t="shared" si="96"/>
        <v>890000</v>
      </c>
      <c r="U140" s="42">
        <v>581722</v>
      </c>
      <c r="V140" s="42">
        <v>311778</v>
      </c>
      <c r="W140" s="42">
        <v>106500</v>
      </c>
      <c r="X140" s="128">
        <f t="shared" si="97"/>
        <v>1000000</v>
      </c>
      <c r="Y140" s="42"/>
      <c r="Z140" s="42"/>
      <c r="AA140" s="42"/>
      <c r="AB140" s="128">
        <f t="shared" si="98"/>
        <v>0</v>
      </c>
      <c r="AC140" s="136">
        <f t="shared" si="99"/>
        <v>1000000</v>
      </c>
      <c r="AD140" s="19">
        <v>868745</v>
      </c>
      <c r="AE140" s="19">
        <v>633950</v>
      </c>
      <c r="AF140" s="19">
        <v>76500</v>
      </c>
      <c r="AG140" s="128">
        <f t="shared" si="106"/>
        <v>1579195</v>
      </c>
      <c r="AH140" s="19"/>
      <c r="AI140" s="19">
        <v>0</v>
      </c>
      <c r="AJ140" s="19">
        <v>0</v>
      </c>
      <c r="AK140" s="128">
        <f t="shared" si="100"/>
        <v>0</v>
      </c>
      <c r="AL140" s="136">
        <f t="shared" si="101"/>
        <v>1579195</v>
      </c>
      <c r="AM140" s="19">
        <v>907027</v>
      </c>
      <c r="AN140" s="19">
        <v>633950</v>
      </c>
      <c r="AO140" s="19">
        <v>76500</v>
      </c>
      <c r="AP140" s="128">
        <f t="shared" ref="AP140:AP142" si="109">SUM(AM140:AO140)</f>
        <v>1617477</v>
      </c>
      <c r="AQ140" s="19"/>
      <c r="AR140" s="19">
        <v>0</v>
      </c>
      <c r="AS140" s="19">
        <v>0</v>
      </c>
      <c r="AT140" s="128">
        <f t="shared" si="102"/>
        <v>0</v>
      </c>
      <c r="AU140" s="136">
        <f t="shared" si="103"/>
        <v>1617477</v>
      </c>
      <c r="AV140" s="19">
        <v>960550</v>
      </c>
      <c r="AW140" s="19">
        <v>633950</v>
      </c>
      <c r="AX140" s="19">
        <v>76500</v>
      </c>
      <c r="AY140" s="128">
        <f t="shared" si="107"/>
        <v>1671000</v>
      </c>
      <c r="AZ140" s="19"/>
      <c r="BA140" s="19">
        <v>0</v>
      </c>
      <c r="BB140" s="19">
        <v>0</v>
      </c>
      <c r="BC140" s="128">
        <f t="shared" si="61"/>
        <v>0</v>
      </c>
      <c r="BD140" s="136">
        <f t="shared" si="57"/>
        <v>1671000</v>
      </c>
    </row>
    <row r="141" spans="1:56" ht="16.5" x14ac:dyDescent="0.25">
      <c r="A141" s="145" t="s">
        <v>210</v>
      </c>
      <c r="B141" s="7" t="s">
        <v>226</v>
      </c>
      <c r="C141" s="7">
        <v>0</v>
      </c>
      <c r="D141" s="19">
        <v>0</v>
      </c>
      <c r="E141" s="19">
        <v>100000</v>
      </c>
      <c r="F141" s="128">
        <f t="shared" si="104"/>
        <v>100000</v>
      </c>
      <c r="G141" s="19">
        <v>0</v>
      </c>
      <c r="H141" s="19">
        <v>0</v>
      </c>
      <c r="I141" s="19">
        <v>0</v>
      </c>
      <c r="J141" s="128">
        <f>G141+H141+I141</f>
        <v>0</v>
      </c>
      <c r="K141" s="136">
        <f t="shared" si="94"/>
        <v>100000</v>
      </c>
      <c r="L141" s="7">
        <v>0</v>
      </c>
      <c r="M141" s="19">
        <v>0</v>
      </c>
      <c r="N141" s="19">
        <v>100000</v>
      </c>
      <c r="O141" s="128">
        <f t="shared" si="105"/>
        <v>100000</v>
      </c>
      <c r="P141" s="19"/>
      <c r="Q141" s="19">
        <v>0</v>
      </c>
      <c r="R141" s="19">
        <v>0</v>
      </c>
      <c r="S141" s="128">
        <f t="shared" si="95"/>
        <v>0</v>
      </c>
      <c r="T141" s="136">
        <f t="shared" si="96"/>
        <v>100000</v>
      </c>
      <c r="U141" s="37">
        <v>2033131</v>
      </c>
      <c r="V141" s="37">
        <v>2071600</v>
      </c>
      <c r="W141" s="37">
        <v>10000</v>
      </c>
      <c r="X141" s="128">
        <f t="shared" si="97"/>
        <v>4114731</v>
      </c>
      <c r="Y141" s="19"/>
      <c r="Z141" s="19">
        <v>0</v>
      </c>
      <c r="AA141" s="19">
        <v>0</v>
      </c>
      <c r="AB141" s="128"/>
      <c r="AC141" s="136">
        <f t="shared" si="99"/>
        <v>4114731</v>
      </c>
      <c r="AD141" s="19">
        <v>2376935</v>
      </c>
      <c r="AE141" s="19">
        <v>2171600</v>
      </c>
      <c r="AF141" s="19">
        <v>5000</v>
      </c>
      <c r="AG141" s="128">
        <f t="shared" si="106"/>
        <v>4553535</v>
      </c>
      <c r="AH141" s="19"/>
      <c r="AI141" s="19">
        <v>0</v>
      </c>
      <c r="AJ141" s="19">
        <v>0</v>
      </c>
      <c r="AK141" s="128"/>
      <c r="AL141" s="136">
        <f t="shared" si="101"/>
        <v>4553535</v>
      </c>
      <c r="AM141" s="7">
        <v>2382406</v>
      </c>
      <c r="AN141" s="19">
        <v>2171600</v>
      </c>
      <c r="AO141" s="19">
        <v>5000</v>
      </c>
      <c r="AP141" s="128">
        <f t="shared" si="109"/>
        <v>4559006</v>
      </c>
      <c r="AQ141" s="19"/>
      <c r="AR141" s="19">
        <v>0</v>
      </c>
      <c r="AS141" s="19">
        <v>0</v>
      </c>
      <c r="AT141" s="128"/>
      <c r="AU141" s="136">
        <f t="shared" si="103"/>
        <v>4559006</v>
      </c>
      <c r="AV141" s="19">
        <v>2548791</v>
      </c>
      <c r="AW141" s="19">
        <v>2171600</v>
      </c>
      <c r="AX141" s="19">
        <v>5000</v>
      </c>
      <c r="AY141" s="128">
        <f>SUM(AV141:AX141)</f>
        <v>4725391</v>
      </c>
      <c r="AZ141" s="19"/>
      <c r="BA141" s="19">
        <v>0</v>
      </c>
      <c r="BB141" s="19">
        <v>0</v>
      </c>
      <c r="BC141" s="128"/>
      <c r="BD141" s="136">
        <f t="shared" si="57"/>
        <v>4725391</v>
      </c>
    </row>
    <row r="142" spans="1:56" ht="35.25" customHeight="1" x14ac:dyDescent="0.25">
      <c r="A142" s="145" t="s">
        <v>212</v>
      </c>
      <c r="B142" s="7" t="s">
        <v>224</v>
      </c>
      <c r="C142" s="19">
        <v>242550</v>
      </c>
      <c r="D142" s="19">
        <v>130875</v>
      </c>
      <c r="E142" s="19">
        <v>196575</v>
      </c>
      <c r="F142" s="128">
        <f>C142+D142+E142</f>
        <v>570000</v>
      </c>
      <c r="G142" s="19"/>
      <c r="H142" s="19"/>
      <c r="I142" s="19"/>
      <c r="J142" s="128">
        <f>G142+H142+I142</f>
        <v>0</v>
      </c>
      <c r="K142" s="136">
        <f t="shared" si="94"/>
        <v>570000</v>
      </c>
      <c r="L142" s="19">
        <v>351369</v>
      </c>
      <c r="M142" s="19">
        <v>246431</v>
      </c>
      <c r="N142" s="19">
        <v>2200</v>
      </c>
      <c r="O142" s="128">
        <f t="shared" si="105"/>
        <v>600000</v>
      </c>
      <c r="P142" s="19"/>
      <c r="Q142" s="19">
        <v>0</v>
      </c>
      <c r="R142" s="19">
        <v>0</v>
      </c>
      <c r="S142" s="128">
        <f t="shared" si="95"/>
        <v>0</v>
      </c>
      <c r="T142" s="136">
        <f t="shared" si="96"/>
        <v>600000</v>
      </c>
      <c r="U142" s="42">
        <v>351369</v>
      </c>
      <c r="V142" s="42">
        <v>246431</v>
      </c>
      <c r="W142" s="42">
        <v>2200</v>
      </c>
      <c r="X142" s="128">
        <f t="shared" si="97"/>
        <v>600000</v>
      </c>
      <c r="Y142" s="19"/>
      <c r="Z142" s="19">
        <v>0</v>
      </c>
      <c r="AA142" s="19">
        <v>0</v>
      </c>
      <c r="AB142" s="128"/>
      <c r="AC142" s="136">
        <f t="shared" si="99"/>
        <v>600000</v>
      </c>
      <c r="AD142" s="19">
        <v>379234</v>
      </c>
      <c r="AE142" s="19">
        <v>246431</v>
      </c>
      <c r="AF142" s="19">
        <v>2200</v>
      </c>
      <c r="AG142" s="128">
        <f t="shared" si="106"/>
        <v>627865</v>
      </c>
      <c r="AH142" s="19"/>
      <c r="AI142" s="19">
        <v>0</v>
      </c>
      <c r="AJ142" s="19">
        <v>0</v>
      </c>
      <c r="AK142" s="128"/>
      <c r="AL142" s="136">
        <f t="shared" si="101"/>
        <v>627865</v>
      </c>
      <c r="AM142" s="19">
        <v>397984</v>
      </c>
      <c r="AN142" s="19">
        <v>246431</v>
      </c>
      <c r="AO142" s="19">
        <v>2200</v>
      </c>
      <c r="AP142" s="128">
        <f t="shared" si="109"/>
        <v>646615</v>
      </c>
      <c r="AQ142" s="19"/>
      <c r="AR142" s="19">
        <v>0</v>
      </c>
      <c r="AS142" s="19">
        <v>0</v>
      </c>
      <c r="AT142" s="128"/>
      <c r="AU142" s="136">
        <f t="shared" si="103"/>
        <v>646615</v>
      </c>
      <c r="AV142" s="19">
        <v>424531</v>
      </c>
      <c r="AW142" s="19">
        <v>246431</v>
      </c>
      <c r="AX142" s="19">
        <v>2200</v>
      </c>
      <c r="AY142" s="128">
        <f t="shared" si="107"/>
        <v>673162</v>
      </c>
      <c r="AZ142" s="19"/>
      <c r="BA142" s="19">
        <v>0</v>
      </c>
      <c r="BB142" s="19">
        <v>0</v>
      </c>
      <c r="BC142" s="128"/>
      <c r="BD142" s="136">
        <f t="shared" si="57"/>
        <v>673162</v>
      </c>
    </row>
    <row r="143" spans="1:56" ht="16.5" x14ac:dyDescent="0.25">
      <c r="A143" s="145" t="s">
        <v>214</v>
      </c>
      <c r="B143" s="7" t="s">
        <v>211</v>
      </c>
      <c r="C143" s="8">
        <f>2376000+150000</f>
        <v>2526000</v>
      </c>
      <c r="D143" s="8">
        <f>558000+850000</f>
        <v>1408000</v>
      </c>
      <c r="E143" s="8">
        <v>88000000</v>
      </c>
      <c r="F143" s="128">
        <f>SUM(C143:E143)</f>
        <v>91934000</v>
      </c>
      <c r="G143" s="8"/>
      <c r="H143" s="8"/>
      <c r="I143" s="8"/>
      <c r="J143" s="128">
        <f t="shared" ref="J143:J148" si="110">SUM(G143:I143)</f>
        <v>0</v>
      </c>
      <c r="K143" s="136">
        <f t="shared" si="94"/>
        <v>91934000</v>
      </c>
      <c r="L143" s="8">
        <v>3129513</v>
      </c>
      <c r="M143" s="8">
        <v>2297520</v>
      </c>
      <c r="N143" s="8">
        <v>96000000</v>
      </c>
      <c r="O143" s="128">
        <f>SUM(L143:N143)</f>
        <v>101427033</v>
      </c>
      <c r="P143" s="8"/>
      <c r="Q143" s="19">
        <v>0</v>
      </c>
      <c r="R143" s="8">
        <v>0</v>
      </c>
      <c r="S143" s="128">
        <f t="shared" si="95"/>
        <v>0</v>
      </c>
      <c r="T143" s="136">
        <f t="shared" si="96"/>
        <v>101427033</v>
      </c>
      <c r="U143" s="43">
        <v>150000</v>
      </c>
      <c r="V143" s="43">
        <v>850000</v>
      </c>
      <c r="W143" s="43">
        <v>98000000</v>
      </c>
      <c r="X143" s="128">
        <f>SUM(U143:W143)</f>
        <v>99000000</v>
      </c>
      <c r="Y143" s="8"/>
      <c r="Z143" s="19">
        <v>0</v>
      </c>
      <c r="AA143" s="8">
        <v>0</v>
      </c>
      <c r="AB143" s="128">
        <f>SUM(Y143:AA143)</f>
        <v>0</v>
      </c>
      <c r="AC143" s="136">
        <f t="shared" si="99"/>
        <v>99000000</v>
      </c>
      <c r="AD143" s="43">
        <v>0</v>
      </c>
      <c r="AE143" s="43">
        <v>0</v>
      </c>
      <c r="AF143" s="43">
        <v>0</v>
      </c>
      <c r="AG143" s="128">
        <f>AD143+AE143+AF143</f>
        <v>0</v>
      </c>
      <c r="AH143" s="8"/>
      <c r="AI143" s="19">
        <v>0</v>
      </c>
      <c r="AJ143" s="8">
        <v>0</v>
      </c>
      <c r="AK143" s="128">
        <f>SUM(AH143:AJ143)</f>
        <v>0</v>
      </c>
      <c r="AL143" s="136">
        <f t="shared" si="101"/>
        <v>0</v>
      </c>
      <c r="AM143" s="43">
        <v>0</v>
      </c>
      <c r="AN143" s="43">
        <v>0</v>
      </c>
      <c r="AO143" s="43">
        <v>0</v>
      </c>
      <c r="AP143" s="128">
        <f>SUM(AM143:AO143)</f>
        <v>0</v>
      </c>
      <c r="AQ143" s="8"/>
      <c r="AR143" s="19">
        <v>0</v>
      </c>
      <c r="AS143" s="8">
        <v>0</v>
      </c>
      <c r="AT143" s="128">
        <f>SUM(AQ143:AS143)</f>
        <v>0</v>
      </c>
      <c r="AU143" s="136">
        <f t="shared" si="103"/>
        <v>0</v>
      </c>
      <c r="AV143" s="43">
        <v>0</v>
      </c>
      <c r="AW143" s="43">
        <v>0</v>
      </c>
      <c r="AX143" s="43">
        <v>0</v>
      </c>
      <c r="AY143" s="128">
        <f t="shared" si="107"/>
        <v>0</v>
      </c>
      <c r="AZ143" s="8"/>
      <c r="BA143" s="19">
        <v>0</v>
      </c>
      <c r="BB143" s="8">
        <v>0</v>
      </c>
      <c r="BC143" s="128">
        <f>SUM(AZ143:BB143)</f>
        <v>0</v>
      </c>
      <c r="BD143" s="136">
        <f t="shared" si="57"/>
        <v>0</v>
      </c>
    </row>
    <row r="144" spans="1:56" ht="16.5" x14ac:dyDescent="0.25">
      <c r="A144" s="145" t="s">
        <v>212</v>
      </c>
      <c r="B144" s="7" t="s">
        <v>213</v>
      </c>
      <c r="C144" s="8">
        <v>1905200</v>
      </c>
      <c r="D144" s="8">
        <v>7368277</v>
      </c>
      <c r="E144" s="8">
        <v>16395365</v>
      </c>
      <c r="F144" s="128">
        <f>SUM(C144:E144)</f>
        <v>25668842</v>
      </c>
      <c r="G144" s="8">
        <v>0</v>
      </c>
      <c r="H144" s="8">
        <v>8078310</v>
      </c>
      <c r="I144" s="8"/>
      <c r="J144" s="128">
        <f t="shared" si="110"/>
        <v>8078310</v>
      </c>
      <c r="K144" s="136">
        <f t="shared" si="94"/>
        <v>33747152</v>
      </c>
      <c r="L144" s="8">
        <v>1606605</v>
      </c>
      <c r="M144" s="8">
        <v>7340289</v>
      </c>
      <c r="N144" s="8">
        <v>16407624</v>
      </c>
      <c r="O144" s="128">
        <f>SUM(L144:N144)</f>
        <v>25354518</v>
      </c>
      <c r="P144" s="8">
        <v>500000</v>
      </c>
      <c r="Q144" s="19">
        <v>3750000</v>
      </c>
      <c r="R144" s="8">
        <v>0</v>
      </c>
      <c r="S144" s="128">
        <f t="shared" si="95"/>
        <v>4250000</v>
      </c>
      <c r="T144" s="136">
        <f t="shared" si="96"/>
        <v>29604518</v>
      </c>
      <c r="U144" s="37">
        <v>1711701</v>
      </c>
      <c r="V144" s="37">
        <v>7771003</v>
      </c>
      <c r="W144" s="37">
        <v>16353978</v>
      </c>
      <c r="X144" s="128">
        <f>SUM(U144:W144)</f>
        <v>25836682</v>
      </c>
      <c r="Y144" s="37">
        <v>900000</v>
      </c>
      <c r="Z144" s="35">
        <v>0</v>
      </c>
      <c r="AA144" s="35">
        <v>5000000</v>
      </c>
      <c r="AB144" s="128">
        <f>Y144+Z144+AA144</f>
        <v>5900000</v>
      </c>
      <c r="AC144" s="136">
        <f t="shared" si="99"/>
        <v>31736682</v>
      </c>
      <c r="AD144" s="8">
        <v>1907544</v>
      </c>
      <c r="AE144" s="8">
        <v>9213031</v>
      </c>
      <c r="AF144" s="8">
        <v>17540271</v>
      </c>
      <c r="AG144" s="128">
        <f>SUM(AD144:AF144)</f>
        <v>28660846</v>
      </c>
      <c r="AH144" s="8">
        <v>900000</v>
      </c>
      <c r="AI144" s="19">
        <v>0</v>
      </c>
      <c r="AJ144" s="8">
        <v>5000000</v>
      </c>
      <c r="AK144" s="128">
        <f>AH144+AI144+AJ144</f>
        <v>5900000</v>
      </c>
      <c r="AL144" s="136">
        <f t="shared" si="101"/>
        <v>34560846</v>
      </c>
      <c r="AM144" s="8">
        <v>1986747</v>
      </c>
      <c r="AN144" s="8">
        <v>9213031</v>
      </c>
      <c r="AO144" s="8">
        <v>17540271</v>
      </c>
      <c r="AP144" s="128">
        <f>SUM(AM144:AO144)</f>
        <v>28740049</v>
      </c>
      <c r="AQ144" s="8">
        <v>900000</v>
      </c>
      <c r="AR144" s="19">
        <v>0</v>
      </c>
      <c r="AS144" s="8">
        <v>5000000</v>
      </c>
      <c r="AT144" s="128">
        <f>AQ144+AR144+AS144</f>
        <v>5900000</v>
      </c>
      <c r="AU144" s="136">
        <f t="shared" si="103"/>
        <v>34640049</v>
      </c>
      <c r="AV144" s="8">
        <v>2092765</v>
      </c>
      <c r="AW144" s="8">
        <v>9213031</v>
      </c>
      <c r="AX144" s="8">
        <v>17540271</v>
      </c>
      <c r="AY144" s="128">
        <f t="shared" si="107"/>
        <v>28846067</v>
      </c>
      <c r="AZ144" s="8">
        <v>900000</v>
      </c>
      <c r="BA144" s="19">
        <v>0</v>
      </c>
      <c r="BB144" s="8">
        <v>5000000</v>
      </c>
      <c r="BC144" s="128">
        <f t="shared" si="61"/>
        <v>5900000</v>
      </c>
      <c r="BD144" s="136">
        <f t="shared" si="57"/>
        <v>34746067</v>
      </c>
    </row>
    <row r="145" spans="1:56" ht="33" x14ac:dyDescent="0.25">
      <c r="A145" s="145" t="s">
        <v>13</v>
      </c>
      <c r="B145" s="7" t="s">
        <v>225</v>
      </c>
      <c r="C145" s="8">
        <v>30609</v>
      </c>
      <c r="D145" s="8"/>
      <c r="E145" s="8">
        <v>354352</v>
      </c>
      <c r="F145" s="128">
        <f>SUM(C145:E145)</f>
        <v>384961</v>
      </c>
      <c r="G145" s="8"/>
      <c r="H145" s="8"/>
      <c r="I145" s="8"/>
      <c r="J145" s="128">
        <f t="shared" si="110"/>
        <v>0</v>
      </c>
      <c r="K145" s="136">
        <f t="shared" si="94"/>
        <v>384961</v>
      </c>
      <c r="L145" s="8">
        <v>32723</v>
      </c>
      <c r="M145" s="8">
        <v>0</v>
      </c>
      <c r="N145" s="8">
        <v>467277</v>
      </c>
      <c r="O145" s="128">
        <f>SUM(L145:N145)</f>
        <v>500000</v>
      </c>
      <c r="P145" s="8"/>
      <c r="Q145" s="19">
        <v>0</v>
      </c>
      <c r="R145" s="8">
        <v>0</v>
      </c>
      <c r="S145" s="128">
        <f t="shared" si="95"/>
        <v>0</v>
      </c>
      <c r="T145" s="136">
        <f t="shared" si="96"/>
        <v>500000</v>
      </c>
      <c r="U145" s="42">
        <v>59400</v>
      </c>
      <c r="V145" s="42">
        <v>0</v>
      </c>
      <c r="W145" s="42">
        <v>488277</v>
      </c>
      <c r="X145" s="128">
        <f>SUM(U145:W145)</f>
        <v>547677</v>
      </c>
      <c r="Y145" s="8"/>
      <c r="Z145" s="19">
        <v>0</v>
      </c>
      <c r="AA145" s="8">
        <v>0</v>
      </c>
      <c r="AB145" s="128">
        <f>Y145+Z145+AA145</f>
        <v>0</v>
      </c>
      <c r="AC145" s="136">
        <f t="shared" si="99"/>
        <v>547677</v>
      </c>
      <c r="AD145" s="8">
        <v>64111</v>
      </c>
      <c r="AE145" s="8">
        <v>0</v>
      </c>
      <c r="AF145" s="8">
        <v>488277</v>
      </c>
      <c r="AG145" s="128">
        <f>SUM(AD145:AF145)</f>
        <v>552388</v>
      </c>
      <c r="AH145" s="8"/>
      <c r="AI145" s="19">
        <v>0</v>
      </c>
      <c r="AJ145" s="8">
        <v>0</v>
      </c>
      <c r="AK145" s="128">
        <f>AH145+AI145+AJ145</f>
        <v>0</v>
      </c>
      <c r="AL145" s="136">
        <f t="shared" si="101"/>
        <v>552388</v>
      </c>
      <c r="AM145" s="8">
        <v>64156</v>
      </c>
      <c r="AN145" s="8">
        <v>0</v>
      </c>
      <c r="AO145" s="8">
        <v>488277</v>
      </c>
      <c r="AP145" s="128">
        <f t="shared" ref="AP145" si="111">SUM(AM145:AO145)</f>
        <v>552433</v>
      </c>
      <c r="AQ145" s="8"/>
      <c r="AR145" s="19">
        <v>0</v>
      </c>
      <c r="AS145" s="8">
        <v>0</v>
      </c>
      <c r="AT145" s="128">
        <f>AQ145+AR145+AS145</f>
        <v>0</v>
      </c>
      <c r="AU145" s="136">
        <f t="shared" si="103"/>
        <v>552433</v>
      </c>
      <c r="AV145" s="8">
        <v>68644</v>
      </c>
      <c r="AW145" s="8">
        <v>0</v>
      </c>
      <c r="AX145" s="8">
        <v>488277</v>
      </c>
      <c r="AY145" s="128">
        <f t="shared" si="107"/>
        <v>556921</v>
      </c>
      <c r="AZ145" s="8"/>
      <c r="BA145" s="19">
        <v>0</v>
      </c>
      <c r="BB145" s="8">
        <v>0</v>
      </c>
      <c r="BC145" s="128">
        <f t="shared" si="61"/>
        <v>0</v>
      </c>
      <c r="BD145" s="136">
        <f t="shared" si="57"/>
        <v>556921</v>
      </c>
    </row>
    <row r="146" spans="1:56" ht="33" x14ac:dyDescent="0.25">
      <c r="A146" s="145" t="s">
        <v>214</v>
      </c>
      <c r="B146" s="7" t="s">
        <v>215</v>
      </c>
      <c r="C146" s="8">
        <v>51483059</v>
      </c>
      <c r="D146" s="8">
        <v>88536289</v>
      </c>
      <c r="E146" s="8">
        <v>125046778</v>
      </c>
      <c r="F146" s="128">
        <f>SUM(C146:E146)</f>
        <v>265066126</v>
      </c>
      <c r="G146" s="8">
        <v>7300000</v>
      </c>
      <c r="H146" s="8"/>
      <c r="I146" s="8"/>
      <c r="J146" s="128">
        <f t="shared" si="110"/>
        <v>7300000</v>
      </c>
      <c r="K146" s="136">
        <f t="shared" si="94"/>
        <v>272366126</v>
      </c>
      <c r="L146" s="8">
        <v>60049204</v>
      </c>
      <c r="M146" s="8">
        <v>31194936</v>
      </c>
      <c r="N146" s="8">
        <v>133011435</v>
      </c>
      <c r="O146" s="128">
        <f>SUM(L146:N146)</f>
        <v>224255575</v>
      </c>
      <c r="P146" s="8">
        <v>14145518</v>
      </c>
      <c r="Q146" s="19">
        <v>0</v>
      </c>
      <c r="R146" s="8">
        <v>0</v>
      </c>
      <c r="S146" s="128">
        <f t="shared" si="95"/>
        <v>14145518</v>
      </c>
      <c r="T146" s="136">
        <f t="shared" si="96"/>
        <v>238401093</v>
      </c>
      <c r="U146" s="37">
        <f>426100000-368437942</f>
        <v>57662058</v>
      </c>
      <c r="V146" s="37">
        <v>44736463</v>
      </c>
      <c r="W146" s="37">
        <v>131441304</v>
      </c>
      <c r="X146" s="128">
        <f>U146+V146+W146</f>
        <v>233839825</v>
      </c>
      <c r="Y146" s="8">
        <v>0</v>
      </c>
      <c r="Z146" s="19">
        <v>0</v>
      </c>
      <c r="AA146" s="8">
        <v>0</v>
      </c>
      <c r="AB146" s="128">
        <f>SUM(Y146:AA146)</f>
        <v>0</v>
      </c>
      <c r="AC146" s="136">
        <f t="shared" si="99"/>
        <v>233839825</v>
      </c>
      <c r="AD146" s="37">
        <v>60017554</v>
      </c>
      <c r="AE146" s="37">
        <v>16540671</v>
      </c>
      <c r="AF146" s="37">
        <v>202524371</v>
      </c>
      <c r="AG146" s="128">
        <f>SUM(AD146:AF146)</f>
        <v>279082596</v>
      </c>
      <c r="AH146" s="8">
        <v>0</v>
      </c>
      <c r="AI146" s="19">
        <v>0</v>
      </c>
      <c r="AJ146" s="8">
        <v>0</v>
      </c>
      <c r="AK146" s="128">
        <f>SUM(AH146:AJ146)</f>
        <v>0</v>
      </c>
      <c r="AL146" s="136">
        <f t="shared" si="101"/>
        <v>279082596</v>
      </c>
      <c r="AM146" s="37">
        <v>79050031</v>
      </c>
      <c r="AN146" s="37">
        <v>27208097</v>
      </c>
      <c r="AO146" s="37">
        <v>209145103</v>
      </c>
      <c r="AP146" s="128">
        <f>SUM(AM146:AO146)</f>
        <v>315403231</v>
      </c>
      <c r="AQ146" s="8">
        <v>0</v>
      </c>
      <c r="AR146" s="19">
        <v>0</v>
      </c>
      <c r="AS146" s="8">
        <v>0</v>
      </c>
      <c r="AT146" s="128">
        <f>SUM(AQ146:AS146)</f>
        <v>0</v>
      </c>
      <c r="AU146" s="136">
        <f t="shared" si="103"/>
        <v>315403231</v>
      </c>
      <c r="AV146" s="37">
        <v>96746046</v>
      </c>
      <c r="AW146" s="37">
        <v>45562061</v>
      </c>
      <c r="AX146" s="37">
        <v>247291144</v>
      </c>
      <c r="AY146" s="128">
        <f t="shared" si="107"/>
        <v>389599251</v>
      </c>
      <c r="AZ146" s="8">
        <v>0</v>
      </c>
      <c r="BA146" s="19">
        <v>0</v>
      </c>
      <c r="BB146" s="8">
        <v>0</v>
      </c>
      <c r="BC146" s="128">
        <f>SUM(AZ146:BB146)</f>
        <v>0</v>
      </c>
      <c r="BD146" s="136">
        <f t="shared" si="57"/>
        <v>389599251</v>
      </c>
    </row>
    <row r="147" spans="1:56" ht="66" x14ac:dyDescent="0.25">
      <c r="A147" s="145" t="s">
        <v>216</v>
      </c>
      <c r="B147" s="7" t="s">
        <v>217</v>
      </c>
      <c r="C147" s="8"/>
      <c r="D147" s="8"/>
      <c r="E147" s="8">
        <v>1500000</v>
      </c>
      <c r="F147" s="128">
        <f>C147+D147+E147</f>
        <v>1500000</v>
      </c>
      <c r="G147" s="8">
        <v>3000000</v>
      </c>
      <c r="H147" s="8"/>
      <c r="I147" s="8">
        <v>12000000</v>
      </c>
      <c r="J147" s="128">
        <f t="shared" si="110"/>
        <v>15000000</v>
      </c>
      <c r="K147" s="136">
        <f t="shared" si="94"/>
        <v>16500000</v>
      </c>
      <c r="L147" s="8"/>
      <c r="M147" s="8"/>
      <c r="N147" s="8">
        <v>3000000</v>
      </c>
      <c r="O147" s="128">
        <f>L147+M147+N147</f>
        <v>3000000</v>
      </c>
      <c r="P147" s="8">
        <v>3000000</v>
      </c>
      <c r="Q147" s="19">
        <v>0</v>
      </c>
      <c r="R147" s="8">
        <v>11960000</v>
      </c>
      <c r="S147" s="128">
        <f>SUM(P147:R147)</f>
        <v>14960000</v>
      </c>
      <c r="T147" s="136">
        <f t="shared" si="96"/>
        <v>17960000</v>
      </c>
      <c r="U147" s="8"/>
      <c r="V147" s="8">
        <v>3000000</v>
      </c>
      <c r="X147" s="128">
        <f>V147+655195</f>
        <v>3655195</v>
      </c>
      <c r="Y147" s="8">
        <v>3000000</v>
      </c>
      <c r="Z147" s="19">
        <v>2850000</v>
      </c>
      <c r="AA147" s="8">
        <v>8000000</v>
      </c>
      <c r="AB147" s="128">
        <f>SUM(Y147:AA147)</f>
        <v>13850000</v>
      </c>
      <c r="AC147" s="136">
        <f t="shared" si="99"/>
        <v>17505195</v>
      </c>
      <c r="AD147" s="8"/>
      <c r="AE147" s="8"/>
      <c r="AF147" s="8"/>
      <c r="AG147" s="128">
        <v>620532</v>
      </c>
      <c r="AH147" s="8">
        <v>0</v>
      </c>
      <c r="AI147" s="19">
        <v>0</v>
      </c>
      <c r="AJ147" s="8">
        <v>0</v>
      </c>
      <c r="AK147" s="128">
        <v>0</v>
      </c>
      <c r="AL147" s="136">
        <f t="shared" si="101"/>
        <v>620532</v>
      </c>
      <c r="AM147" s="8">
        <v>0</v>
      </c>
      <c r="AN147" s="8"/>
      <c r="AO147" s="8">
        <v>0</v>
      </c>
      <c r="AP147" s="128">
        <v>620532</v>
      </c>
      <c r="AQ147" s="8">
        <v>0</v>
      </c>
      <c r="AR147" s="19">
        <v>0</v>
      </c>
      <c r="AS147" s="8">
        <v>0</v>
      </c>
      <c r="AT147" s="128">
        <v>0</v>
      </c>
      <c r="AU147" s="136">
        <f t="shared" si="103"/>
        <v>620532</v>
      </c>
      <c r="AV147" s="8"/>
      <c r="AW147" s="8"/>
      <c r="AX147" s="8">
        <v>0</v>
      </c>
      <c r="AY147" s="128">
        <v>620532</v>
      </c>
      <c r="AZ147" s="8">
        <v>0</v>
      </c>
      <c r="BA147" s="19">
        <v>0</v>
      </c>
      <c r="BB147" s="8">
        <v>0</v>
      </c>
      <c r="BC147" s="128">
        <f>SUM(AZ147:BB147)</f>
        <v>0</v>
      </c>
      <c r="BD147" s="136">
        <f t="shared" si="57"/>
        <v>620532</v>
      </c>
    </row>
    <row r="148" spans="1:56" ht="16.5" x14ac:dyDescent="0.25">
      <c r="A148" s="145" t="s">
        <v>222</v>
      </c>
      <c r="B148" s="7" t="s">
        <v>218</v>
      </c>
      <c r="C148" s="8"/>
      <c r="D148" s="8"/>
      <c r="E148" s="8"/>
      <c r="F148" s="128">
        <v>189300000</v>
      </c>
      <c r="G148" s="8"/>
      <c r="H148" s="8"/>
      <c r="I148" s="8"/>
      <c r="J148" s="128">
        <f t="shared" si="110"/>
        <v>0</v>
      </c>
      <c r="K148" s="136">
        <f t="shared" si="94"/>
        <v>189300000</v>
      </c>
      <c r="L148" s="8"/>
      <c r="M148" s="8"/>
      <c r="N148" s="8"/>
      <c r="O148" s="128">
        <v>220800000</v>
      </c>
      <c r="P148" s="8"/>
      <c r="Q148" s="19">
        <v>0</v>
      </c>
      <c r="R148" s="8">
        <v>0</v>
      </c>
      <c r="S148" s="128">
        <f>SUM(P148:R148)</f>
        <v>0</v>
      </c>
      <c r="T148" s="136">
        <v>220800000</v>
      </c>
      <c r="U148" s="8"/>
      <c r="V148" s="8"/>
      <c r="W148" s="8"/>
      <c r="X148" s="128">
        <f>204930214-655196</f>
        <v>204275018</v>
      </c>
      <c r="Y148" s="8"/>
      <c r="Z148" s="19">
        <v>0</v>
      </c>
      <c r="AA148" s="8">
        <v>0</v>
      </c>
      <c r="AB148" s="128">
        <f>SUM(Y148:AA148)</f>
        <v>0</v>
      </c>
      <c r="AC148" s="136">
        <f t="shared" si="99"/>
        <v>204275018</v>
      </c>
      <c r="AD148" s="8"/>
      <c r="AE148" s="8"/>
      <c r="AF148" s="8"/>
      <c r="AG148" s="128">
        <v>176579468</v>
      </c>
      <c r="AH148" s="8"/>
      <c r="AI148" s="19">
        <v>0</v>
      </c>
      <c r="AJ148" s="8">
        <v>0</v>
      </c>
      <c r="AK148" s="128">
        <f>SUM(AH148:AJ148)</f>
        <v>0</v>
      </c>
      <c r="AL148" s="136">
        <v>176579468</v>
      </c>
      <c r="AM148" s="8"/>
      <c r="AN148" s="8"/>
      <c r="AO148" s="8"/>
      <c r="AP148" s="128">
        <v>200579468</v>
      </c>
      <c r="AQ148" s="8"/>
      <c r="AR148" s="19">
        <v>0</v>
      </c>
      <c r="AS148" s="8">
        <v>0</v>
      </c>
      <c r="AT148" s="128">
        <f>SUM(AQ148:AS148)</f>
        <v>0</v>
      </c>
      <c r="AU148" s="136">
        <f t="shared" si="103"/>
        <v>200579468</v>
      </c>
      <c r="AV148" s="8"/>
      <c r="AW148" s="8"/>
      <c r="AX148" s="8"/>
      <c r="AY148" s="128">
        <v>211679468</v>
      </c>
      <c r="AZ148" s="8"/>
      <c r="BA148" s="19">
        <v>0</v>
      </c>
      <c r="BB148" s="8">
        <v>0</v>
      </c>
      <c r="BC148" s="128">
        <f>SUM(AZ148:BB148)</f>
        <v>0</v>
      </c>
      <c r="BD148" s="136">
        <f t="shared" si="57"/>
        <v>211679468</v>
      </c>
    </row>
    <row r="149" spans="1:56" ht="16.5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5"/>
      <c r="L149" s="14"/>
      <c r="M149" s="14"/>
      <c r="N149" s="14"/>
      <c r="O149" s="14"/>
      <c r="P149" s="14"/>
      <c r="Q149" s="14"/>
      <c r="R149" s="14"/>
      <c r="S149" s="14"/>
      <c r="T149" s="5">
        <f t="shared" si="96"/>
        <v>0</v>
      </c>
      <c r="U149" s="14"/>
      <c r="V149" s="14"/>
      <c r="W149" s="14"/>
      <c r="X149" s="14"/>
      <c r="Y149" s="14"/>
      <c r="Z149" s="14"/>
      <c r="AA149" s="14"/>
      <c r="AB149" s="5"/>
      <c r="AC149" s="5"/>
      <c r="AD149" s="14"/>
      <c r="AE149" s="14"/>
      <c r="AF149" s="14"/>
      <c r="AG149" s="14"/>
      <c r="AH149" s="14"/>
      <c r="AI149" s="14"/>
      <c r="AJ149" s="14"/>
      <c r="AK149" s="5"/>
      <c r="AL149" s="5"/>
      <c r="AM149" s="14"/>
      <c r="AN149" s="14"/>
      <c r="AO149" s="14"/>
      <c r="AP149" s="14"/>
      <c r="AQ149" s="14"/>
      <c r="AR149" s="14"/>
      <c r="AS149" s="14"/>
      <c r="AT149" s="5"/>
      <c r="AU149" s="5"/>
      <c r="AV149" s="14"/>
      <c r="AW149" s="14"/>
      <c r="AX149" s="14"/>
      <c r="AY149" s="14"/>
      <c r="AZ149" s="14"/>
      <c r="BA149" s="14"/>
      <c r="BB149" s="14"/>
      <c r="BC149" s="5"/>
      <c r="BD149" s="5"/>
    </row>
    <row r="150" spans="1:56" ht="22.5" customHeight="1" x14ac:dyDescent="0.25">
      <c r="A150" s="102" t="s">
        <v>219</v>
      </c>
      <c r="B150" s="102"/>
      <c r="C150" s="20">
        <f>C130+C132</f>
        <v>393950000</v>
      </c>
      <c r="D150" s="20">
        <f t="shared" ref="D150:J150" si="112">D130+D132</f>
        <v>188830000</v>
      </c>
      <c r="E150" s="20">
        <f t="shared" si="112"/>
        <v>354644000</v>
      </c>
      <c r="F150" s="20">
        <f t="shared" si="112"/>
        <v>1126724000</v>
      </c>
      <c r="G150" s="20">
        <f t="shared" si="112"/>
        <v>324806000</v>
      </c>
      <c r="H150" s="20">
        <f t="shared" si="112"/>
        <v>75978310</v>
      </c>
      <c r="I150" s="20">
        <f t="shared" si="112"/>
        <v>170980690</v>
      </c>
      <c r="J150" s="20">
        <f t="shared" si="112"/>
        <v>571765000</v>
      </c>
      <c r="K150" s="20">
        <f>F150+J150</f>
        <v>1698489000</v>
      </c>
      <c r="L150" s="20">
        <f>L130+L132</f>
        <v>410927000</v>
      </c>
      <c r="M150" s="20">
        <f t="shared" ref="M150:S150" si="113">M130+M132</f>
        <v>169300000</v>
      </c>
      <c r="N150" s="20">
        <f t="shared" si="113"/>
        <v>367400000</v>
      </c>
      <c r="O150" s="20">
        <f t="shared" si="113"/>
        <v>1168427000</v>
      </c>
      <c r="P150" s="20">
        <f t="shared" si="113"/>
        <v>378802130</v>
      </c>
      <c r="Q150" s="20">
        <v>71815918</v>
      </c>
      <c r="R150" s="20">
        <f t="shared" si="113"/>
        <v>153184082</v>
      </c>
      <c r="S150" s="20">
        <f t="shared" si="113"/>
        <v>611802130</v>
      </c>
      <c r="T150" s="5">
        <f t="shared" si="96"/>
        <v>1780229130</v>
      </c>
      <c r="U150" s="20">
        <f>U130+U132</f>
        <v>426100000.02399999</v>
      </c>
      <c r="V150" s="20">
        <f t="shared" ref="V150:AA150" si="114">V130+V132</f>
        <v>189145000</v>
      </c>
      <c r="W150" s="20">
        <f t="shared" si="114"/>
        <v>380883000</v>
      </c>
      <c r="X150" s="20">
        <f t="shared" si="114"/>
        <v>1201058215.0239999</v>
      </c>
      <c r="Y150" s="20">
        <f t="shared" si="114"/>
        <v>520500000</v>
      </c>
      <c r="Z150" s="20">
        <f t="shared" si="114"/>
        <v>75450000</v>
      </c>
      <c r="AA150" s="20">
        <f t="shared" si="114"/>
        <v>230745960</v>
      </c>
      <c r="AB150" s="20">
        <f>Y150+Z150+AA150</f>
        <v>826695960</v>
      </c>
      <c r="AC150" s="20">
        <f>X150+AB150</f>
        <v>2027754175.0239999</v>
      </c>
      <c r="AD150" s="20">
        <f>AD130+AD132</f>
        <v>523379000</v>
      </c>
      <c r="AE150" s="20">
        <f t="shared" ref="AE150:AJ150" si="115">AE130+AE132</f>
        <v>194450000</v>
      </c>
      <c r="AF150" s="20">
        <f t="shared" si="115"/>
        <v>480771000</v>
      </c>
      <c r="AG150" s="20">
        <f>AD150+AE150+AF150+AG148+AG147</f>
        <v>1375800000</v>
      </c>
      <c r="AH150" s="20">
        <f t="shared" si="115"/>
        <v>639150000</v>
      </c>
      <c r="AI150" s="20">
        <f t="shared" si="115"/>
        <v>81700000</v>
      </c>
      <c r="AJ150" s="20">
        <f t="shared" si="115"/>
        <v>249750000</v>
      </c>
      <c r="AK150" s="20">
        <f>AH150+AI150+AJ150</f>
        <v>970600000</v>
      </c>
      <c r="AL150" s="20">
        <f>AG150+AK150</f>
        <v>2346400000</v>
      </c>
      <c r="AM150" s="20">
        <f t="shared" ref="AM150:BB150" si="116">AM130+AM132+AM148</f>
        <v>569241132</v>
      </c>
      <c r="AN150" s="20">
        <f t="shared" si="116"/>
        <v>209021189</v>
      </c>
      <c r="AO150" s="20">
        <f t="shared" si="116"/>
        <v>485418814</v>
      </c>
      <c r="AP150" s="20">
        <f>AM150+AN150+AO150+AP147+AP148</f>
        <v>1464881135</v>
      </c>
      <c r="AQ150" s="20">
        <f t="shared" si="116"/>
        <v>556613150</v>
      </c>
      <c r="AR150" s="20">
        <f t="shared" si="116"/>
        <v>81500000</v>
      </c>
      <c r="AS150" s="20">
        <f t="shared" si="116"/>
        <v>271300002</v>
      </c>
      <c r="AT150" s="20">
        <f t="shared" si="116"/>
        <v>909413152</v>
      </c>
      <c r="AU150" s="20">
        <f>AP150+AT150</f>
        <v>2374294287</v>
      </c>
      <c r="AV150" s="20">
        <f t="shared" si="116"/>
        <v>620648185</v>
      </c>
      <c r="AW150" s="20">
        <f t="shared" si="116"/>
        <v>225821188</v>
      </c>
      <c r="AX150" s="20">
        <f t="shared" si="116"/>
        <v>528538914</v>
      </c>
      <c r="AY150" s="20">
        <f>AX150+AW150+AV150+AY147+AY148</f>
        <v>1587308287</v>
      </c>
      <c r="AZ150" s="20">
        <f t="shared" si="116"/>
        <v>636663170</v>
      </c>
      <c r="BA150" s="20">
        <f t="shared" si="116"/>
        <v>88100000</v>
      </c>
      <c r="BB150" s="20">
        <f t="shared" si="116"/>
        <v>283937502</v>
      </c>
      <c r="BC150" s="20">
        <f>AZ150+BA150+BB150</f>
        <v>1008700672</v>
      </c>
      <c r="BD150" s="20">
        <f>AY150+BC150</f>
        <v>2596008959</v>
      </c>
    </row>
    <row r="151" spans="1:56" x14ac:dyDescent="0.25">
      <c r="L151" s="24"/>
      <c r="M151" s="24"/>
      <c r="N151" s="24"/>
      <c r="P151" s="24"/>
      <c r="Q151" s="24"/>
      <c r="T151" s="24"/>
      <c r="U151" s="24"/>
      <c r="V151" s="24"/>
      <c r="AD151" s="24"/>
      <c r="AE151" s="24"/>
      <c r="AF151" s="24"/>
      <c r="AM151" s="24"/>
      <c r="AN151" s="24"/>
      <c r="AO151" s="24"/>
      <c r="AW151" s="24"/>
      <c r="AX151" s="24"/>
      <c r="BA151" s="24"/>
    </row>
    <row r="152" spans="1:56" x14ac:dyDescent="0.25">
      <c r="D152" s="24"/>
      <c r="E152" s="24"/>
      <c r="H152" s="24"/>
      <c r="R152" s="24"/>
      <c r="W152" s="24"/>
      <c r="AA152" s="24"/>
      <c r="AB152" s="24"/>
      <c r="AD152" s="24"/>
      <c r="AG152" s="24"/>
      <c r="AH152" s="24"/>
      <c r="AI152" s="24"/>
      <c r="AJ152" s="24"/>
      <c r="AM152" s="24"/>
      <c r="AR152" s="24">
        <v>0</v>
      </c>
      <c r="AS152" s="24">
        <v>0</v>
      </c>
      <c r="AV152" s="24"/>
      <c r="AW152" s="24"/>
      <c r="AX152" s="24"/>
      <c r="AZ152" s="24"/>
    </row>
    <row r="153" spans="1:56" x14ac:dyDescent="0.25">
      <c r="D153" s="24"/>
      <c r="G153" s="24"/>
      <c r="M153" s="24"/>
      <c r="Q153" s="24"/>
      <c r="U153" s="24"/>
      <c r="W153" s="24"/>
      <c r="Y153" s="24"/>
      <c r="Z153" s="24"/>
      <c r="AG153" s="24"/>
      <c r="AI153" s="24"/>
      <c r="AL153" s="24"/>
      <c r="AM153" s="24"/>
      <c r="AN153" s="24"/>
      <c r="AO153" s="24"/>
      <c r="AQ153" s="24"/>
      <c r="AR153" s="24"/>
      <c r="AZ153" s="24"/>
      <c r="BA153" s="24"/>
    </row>
    <row r="154" spans="1:56" x14ac:dyDescent="0.25">
      <c r="E154" s="24"/>
      <c r="G154" s="24"/>
      <c r="Q154" s="24"/>
      <c r="R154" s="24"/>
      <c r="Y154" s="24"/>
      <c r="Z154" s="24"/>
      <c r="AB154" s="24"/>
      <c r="AD154" s="24"/>
      <c r="AE154" s="24"/>
      <c r="AF154" s="24"/>
      <c r="AI154" s="24"/>
      <c r="AK154" s="24"/>
      <c r="AL154" s="24"/>
      <c r="AR154" s="24"/>
      <c r="AS154" s="24"/>
      <c r="AY154" s="24"/>
    </row>
    <row r="155" spans="1:56" x14ac:dyDescent="0.25">
      <c r="H155" s="24"/>
      <c r="I155" s="24"/>
      <c r="J155" s="21"/>
      <c r="R155" s="24"/>
      <c r="V155" s="24"/>
      <c r="AM155" s="24"/>
      <c r="AX155" s="24"/>
      <c r="BA155" s="24"/>
      <c r="BB155" s="24"/>
    </row>
    <row r="156" spans="1:56" x14ac:dyDescent="0.25">
      <c r="H156" s="24"/>
      <c r="L156" s="24"/>
      <c r="Z156" s="24"/>
      <c r="AI156" s="24"/>
      <c r="BA156" s="24"/>
    </row>
    <row r="157" spans="1:56" x14ac:dyDescent="0.25">
      <c r="AG157" s="24"/>
      <c r="AN157" s="24"/>
    </row>
    <row r="158" spans="1:56" ht="16.5" x14ac:dyDescent="0.25">
      <c r="N158" s="8"/>
      <c r="O158" s="8"/>
      <c r="P158" s="8"/>
      <c r="Q158" s="8"/>
      <c r="R158" s="8"/>
      <c r="S158" s="19"/>
      <c r="T158" s="8"/>
      <c r="U158" s="8"/>
    </row>
    <row r="159" spans="1:56" x14ac:dyDescent="0.25">
      <c r="AF159" s="24"/>
      <c r="AK159" s="24"/>
      <c r="BD159" s="24"/>
    </row>
    <row r="160" spans="1:56" x14ac:dyDescent="0.25">
      <c r="AM160" s="24"/>
      <c r="AW160" s="26"/>
    </row>
    <row r="161" spans="4:53" x14ac:dyDescent="0.25">
      <c r="AH161" s="24"/>
      <c r="AO161" s="24"/>
      <c r="AS161" s="24"/>
      <c r="BA161" s="24"/>
    </row>
    <row r="162" spans="4:53" x14ac:dyDescent="0.25">
      <c r="D162" s="21"/>
      <c r="P162" s="24"/>
    </row>
    <row r="163" spans="4:53" x14ac:dyDescent="0.25">
      <c r="Q163" s="24"/>
    </row>
    <row r="164" spans="4:53" x14ac:dyDescent="0.25">
      <c r="AY164" s="24"/>
    </row>
    <row r="166" spans="4:53" x14ac:dyDescent="0.25">
      <c r="AV166" s="24"/>
    </row>
    <row r="171" spans="4:53" x14ac:dyDescent="0.25">
      <c r="AM171" s="24"/>
    </row>
    <row r="172" spans="4:53" x14ac:dyDescent="0.25">
      <c r="W172" s="24"/>
    </row>
    <row r="173" spans="4:53" x14ac:dyDescent="0.25">
      <c r="AQ173" s="24"/>
    </row>
    <row r="175" spans="4:53" x14ac:dyDescent="0.25">
      <c r="AO175" s="24"/>
    </row>
  </sheetData>
  <mergeCells count="47">
    <mergeCell ref="A124:B124"/>
    <mergeCell ref="BA3:BC3"/>
    <mergeCell ref="V2:Z2"/>
    <mergeCell ref="A7:B7"/>
    <mergeCell ref="A11:B11"/>
    <mergeCell ref="A17:B17"/>
    <mergeCell ref="A22:B22"/>
    <mergeCell ref="A90:B90"/>
    <mergeCell ref="A31:B31"/>
    <mergeCell ref="AZ5:BD5"/>
    <mergeCell ref="AQ5:AU5"/>
    <mergeCell ref="A76:B76"/>
    <mergeCell ref="AV5:AY5"/>
    <mergeCell ref="A37:B37"/>
    <mergeCell ref="A42:B42"/>
    <mergeCell ref="A47:B47"/>
    <mergeCell ref="A130:B130"/>
    <mergeCell ref="A132:B132"/>
    <mergeCell ref="A150:B150"/>
    <mergeCell ref="L5:O5"/>
    <mergeCell ref="P5:S5"/>
    <mergeCell ref="A93:B93"/>
    <mergeCell ref="A99:B99"/>
    <mergeCell ref="A105:B105"/>
    <mergeCell ref="A111:B111"/>
    <mergeCell ref="A115:B115"/>
    <mergeCell ref="A120:B120"/>
    <mergeCell ref="A60:B60"/>
    <mergeCell ref="A65:B65"/>
    <mergeCell ref="A70:B70"/>
    <mergeCell ref="A79:B79"/>
    <mergeCell ref="A85:B85"/>
    <mergeCell ref="A51:B51"/>
    <mergeCell ref="A55:B55"/>
    <mergeCell ref="AM5:AP5"/>
    <mergeCell ref="AD5:AG5"/>
    <mergeCell ref="AH5:AK5"/>
    <mergeCell ref="U5:X5"/>
    <mergeCell ref="Y5:AB5"/>
    <mergeCell ref="C5:F5"/>
    <mergeCell ref="G5:J5"/>
    <mergeCell ref="AV4:BD4"/>
    <mergeCell ref="C4:K4"/>
    <mergeCell ref="L4:T4"/>
    <mergeCell ref="U4:AC4"/>
    <mergeCell ref="AD4:AL4"/>
    <mergeCell ref="AM4:AU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W41"/>
  <sheetViews>
    <sheetView zoomScaleNormal="100" workbookViewId="0">
      <pane xSplit="6" ySplit="7" topLeftCell="AI14" activePane="bottomRight" state="frozen"/>
      <selection pane="topRight" activeCell="G1" sqref="G1"/>
      <selection pane="bottomLeft" activeCell="A8" sqref="A8"/>
      <selection pane="bottomRight" activeCell="AN19" sqref="AN19"/>
    </sheetView>
  </sheetViews>
  <sheetFormatPr baseColWidth="10" defaultColWidth="11.42578125" defaultRowHeight="21" customHeight="1" x14ac:dyDescent="0.25"/>
  <cols>
    <col min="1" max="1" width="5" style="16" customWidth="1"/>
    <col min="2" max="2" width="36" style="16" customWidth="1"/>
    <col min="3" max="6" width="45.85546875" style="16" hidden="1" customWidth="1"/>
    <col min="7" max="7" width="14.85546875" style="16" customWidth="1"/>
    <col min="8" max="8" width="15" style="16" customWidth="1"/>
    <col min="9" max="9" width="16.140625" style="16" customWidth="1"/>
    <col min="10" max="10" width="14.5703125" style="16" customWidth="1"/>
    <col min="11" max="11" width="14.42578125" style="16" customWidth="1"/>
    <col min="12" max="12" width="16.85546875" style="16" customWidth="1"/>
    <col min="13" max="13" width="8.7109375" style="16" customWidth="1"/>
    <col min="14" max="14" width="20.140625" style="16" customWidth="1"/>
    <col min="15" max="15" width="21.7109375" style="70" bestFit="1" customWidth="1"/>
    <col min="16" max="16" width="24.42578125" style="16" customWidth="1"/>
    <col min="17" max="17" width="16.140625" style="16" customWidth="1"/>
    <col min="18" max="18" width="14.5703125" style="16" customWidth="1"/>
    <col min="19" max="19" width="16.5703125" style="16" customWidth="1"/>
    <col min="20" max="20" width="8.5703125" style="16" customWidth="1"/>
    <col min="21" max="21" width="17.140625" style="16" customWidth="1"/>
    <col min="22" max="22" width="14" style="16" customWidth="1"/>
    <col min="23" max="23" width="15.85546875" style="16" customWidth="1"/>
    <col min="24" max="24" width="13.85546875" style="16" customWidth="1"/>
    <col min="25" max="25" width="16.85546875" style="16" customWidth="1"/>
    <col min="26" max="26" width="15.7109375" style="16" customWidth="1"/>
    <col min="27" max="27" width="8.85546875" style="16" customWidth="1"/>
    <col min="28" max="28" width="14.42578125" style="16" customWidth="1"/>
    <col min="29" max="29" width="20.42578125" style="16" customWidth="1"/>
    <col min="30" max="30" width="14.28515625" style="16" customWidth="1"/>
    <col min="31" max="31" width="14.5703125" style="16" customWidth="1"/>
    <col min="32" max="32" width="14" style="16" customWidth="1"/>
    <col min="33" max="33" width="15.7109375" style="16" customWidth="1"/>
    <col min="34" max="34" width="8.42578125" style="16" customWidth="1"/>
    <col min="35" max="35" width="22.28515625" style="16" customWidth="1"/>
    <col min="36" max="36" width="15.28515625" style="16" customWidth="1"/>
    <col min="37" max="37" width="13.7109375" style="16" customWidth="1"/>
    <col min="38" max="38" width="15" style="16" customWidth="1"/>
    <col min="39" max="39" width="15.5703125" style="16" customWidth="1"/>
    <col min="40" max="40" width="17.7109375" style="16" customWidth="1"/>
    <col min="41" max="41" width="9.5703125" style="16" customWidth="1"/>
    <col min="42" max="42" width="18" style="16" customWidth="1"/>
    <col min="43" max="43" width="18.5703125" style="16" customWidth="1"/>
    <col min="44" max="44" width="14.42578125" style="16" customWidth="1"/>
    <col min="45" max="46" width="14" style="16" bestFit="1" customWidth="1"/>
    <col min="47" max="47" width="17.42578125" style="16" customWidth="1"/>
    <col min="48" max="48" width="9.7109375" style="16" customWidth="1"/>
    <col min="49" max="49" width="53.85546875" style="16" customWidth="1"/>
    <col min="50" max="16384" width="11.42578125" style="16"/>
  </cols>
  <sheetData>
    <row r="1" spans="1:49" ht="8.25" customHeight="1" x14ac:dyDescent="0.25">
      <c r="A1" s="126"/>
      <c r="B1" s="126"/>
      <c r="C1" s="1"/>
      <c r="D1" s="1"/>
      <c r="E1" s="1"/>
      <c r="F1" s="1"/>
      <c r="G1" s="1"/>
      <c r="H1" s="1"/>
      <c r="I1" s="1"/>
      <c r="J1" s="1"/>
      <c r="K1" s="1"/>
      <c r="O1" s="46"/>
    </row>
    <row r="2" spans="1:49" ht="8.25" customHeight="1" x14ac:dyDescent="0.25">
      <c r="A2" s="1"/>
      <c r="B2" s="21"/>
      <c r="C2" s="1"/>
      <c r="D2" s="1"/>
      <c r="E2" s="1"/>
      <c r="F2" s="1"/>
      <c r="G2" s="1"/>
      <c r="H2" s="1"/>
      <c r="I2" s="1"/>
      <c r="J2" s="1"/>
      <c r="K2" s="1"/>
      <c r="O2" s="46"/>
      <c r="AB2" s="44"/>
      <c r="AC2" s="48"/>
      <c r="AG2" s="48"/>
    </row>
    <row r="3" spans="1:49" ht="8.25" customHeight="1" thickBot="1" x14ac:dyDescent="0.3">
      <c r="A3" s="1"/>
      <c r="B3" s="21"/>
      <c r="C3" s="1"/>
      <c r="D3" s="1"/>
      <c r="E3" s="1"/>
      <c r="F3" s="1"/>
      <c r="G3" s="1"/>
      <c r="H3" s="1"/>
      <c r="I3" s="1"/>
      <c r="J3" s="1"/>
      <c r="K3" s="1"/>
      <c r="O3" s="46"/>
    </row>
    <row r="4" spans="1:49" ht="8.25" customHeight="1" x14ac:dyDescent="0.25">
      <c r="A4" s="1"/>
      <c r="B4" s="47"/>
      <c r="C4" s="1"/>
      <c r="D4" s="1"/>
      <c r="E4" s="1"/>
      <c r="F4" s="1"/>
      <c r="G4" s="116">
        <v>2020</v>
      </c>
      <c r="H4" s="117"/>
      <c r="I4" s="117"/>
      <c r="J4" s="117"/>
      <c r="K4" s="117"/>
      <c r="L4" s="117"/>
      <c r="M4" s="117"/>
      <c r="N4" s="116" t="s">
        <v>293</v>
      </c>
      <c r="O4" s="117"/>
      <c r="P4" s="117"/>
      <c r="Q4" s="117"/>
      <c r="R4" s="117"/>
      <c r="S4" s="117"/>
      <c r="T4" s="117"/>
      <c r="U4" s="116" t="s">
        <v>297</v>
      </c>
      <c r="V4" s="117"/>
      <c r="W4" s="117"/>
      <c r="X4" s="117"/>
      <c r="Y4" s="117"/>
      <c r="Z4" s="117"/>
      <c r="AA4" s="117"/>
      <c r="AB4" s="116">
        <v>2023</v>
      </c>
      <c r="AC4" s="117"/>
      <c r="AD4" s="117"/>
      <c r="AE4" s="117"/>
      <c r="AF4" s="117"/>
      <c r="AG4" s="117"/>
      <c r="AH4" s="117"/>
      <c r="AI4" s="116">
        <v>2024</v>
      </c>
      <c r="AJ4" s="117"/>
      <c r="AK4" s="117"/>
      <c r="AL4" s="117"/>
      <c r="AM4" s="117"/>
      <c r="AN4" s="117"/>
      <c r="AO4" s="117"/>
      <c r="AP4" s="116">
        <v>2025</v>
      </c>
      <c r="AQ4" s="117"/>
      <c r="AR4" s="117"/>
      <c r="AS4" s="117"/>
      <c r="AT4" s="117"/>
      <c r="AU4" s="117"/>
      <c r="AV4" s="117"/>
      <c r="AW4" s="118"/>
    </row>
    <row r="5" spans="1:49" ht="8.25" customHeight="1" thickBot="1" x14ac:dyDescent="0.3">
      <c r="A5" s="1"/>
      <c r="B5" s="1"/>
      <c r="C5" s="1"/>
      <c r="D5" s="1"/>
      <c r="E5" s="1"/>
      <c r="F5" s="1"/>
      <c r="G5" s="119"/>
      <c r="H5" s="120"/>
      <c r="I5" s="120"/>
      <c r="J5" s="120"/>
      <c r="K5" s="120"/>
      <c r="L5" s="120"/>
      <c r="M5" s="120"/>
      <c r="N5" s="119"/>
      <c r="O5" s="120"/>
      <c r="P5" s="120"/>
      <c r="Q5" s="120"/>
      <c r="R5" s="120"/>
      <c r="S5" s="120"/>
      <c r="T5" s="120"/>
      <c r="U5" s="119"/>
      <c r="V5" s="120"/>
      <c r="W5" s="120"/>
      <c r="X5" s="120"/>
      <c r="Y5" s="120"/>
      <c r="Z5" s="120"/>
      <c r="AA5" s="120"/>
      <c r="AB5" s="119"/>
      <c r="AC5" s="120"/>
      <c r="AD5" s="120"/>
      <c r="AE5" s="120"/>
      <c r="AF5" s="120"/>
      <c r="AG5" s="120"/>
      <c r="AH5" s="120"/>
      <c r="AI5" s="119"/>
      <c r="AJ5" s="120"/>
      <c r="AK5" s="120"/>
      <c r="AL5" s="120"/>
      <c r="AM5" s="120"/>
      <c r="AN5" s="120"/>
      <c r="AO5" s="120"/>
      <c r="AP5" s="119"/>
      <c r="AQ5" s="120"/>
      <c r="AR5" s="120"/>
      <c r="AS5" s="120"/>
      <c r="AT5" s="120"/>
      <c r="AU5" s="120"/>
      <c r="AV5" s="120"/>
      <c r="AW5" s="121"/>
    </row>
    <row r="6" spans="1:49" ht="20.25" customHeight="1" x14ac:dyDescent="0.25">
      <c r="A6" s="113" t="s">
        <v>244</v>
      </c>
      <c r="B6" s="113" t="s">
        <v>245</v>
      </c>
      <c r="C6" s="1"/>
      <c r="D6" s="1"/>
      <c r="E6" s="1"/>
      <c r="F6" s="1"/>
      <c r="G6" s="122" t="s">
        <v>0</v>
      </c>
      <c r="H6" s="123"/>
      <c r="I6" s="123"/>
      <c r="J6" s="122" t="s">
        <v>1</v>
      </c>
      <c r="K6" s="124"/>
      <c r="L6" s="125" t="s">
        <v>246</v>
      </c>
      <c r="M6" s="125" t="s">
        <v>247</v>
      </c>
      <c r="N6" s="110" t="s">
        <v>0</v>
      </c>
      <c r="O6" s="111"/>
      <c r="P6" s="111"/>
      <c r="Q6" s="110" t="s">
        <v>1</v>
      </c>
      <c r="R6" s="112"/>
      <c r="S6" s="113" t="s">
        <v>246</v>
      </c>
      <c r="T6" s="113" t="s">
        <v>247</v>
      </c>
      <c r="U6" s="110" t="s">
        <v>0</v>
      </c>
      <c r="V6" s="111"/>
      <c r="W6" s="111"/>
      <c r="X6" s="110" t="s">
        <v>1</v>
      </c>
      <c r="Y6" s="112"/>
      <c r="Z6" s="113" t="s">
        <v>246</v>
      </c>
      <c r="AA6" s="113" t="s">
        <v>247</v>
      </c>
      <c r="AB6" s="110" t="s">
        <v>0</v>
      </c>
      <c r="AC6" s="111"/>
      <c r="AD6" s="111"/>
      <c r="AE6" s="110" t="s">
        <v>1</v>
      </c>
      <c r="AF6" s="112"/>
      <c r="AG6" s="113" t="s">
        <v>246</v>
      </c>
      <c r="AH6" s="113" t="s">
        <v>247</v>
      </c>
      <c r="AI6" s="110" t="s">
        <v>0</v>
      </c>
      <c r="AJ6" s="111"/>
      <c r="AK6" s="111"/>
      <c r="AL6" s="110" t="s">
        <v>1</v>
      </c>
      <c r="AM6" s="112"/>
      <c r="AN6" s="113" t="s">
        <v>246</v>
      </c>
      <c r="AO6" s="113" t="s">
        <v>247</v>
      </c>
      <c r="AP6" s="110" t="s">
        <v>0</v>
      </c>
      <c r="AQ6" s="111"/>
      <c r="AR6" s="111"/>
      <c r="AS6" s="110" t="s">
        <v>1</v>
      </c>
      <c r="AT6" s="112"/>
      <c r="AU6" s="113" t="s">
        <v>246</v>
      </c>
      <c r="AV6" s="113" t="s">
        <v>247</v>
      </c>
      <c r="AW6" s="125" t="s">
        <v>248</v>
      </c>
    </row>
    <row r="7" spans="1:49" s="51" customFormat="1" ht="43.9" customHeight="1" x14ac:dyDescent="0.25">
      <c r="A7" s="114"/>
      <c r="B7" s="114"/>
      <c r="C7" s="49"/>
      <c r="D7" s="2"/>
      <c r="E7" s="2"/>
      <c r="F7" s="2"/>
      <c r="G7" s="50" t="s">
        <v>249</v>
      </c>
      <c r="H7" s="50" t="s">
        <v>250</v>
      </c>
      <c r="I7" s="50" t="s">
        <v>251</v>
      </c>
      <c r="J7" s="50" t="s">
        <v>252</v>
      </c>
      <c r="K7" s="50" t="s">
        <v>253</v>
      </c>
      <c r="L7" s="114"/>
      <c r="M7" s="114"/>
      <c r="N7" s="50" t="s">
        <v>249</v>
      </c>
      <c r="O7" s="50" t="s">
        <v>250</v>
      </c>
      <c r="P7" s="50" t="s">
        <v>251</v>
      </c>
      <c r="Q7" s="50" t="s">
        <v>252</v>
      </c>
      <c r="R7" s="50" t="s">
        <v>253</v>
      </c>
      <c r="S7" s="114"/>
      <c r="T7" s="114"/>
      <c r="U7" s="50" t="s">
        <v>249</v>
      </c>
      <c r="V7" s="50" t="s">
        <v>254</v>
      </c>
      <c r="W7" s="50" t="s">
        <v>251</v>
      </c>
      <c r="X7" s="50" t="s">
        <v>252</v>
      </c>
      <c r="Y7" s="50" t="s">
        <v>253</v>
      </c>
      <c r="Z7" s="114"/>
      <c r="AA7" s="114"/>
      <c r="AB7" s="50" t="s">
        <v>249</v>
      </c>
      <c r="AC7" s="50" t="s">
        <v>250</v>
      </c>
      <c r="AD7" s="50" t="s">
        <v>251</v>
      </c>
      <c r="AE7" s="50" t="s">
        <v>252</v>
      </c>
      <c r="AF7" s="50" t="s">
        <v>253</v>
      </c>
      <c r="AG7" s="114"/>
      <c r="AH7" s="114"/>
      <c r="AI7" s="50" t="s">
        <v>249</v>
      </c>
      <c r="AJ7" s="50" t="s">
        <v>250</v>
      </c>
      <c r="AK7" s="50" t="s">
        <v>251</v>
      </c>
      <c r="AL7" s="50" t="s">
        <v>252</v>
      </c>
      <c r="AM7" s="50" t="s">
        <v>253</v>
      </c>
      <c r="AN7" s="114"/>
      <c r="AO7" s="114"/>
      <c r="AP7" s="50" t="s">
        <v>249</v>
      </c>
      <c r="AQ7" s="50" t="s">
        <v>250</v>
      </c>
      <c r="AR7" s="50" t="s">
        <v>251</v>
      </c>
      <c r="AS7" s="50" t="s">
        <v>252</v>
      </c>
      <c r="AT7" s="50" t="s">
        <v>253</v>
      </c>
      <c r="AU7" s="114"/>
      <c r="AV7" s="114"/>
      <c r="AW7" s="114"/>
    </row>
    <row r="8" spans="1:49" ht="81" customHeight="1" x14ac:dyDescent="0.25">
      <c r="A8" s="52" t="s">
        <v>255</v>
      </c>
      <c r="B8" s="79" t="s">
        <v>256</v>
      </c>
      <c r="C8" s="7"/>
      <c r="D8" s="7"/>
      <c r="E8" s="7"/>
      <c r="F8" s="7"/>
      <c r="G8" s="53">
        <f>[1]Feuil1!$U$7+[1]Feuil1!$U$17+[1]Feuil1!$U$39+[1]Feuil1!$U$44+[1]Feuil1!$U$126+[1]Feuil1!$U$127+[1]Feuil1!$U$128+[1]Feuil1!$U$129+[1]Feuil1!$U$130+[1]Feuil1!$U$131+[1]Feuil1!$U$132+[1]Feuil1!$U$135+[1]Feuil1!$U$137+[1]Feuil1!$U$138+[1]Feuil1!$U$139+0</f>
        <v>88812880</v>
      </c>
      <c r="H8" s="53">
        <f>[1]Feuil1!$V$7+[1]Feuil1!$V$17+[1]Feuil1!$V$39+[1]Feuil1!$V$44+[1]Feuil1!$V$126+[1]Feuil1!$V$127+[1]Feuil1!$V$128+[1]Feuil1!$V$129+[1]Feuil1!$V$130+[1]Feuil1!$V$131+[1]Feuil1!$V$132+[1]Feuil1!$V$135+[1]Feuil1!$V$137+[1]Feuil1!$V$139</f>
        <v>119092414</v>
      </c>
      <c r="I8" s="53">
        <f>[1]Feuil1!$W$7+[1]Feuil1!$W$17+[1]Feuil1!$W$39+[1]Feuil1!$W$44+[1]Feuil1!$W$126+[1]Feuil1!$W$127+[1]Feuil1!$W$128+[1]Feuil1!$W$129+[1]Feuil1!$W$130+[1]Feuil1!$W$131+[1]Feuil1!$W$132+[1]Feuil1!$W$133+[1]Feuil1!$W$134+[1]Feuil1!$W$135+[1]Feuil1!$W$137+[1]Feuil1!$W$138+[1]Feuil1!$W$139+[1]Feuil1!$W$140</f>
        <v>154630259</v>
      </c>
      <c r="J8" s="53">
        <f>[1]Feuil1!$Y$7+[1]Feuil1!$Y$17+[1]Feuil1!$Y$39+[1]Feuil1!$Y$44+[1]Feuil1!$Y$139+[1]Feuil1!$Y$140</f>
        <v>27950000</v>
      </c>
      <c r="K8" s="53">
        <f>[1]Feuil1!$Z$7+[1]Feuil1!$AA$7+[1]Feuil1!$Z$39+[1]Feuil1!$Z$137+[1]Feuil1!$AA$140+0</f>
        <v>53483811</v>
      </c>
      <c r="L8" s="54">
        <f>G8+H8+I8+J8+K8+189300000</f>
        <v>633269364</v>
      </c>
      <c r="M8" s="55">
        <f t="shared" ref="M8:M17" si="0">L8/$S$19</f>
        <v>0.35572351520840467</v>
      </c>
      <c r="N8" s="56">
        <f>[1]Feuil1!$AD$7+[1]Feuil1!$AD$17+[1]Feuil1!$AD$39+[1]Feuil1!$AD$44+[1]Feuil1!$AD$126+[1]Feuil1!$AD$127+[1]Feuil1!$AD$128+[1]Feuil1!$AD$129+[1]Feuil1!$AD$130+[1]Feuil1!$AD$131+[1]Feuil1!$AD$132+[1]Feuil1!$AD$135+[1]Feuil1!$AD$137+[1]Feuil1!$AD$138+[1]Feuil1!$AD$139</f>
        <v>98410374</v>
      </c>
      <c r="O8" s="56">
        <f>[1]Feuil1!$AE$7+[1]Feuil1!$AE$17+[1]Feuil1!$AE$39+[1]Feuil1!$AE$44+[1]Feuil1!$AE$126+[1]Feuil1!$AE$127+[1]Feuil1!$AE$128+[1]Feuil1!$AE$129+[1]Feuil1!$AE$130+[1]Feuil1!$AE$131+[1]Feuil1!$AE$132+[1]Feuil1!$AE$135+[1]Feuil1!$AE$137+[1]Feuil1!$AE$139</f>
        <v>61558310</v>
      </c>
      <c r="P8" s="56">
        <f>[1]Feuil1!$AF$7+[1]Feuil1!$AF$17+[1]Feuil1!$AF$39+[1]Feuil1!$AF$44+[1]Feuil1!$AF$126+[1]Feuil1!$AF$127+[1]Feuil1!$AF$128+[1]Feuil1!$AF$129+[1]Feuil1!$AF$130+[1]Feuil1!$AF$131+[1]Feuil1!$AF$132+[1]Feuil1!$AF$133+[1]Feuil1!$AF$134+[1]Feuil1!$AF$135+[1]Feuil1!$AF$137+[1]Feuil1!$AF$138+[1]Feuil1!$AF$139+1718953</f>
        <v>161628013</v>
      </c>
      <c r="Q8" s="56">
        <f>[1]Feuil1!$AH$7+[1]Feuil1!$AH$17+[1]Feuil1!$AH$39+[1]Feuil1!$AH$44+[1]Feuil1!$AH$126+[1]Feuil1!$AH$137</f>
        <v>21630000</v>
      </c>
      <c r="R8" s="56">
        <f>[1]Feuil1!$AI$7+[1]Feuil1!$AJ$7+[1]Feuil1!$AI$39+[1]Feuil1!$AI$44+[1]Feuil1!$AI$137</f>
        <v>27777546</v>
      </c>
      <c r="S8" s="39">
        <f>N8+O8+P8+Q8+R8+220800000</f>
        <v>591804243</v>
      </c>
      <c r="T8" s="55">
        <f t="shared" ref="T8:T17" si="1">S8/$Z$19</f>
        <v>0.29185206500282612</v>
      </c>
      <c r="U8" s="56">
        <v>93244719</v>
      </c>
      <c r="V8" s="56">
        <v>78622656</v>
      </c>
      <c r="W8" s="56">
        <v>158879894</v>
      </c>
      <c r="X8" s="56">
        <v>28211000</v>
      </c>
      <c r="Y8" s="56">
        <f>9148631+5000000</f>
        <v>14148631</v>
      </c>
      <c r="Z8" s="39">
        <f>U8+V8+W8+X8+Y8</f>
        <v>373106900</v>
      </c>
      <c r="AA8" s="57">
        <f t="shared" ref="AA8:AA15" si="2">Z8/$AG$19</f>
        <v>0.15901248721445618</v>
      </c>
      <c r="AB8" s="56">
        <f>'Classif Prog-Admin-Eco'!AD7+'Classif Prog-Admin-Eco'!AD17+'Classif Prog-Admin-Eco'!AD42+'Classif Prog-Admin-Eco'!AD47+'Classif Prog-Admin-Eco'!AD133+'Classif Prog-Admin-Eco'!AD134+'Classif Prog-Admin-Eco'!AD135+'Classif Prog-Admin-Eco'!AD136+'Classif Prog-Admin-Eco'!AD137+'Classif Prog-Admin-Eco'!AD138+'Classif Prog-Admin-Eco'!AD139+'Classif Prog-Admin-Eco'!AD140+'Classif Prog-Admin-Eco'!AD141+'Classif Prog-Admin-Eco'!AD142+'Classif Prog-Admin-Eco'!AD144+'Classif Prog-Admin-Eco'!AD145+'Classif Prog-Admin-Eco'!AD146</f>
        <v>102476465</v>
      </c>
      <c r="AC8" s="56">
        <f>'Classif Prog-Admin-Eco'!AE7+'Classif Prog-Admin-Eco'!AE17+'Classif Prog-Admin-Eco'!AE42+'Classif Prog-Admin-Eco'!AE47+'Classif Prog-Admin-Eco'!AE133+'Classif Prog-Admin-Eco'!AE134+'Classif Prog-Admin-Eco'!AE135+'Classif Prog-Admin-Eco'!AE136+'Classif Prog-Admin-Eco'!AE137+'Classif Prog-Admin-Eco'!AE138+'Classif Prog-Admin-Eco'!AE139+'Classif Prog-Admin-Eco'!AE140+'Classif Prog-Admin-Eco'!AE141+'Classif Prog-Admin-Eco'!AE142+'Classif Prog-Admin-Eco'!AE144+'Classif Prog-Admin-Eco'!AE146+0</f>
        <v>55781865</v>
      </c>
      <c r="AD8" s="56">
        <f>'Classif Prog-Admin-Eco'!AF7+'Classif Prog-Admin-Eco'!AF17+'Classif Prog-Admin-Eco'!AF42+'Classif Prog-Admin-Eco'!AF47+'Classif Prog-Admin-Eco'!AF133+'Classif Prog-Admin-Eco'!AF134+'Classif Prog-Admin-Eco'!AF135+'Classif Prog-Admin-Eco'!AF136+'Classif Prog-Admin-Eco'!AF137+'Classif Prog-Admin-Eco'!AF138+'Classif Prog-Admin-Eco'!AF139+'Classif Prog-Admin-Eco'!AF140+'Classif Prog-Admin-Eco'!AF141+'Classif Prog-Admin-Eco'!AF142+'Classif Prog-Admin-Eco'!AF144+'Classif Prog-Admin-Eco'!AF145+'Classif Prog-Admin-Eco'!AF146+0</f>
        <v>243099850</v>
      </c>
      <c r="AE8" s="56">
        <f>'Classif Prog-Admin-Eco'!AH7+'Classif Prog-Admin-Eco'!AH17+'Classif Prog-Admin-Eco'!AH42+'Classif Prog-Admin-Eco'!AH47+'Classif Prog-Admin-Eco'!AH133+'Classif Prog-Admin-Eco'!AH144</f>
        <v>29224301</v>
      </c>
      <c r="AF8" s="56">
        <f>'Classif Prog-Admin-Eco'!AI7+'Classif Prog-Admin-Eco'!AI42+'Classif Prog-Admin-Eco'!AI47+'Classif Prog-Admin-Eco'!AJ132</f>
        <v>27010189</v>
      </c>
      <c r="AG8" s="39">
        <f>AB8+AC8+AD8+AE8+AF8+'Classif Prog-Admin-Eco'!AL147</f>
        <v>458213202</v>
      </c>
      <c r="AH8" s="57">
        <f t="shared" ref="AH8:AH17" si="3">AG8/$AN$19</f>
        <v>0.19298921979000661</v>
      </c>
      <c r="AI8" s="56">
        <f>'Classif Prog-Admin-Eco'!AM7+'Classif Prog-Admin-Eco'!AM17+'Classif Prog-Admin-Eco'!AM42+'Classif Prog-Admin-Eco'!AM47+'Classif Prog-Admin-Eco'!AM133+'Classif Prog-Admin-Eco'!AM134+'Classif Prog-Admin-Eco'!AM135+'Classif Prog-Admin-Eco'!AM136+'Classif Prog-Admin-Eco'!AM137+'Classif Prog-Admin-Eco'!AM138+'Classif Prog-Admin-Eco'!AM139+'Classif Prog-Admin-Eco'!AM140+'Classif Prog-Admin-Eco'!AM141+'Classif Prog-Admin-Eco'!AM142+'Classif Prog-Admin-Eco'!AM144+'Classif Prog-Admin-Eco'!AM145+'Classif Prog-Admin-Eco'!AM146</f>
        <v>123536363</v>
      </c>
      <c r="AJ8" s="56">
        <f>'Classif Prog-Admin-Eco'!AN7+'Classif Prog-Admin-Eco'!AN17+'Classif Prog-Admin-Eco'!AN42+'Classif Prog-Admin-Eco'!AN47+'Classif Prog-Admin-Eco'!AN133+'Classif Prog-Admin-Eco'!AN134+'Classif Prog-Admin-Eco'!AN135+'Classif Prog-Admin-Eco'!AN136+'Classif Prog-Admin-Eco'!AN137+'Classif Prog-Admin-Eco'!AN138+'Classif Prog-Admin-Eco'!AN139+'Classif Prog-Admin-Eco'!AN140+'Classif Prog-Admin-Eco'!AN141+'Classif Prog-Admin-Eco'!AN142+'Classif Prog-Admin-Eco'!AN144+'Classif Prog-Admin-Eco'!AN145+'Classif Prog-Admin-Eco'!AN146</f>
        <v>68007473</v>
      </c>
      <c r="AK8" s="56">
        <f>'Classif Prog-Admin-Eco'!AO7+'Classif Prog-Admin-Eco'!AO17+'Classif Prog-Admin-Eco'!AO42+'Classif Prog-Admin-Eco'!AO47+'Classif Prog-Admin-Eco'!AO133+'Classif Prog-Admin-Eco'!AO134+'Classif Prog-Admin-Eco'!AO135+'Classif Prog-Admin-Eco'!AO136+'Classif Prog-Admin-Eco'!AO137+'Classif Prog-Admin-Eco'!AO138+'Classif Prog-Admin-Eco'!AO139+'Classif Prog-Admin-Eco'!AO140+'Classif Prog-Admin-Eco'!AO141+'Classif Prog-Admin-Eco'!AO142+'Classif Prog-Admin-Eco'!AO144+'Classif Prog-Admin-Eco'!AO145+'Classif Prog-Admin-Eco'!AO146</f>
        <v>248199718</v>
      </c>
      <c r="AL8" s="56">
        <f>'Classif Prog-Admin-Eco'!AQ7+'Classif Prog-Admin-Eco'!AQ17+'Classif Prog-Admin-Eco'!AQ42+'Classif Prog-Admin-Eco'!AQ47+'Classif Prog-Admin-Eco'!AQ133+'Classif Prog-Admin-Eco'!AQ134+'Classif Prog-Admin-Eco'!AQ135+'Classif Prog-Admin-Eco'!AQ136+'Classif Prog-Admin-Eco'!AQ137+'Classif Prog-Admin-Eco'!AQ138+'Classif Prog-Admin-Eco'!AQ139+'Classif Prog-Admin-Eco'!AQ140+'Classif Prog-Admin-Eco'!AQ141+'Classif Prog-Admin-Eco'!AQ142+'Classif Prog-Admin-Eco'!AQ144+'Classif Prog-Admin-Eco'!AQ145+'Classif Prog-Admin-Eco'!AQ146</f>
        <v>30091444</v>
      </c>
      <c r="AM8" s="56">
        <f>'Classif Prog-Admin-Eco'!AR7+'Classif Prog-Admin-Eco'!AR42+'Classif Prog-Admin-Eco'!AR47+'Classif Prog-Admin-Eco'!AS132+0</f>
        <v>22621217</v>
      </c>
      <c r="AN8" s="39">
        <f>AI8+AJ8+AK8+AL8+AM8+'Classif Prog-Admin-Eco'!AU147</f>
        <v>493076747</v>
      </c>
      <c r="AO8" s="57">
        <f t="shared" ref="AO8:AO17" si="4">AN8/$AU$19</f>
        <v>0.18993645815072088</v>
      </c>
      <c r="AP8" s="56">
        <f>'Classif Prog-Admin-Eco'!AV7+'Classif Prog-Admin-Eco'!AV17+'Classif Prog-Admin-Eco'!AV42+'Classif Prog-Admin-Eco'!AV47+'Classif Prog-Admin-Eco'!AV133+'Classif Prog-Admin-Eco'!AV134+'Classif Prog-Admin-Eco'!AV135+'Classif Prog-Admin-Eco'!AV136+'Classif Prog-Admin-Eco'!AV137+'Classif Prog-Admin-Eco'!AV138+'Classif Prog-Admin-Eco'!AV139+'Classif Prog-Admin-Eco'!AV140+'Classif Prog-Admin-Eco'!AV141+'Classif Prog-Admin-Eco'!AV142+'Classif Prog-Admin-Eco'!AV144+'Classif Prog-Admin-Eco'!AV145+'Classif Prog-Admin-Eco'!AV146</f>
        <v>144019274</v>
      </c>
      <c r="AQ8" s="56">
        <f>'Classif Prog-Admin-Eco'!AW7+'Classif Prog-Admin-Eco'!AW17+'Classif Prog-Admin-Eco'!AW42+'Classif Prog-Admin-Eco'!AW47+'Classif Prog-Admin-Eco'!AW133+'Classif Prog-Admin-Eco'!AW134+'Classif Prog-Admin-Eco'!AW135+'Classif Prog-Admin-Eco'!AW136+'Classif Prog-Admin-Eco'!AW137+'Classif Prog-Admin-Eco'!AW138+'Classif Prog-Admin-Eco'!AW139+'Classif Prog-Admin-Eco'!AW140+'Classif Prog-Admin-Eco'!AW141+'Classif Prog-Admin-Eco'!AW142+'Classif Prog-Admin-Eco'!AW144+'Classif Prog-Admin-Eco'!AW145+'Classif Prog-Admin-Eco'!AW146</f>
        <v>84806530</v>
      </c>
      <c r="AR8" s="56">
        <f>'Classif Prog-Admin-Eco'!AX7+'Classif Prog-Admin-Eco'!AX17+'Classif Prog-Admin-Eco'!AX42+'Classif Prog-Admin-Eco'!AX47+'Classif Prog-Admin-Eco'!AX133+'Classif Prog-Admin-Eco'!AX134+'Classif Prog-Admin-Eco'!AX135+'Classif Prog-Admin-Eco'!AX136+'Classif Prog-Admin-Eco'!AX137+'Classif Prog-Admin-Eco'!AX138+'Classif Prog-Admin-Eco'!AX139+'Classif Prog-Admin-Eco'!AX140+'Classif Prog-Admin-Eco'!AX141+'Classif Prog-Admin-Eco'!AX142+'Classif Prog-Admin-Eco'!AX144+'Classif Prog-Admin-Eco'!AX145+'Classif Prog-Admin-Eco'!AX146</f>
        <v>287900667</v>
      </c>
      <c r="AS8" s="56">
        <f>'Classif Prog-Admin-Eco'!AZ7+'Classif Prog-Admin-Eco'!AZ17+'Classif Prog-Admin-Eco'!AZ42+'Classif Prog-Admin-Eco'!AZ47+'Classif Prog-Admin-Eco'!AZ132</f>
        <v>49373772</v>
      </c>
      <c r="AT8" s="56">
        <f>'Classif Prog-Admin-Eco'!BA7+'Classif Prog-Admin-Eco'!BA42+'Classif Prog-Admin-Eco'!BA47+'Classif Prog-Admin-Eco'!BB132</f>
        <v>15481087</v>
      </c>
      <c r="AU8" s="39">
        <f>SUM(AP8:AT8)+'Classif Prog-Admin-Eco'!BD147</f>
        <v>582201862</v>
      </c>
      <c r="AV8" s="57">
        <f t="shared" ref="AV8:AV17" si="5">AU8/$AU$19</f>
        <v>0.2242680480672409</v>
      </c>
      <c r="AW8" s="59" t="s">
        <v>257</v>
      </c>
    </row>
    <row r="9" spans="1:49" ht="41.25" customHeight="1" x14ac:dyDescent="0.25">
      <c r="A9" s="52" t="s">
        <v>258</v>
      </c>
      <c r="B9" s="79" t="s">
        <v>259</v>
      </c>
      <c r="C9" s="7"/>
      <c r="D9" s="7"/>
      <c r="E9" s="7"/>
      <c r="F9" s="7"/>
      <c r="G9" s="53">
        <v>32541900</v>
      </c>
      <c r="H9" s="53">
        <v>7771912</v>
      </c>
      <c r="I9" s="53">
        <v>556364</v>
      </c>
      <c r="J9" s="53">
        <v>1984000</v>
      </c>
      <c r="K9" s="53">
        <v>9000000</v>
      </c>
      <c r="L9" s="54">
        <f>G9+H9+I9+J9+K9</f>
        <v>51854176</v>
      </c>
      <c r="M9" s="55">
        <f t="shared" si="0"/>
        <v>2.912781008139104E-2</v>
      </c>
      <c r="N9" s="56">
        <v>34391569</v>
      </c>
      <c r="O9" s="56">
        <f>[1]Feuil1!$AE$100</f>
        <v>7243967</v>
      </c>
      <c r="P9" s="56">
        <v>563899</v>
      </c>
      <c r="Q9" s="56">
        <v>11840802</v>
      </c>
      <c r="R9" s="56">
        <v>8000000</v>
      </c>
      <c r="S9" s="39">
        <f>N9+O9+P9+Q9+R9</f>
        <v>62040237</v>
      </c>
      <c r="T9" s="55">
        <f t="shared" si="1"/>
        <v>3.0595541508672046E-2</v>
      </c>
      <c r="U9" s="56">
        <v>37864665</v>
      </c>
      <c r="V9" s="56">
        <v>7270347</v>
      </c>
      <c r="W9" s="56">
        <v>537519</v>
      </c>
      <c r="X9" s="56">
        <v>14937036</v>
      </c>
      <c r="Y9" s="60">
        <f>8000000+0</f>
        <v>8000000</v>
      </c>
      <c r="Z9" s="39">
        <f t="shared" ref="Z9:Z10" si="6">U9+V9+W9+X9+Y9</f>
        <v>68609567</v>
      </c>
      <c r="AA9" s="57">
        <f t="shared" si="2"/>
        <v>2.9240354159563588E-2</v>
      </c>
      <c r="AB9" s="56">
        <f>'Classif Prog-Admin-Eco'!AD105</f>
        <v>41882161</v>
      </c>
      <c r="AC9" s="56">
        <f>'Classif Prog-Admin-Eco'!AE105</f>
        <v>16375138</v>
      </c>
      <c r="AD9" s="56">
        <f>'Classif Prog-Admin-Eco'!AF105</f>
        <v>291000</v>
      </c>
      <c r="AE9" s="56">
        <f>'Classif Prog-Admin-Eco'!AH105</f>
        <v>18925040</v>
      </c>
      <c r="AF9" s="60">
        <f>'Classif Prog-Admin-Eco'!AI105+'Classif Prog-Admin-Eco'!AJ105</f>
        <v>8000000</v>
      </c>
      <c r="AG9" s="39">
        <f>AB9+AC9+AD9+AE9+AF9</f>
        <v>85473339</v>
      </c>
      <c r="AH9" s="57">
        <f t="shared" si="3"/>
        <v>3.599947128205342E-2</v>
      </c>
      <c r="AI9" s="56">
        <f>'Classif Prog-Admin-Eco'!AM105</f>
        <v>44756264</v>
      </c>
      <c r="AJ9" s="56">
        <f>'Classif Prog-Admin-Eco'!AN105</f>
        <v>16355110</v>
      </c>
      <c r="AK9" s="56">
        <f>'Classif Prog-Admin-Eco'!AO105</f>
        <v>291000</v>
      </c>
      <c r="AL9" s="56">
        <f>'Classif Prog-Admin-Eco'!AQ105</f>
        <v>22493806</v>
      </c>
      <c r="AM9" s="56">
        <f>'Classif Prog-Admin-Eco'!AS105</f>
        <v>8000000</v>
      </c>
      <c r="AN9" s="39">
        <f t="shared" ref="AN9:AN17" si="7">AI9+AJ9+AK9+AL9+AM9</f>
        <v>91896180</v>
      </c>
      <c r="AO9" s="57">
        <f t="shared" si="4"/>
        <v>3.5399022673403648E-2</v>
      </c>
      <c r="AP9" s="56">
        <f>'Classif Prog-Admin-Eco'!AV105</f>
        <v>48837045</v>
      </c>
      <c r="AQ9" s="56">
        <f>'Classif Prog-Admin-Eco'!AW105</f>
        <v>16355104</v>
      </c>
      <c r="AR9" s="56">
        <f>'Classif Prog-Admin-Eco'!AX105</f>
        <v>291000</v>
      </c>
      <c r="AS9" s="56">
        <f>'Classif Prog-Admin-Eco'!AZ105</f>
        <v>22056988</v>
      </c>
      <c r="AT9" s="56">
        <f>'Classif Prog-Admin-Eco'!BB105</f>
        <v>8000000</v>
      </c>
      <c r="AU9" s="39">
        <f>AP9+AQ9+AR9+AS9+AT9</f>
        <v>95540137</v>
      </c>
      <c r="AV9" s="57">
        <f t="shared" si="5"/>
        <v>3.6802699262179238E-2</v>
      </c>
      <c r="AW9" s="61" t="s">
        <v>260</v>
      </c>
    </row>
    <row r="10" spans="1:49" ht="54" customHeight="1" x14ac:dyDescent="0.25">
      <c r="A10" s="52" t="s">
        <v>261</v>
      </c>
      <c r="B10" s="79" t="s">
        <v>262</v>
      </c>
      <c r="C10" s="7"/>
      <c r="D10" s="7"/>
      <c r="E10" s="7"/>
      <c r="F10" s="7"/>
      <c r="G10" s="53">
        <f>6901500+31109120</f>
        <v>38010620</v>
      </c>
      <c r="H10" s="53">
        <f>2801025+4759490</f>
        <v>7560515</v>
      </c>
      <c r="I10" s="53">
        <f>4019736+2258352+1500000</f>
        <v>7778088</v>
      </c>
      <c r="J10" s="53">
        <f>3131000+3850000</f>
        <v>6981000</v>
      </c>
      <c r="K10" s="53">
        <f>450000</f>
        <v>450000</v>
      </c>
      <c r="L10" s="54">
        <f t="shared" ref="L10:L17" si="8">G10+H10+I10+J10+K10</f>
        <v>60780223</v>
      </c>
      <c r="M10" s="55">
        <f t="shared" si="0"/>
        <v>3.4141797803297375E-2</v>
      </c>
      <c r="N10" s="56">
        <f>[1]Feuil1!$AD$28+[1]Feuil1!$AD$11</f>
        <v>39591001</v>
      </c>
      <c r="O10" s="56">
        <f>[1]Feuil1!$AE$11+[1]Feuil1!$AE$28</f>
        <v>11962030</v>
      </c>
      <c r="P10" s="56">
        <f>[1]Feuil1!$AF$28+[1]Feuil1!$AF$11+3000000</f>
        <v>7180848</v>
      </c>
      <c r="Q10" s="56">
        <f>[1]Feuil1!$AH$11+[1]Feuil1!$AH$28</f>
        <v>14747229</v>
      </c>
      <c r="R10" s="56">
        <v>0</v>
      </c>
      <c r="S10" s="39">
        <f>N10+O10+P10+Q10+R10</f>
        <v>73481108</v>
      </c>
      <c r="T10" s="55">
        <f t="shared" si="1"/>
        <v>3.6237680554270187E-2</v>
      </c>
      <c r="U10" s="56">
        <v>42957054</v>
      </c>
      <c r="V10" s="56">
        <v>11858030</v>
      </c>
      <c r="W10" s="56">
        <v>5284848</v>
      </c>
      <c r="X10" s="56">
        <v>19088822</v>
      </c>
      <c r="Y10" s="56">
        <f>1573438+530714</f>
        <v>2104152</v>
      </c>
      <c r="Z10" s="39">
        <f t="shared" si="6"/>
        <v>81292906</v>
      </c>
      <c r="AA10" s="57">
        <f t="shared" si="2"/>
        <v>3.4645800375042619E-2</v>
      </c>
      <c r="AB10" s="56">
        <f>'Classif Prog-Admin-Eco'!AD11+'Classif Prog-Admin-Eco'!AD31</f>
        <v>51868669</v>
      </c>
      <c r="AC10" s="56">
        <f>'Classif Prog-Admin-Eco'!AE31+'Classif Prog-Admin-Eco'!AE11</f>
        <v>13790932</v>
      </c>
      <c r="AD10" s="56">
        <f>'Classif Prog-Admin-Eco'!AF11+'Classif Prog-Admin-Eco'!AF31</f>
        <v>6887981</v>
      </c>
      <c r="AE10" s="56">
        <f>'Classif Prog-Admin-Eco'!AH31+'Classif Prog-Admin-Eco'!AH11</f>
        <v>16429762</v>
      </c>
      <c r="AF10" s="56">
        <f>'Classif Prog-Admin-Eco'!AI11+'Classif Prog-Admin-Eco'!AI31</f>
        <v>100000</v>
      </c>
      <c r="AG10" s="39">
        <f>AB10+AC10+AD10+AE10+AF10</f>
        <v>89077344</v>
      </c>
      <c r="AH10" s="57">
        <f t="shared" si="3"/>
        <v>3.7517398111820498E-2</v>
      </c>
      <c r="AI10" s="56">
        <f>'Classif Prog-Admin-Eco'!AM31+'Classif Prog-Admin-Eco'!AM11</f>
        <v>55534309</v>
      </c>
      <c r="AJ10" s="56">
        <f>'Classif Prog-Admin-Eco'!AN31+'Classif Prog-Admin-Eco'!AN11</f>
        <v>13790932</v>
      </c>
      <c r="AK10" s="56">
        <f>'Classif Prog-Admin-Eco'!AO31+'Classif Prog-Admin-Eco'!AO11</f>
        <v>6887981</v>
      </c>
      <c r="AL10" s="56">
        <f>'Classif Prog-Admin-Eco'!AQ11+'Classif Prog-Admin-Eco'!AQ31</f>
        <v>20194762</v>
      </c>
      <c r="AM10" s="56"/>
      <c r="AN10" s="39">
        <f t="shared" si="7"/>
        <v>96407984</v>
      </c>
      <c r="AO10" s="57">
        <f t="shared" si="4"/>
        <v>3.7136999726355722E-2</v>
      </c>
      <c r="AP10" s="56">
        <f>'Classif Prog-Admin-Eco'!AV31+'Classif Prog-Admin-Eco'!AV11</f>
        <v>58899456</v>
      </c>
      <c r="AQ10" s="56">
        <f>'Classif Prog-Admin-Eco'!AW31+'Classif Prog-Admin-Eco'!AW11</f>
        <v>13790932</v>
      </c>
      <c r="AR10" s="56">
        <f>'Classif Prog-Admin-Eco'!AX31+'Classif Prog-Admin-Eco'!AX11</f>
        <v>6887981</v>
      </c>
      <c r="AS10" s="56">
        <f>'Classif Prog-Admin-Eco'!AZ11+'Classif Prog-Admin-Eco'!AZ31</f>
        <v>19444762</v>
      </c>
      <c r="AT10" s="56">
        <f>'Classif Prog-Admin-Eco'!BA31+'Classif Prog-Admin-Eco'!BB31+'Classif Prog-Admin-Eco'!BA11+'Classif Prog-Admin-Eco'!BB11</f>
        <v>0</v>
      </c>
      <c r="AU10" s="39">
        <f t="shared" ref="AU10:AU17" si="9">AP10+AQ10+AR10+AS10+AT10</f>
        <v>99023131</v>
      </c>
      <c r="AV10" s="57">
        <f t="shared" si="5"/>
        <v>3.8144371827647454E-2</v>
      </c>
      <c r="AW10" s="61" t="s">
        <v>292</v>
      </c>
    </row>
    <row r="11" spans="1:49" ht="62.25" customHeight="1" x14ac:dyDescent="0.25">
      <c r="A11" s="52" t="s">
        <v>263</v>
      </c>
      <c r="B11" s="79" t="s">
        <v>264</v>
      </c>
      <c r="C11" s="62"/>
      <c r="D11" s="62"/>
      <c r="E11" s="62"/>
      <c r="F11" s="62"/>
      <c r="G11" s="53">
        <f>25470300</f>
        <v>25470300</v>
      </c>
      <c r="H11" s="53">
        <f>12332229</f>
        <v>12332229</v>
      </c>
      <c r="I11" s="53">
        <f>33363733</f>
        <v>33363733</v>
      </c>
      <c r="J11" s="53">
        <f>139731000</f>
        <v>139731000</v>
      </c>
      <c r="K11" s="53">
        <f>62267648</f>
        <v>62267648</v>
      </c>
      <c r="L11" s="54">
        <f t="shared" si="8"/>
        <v>273164910</v>
      </c>
      <c r="M11" s="55">
        <f t="shared" si="0"/>
        <v>0.15344368058958793</v>
      </c>
      <c r="N11" s="56">
        <f>24839764</f>
        <v>24839764</v>
      </c>
      <c r="O11" s="56">
        <f>24072955</f>
        <v>24072955</v>
      </c>
      <c r="P11" s="56">
        <f>34430319</f>
        <v>34430319</v>
      </c>
      <c r="Q11" s="56">
        <f>170260064</f>
        <v>170260064</v>
      </c>
      <c r="R11" s="56">
        <f>59579835</f>
        <v>59579835</v>
      </c>
      <c r="S11" s="39">
        <f>SUM(N11:R11)+8000002</f>
        <v>321182939</v>
      </c>
      <c r="T11" s="55">
        <f t="shared" si="1"/>
        <v>0.15839343009040702</v>
      </c>
      <c r="U11" s="56">
        <v>21824573</v>
      </c>
      <c r="V11" s="56">
        <v>23912971</v>
      </c>
      <c r="W11" s="56">
        <v>41386865</v>
      </c>
      <c r="X11" s="56">
        <v>192091820</v>
      </c>
      <c r="Y11" s="56">
        <f>26255178+97350636</f>
        <v>123605814</v>
      </c>
      <c r="Z11" s="39">
        <f>U11+V11+W11+X11+Y11+'[2]TMC Admin-Eco'!$F$88</f>
        <v>607752257</v>
      </c>
      <c r="AA11" s="57">
        <f t="shared" si="2"/>
        <v>0.25901477028639619</v>
      </c>
      <c r="AB11" s="56">
        <f>'Classif Prog-Admin-Eco'!AD23+'Classif Prog-Admin-Eco'!AD24+'Classif Prog-Admin-Eco'!AD25+'Classif Prog-Admin-Eco'!AD26+'Classif Prog-Admin-Eco'!AD27+'Classif Prog-Admin-Eco'!AD70+'Classif Prog-Admin-Eco'!AD79+'Classif Prog-Admin-Eco'!AD115+'Classif Prog-Admin-Eco'!AD90+'Classif Prog-Admin-Eco'!AD37+'Classif Prog-Admin-Eco'!AD85</f>
        <v>31294106</v>
      </c>
      <c r="AC11" s="56">
        <f>'Classif Prog-Admin-Eco'!AE23+'Classif Prog-Admin-Eco'!AE24+'Classif Prog-Admin-Eco'!AE25+'Classif Prog-Admin-Eco'!AE26+'Classif Prog-Admin-Eco'!AE27+'Classif Prog-Admin-Eco'!AE37+'Classif Prog-Admin-Eco'!AE70+'Classif Prog-Admin-Eco'!AE79+'Classif Prog-Admin-Eco'!AE85+'Classif Prog-Admin-Eco'!AE90+'Classif Prog-Admin-Eco'!AE115</f>
        <v>31953335</v>
      </c>
      <c r="AD11" s="56">
        <f>'Classif Prog-Admin-Eco'!AF23+'Classif Prog-Admin-Eco'!AF24+'Classif Prog-Admin-Eco'!AF25+'Classif Prog-Admin-Eco'!AF26+'Classif Prog-Admin-Eco'!AF27+'Classif Prog-Admin-Eco'!AF37+'Classif Prog-Admin-Eco'!AF70+'Classif Prog-Admin-Eco'!AF79+'Classif Prog-Admin-Eco'!AF85+'Classif Prog-Admin-Eco'!AF90+'Classif Prog-Admin-Eco'!AF115+0+'Classif Prog-Admin-Eco'!AF30</f>
        <v>37676904</v>
      </c>
      <c r="AE11" s="56">
        <f>'Classif Prog-Admin-Eco'!AH22+'Classif Prog-Admin-Eco'!AH37+'Classif Prog-Admin-Eco'!AH70+'Classif Prog-Admin-Eco'!AH79+'Classif Prog-Admin-Eco'!AH85+'Classif Prog-Admin-Eco'!AH90+'Classif Prog-Admin-Eco'!AH115</f>
        <v>197013367</v>
      </c>
      <c r="AF11" s="56">
        <f>'Classif Prog-Admin-Eco'!AI115+'Classif Prog-Admin-Eco'!AI90+'Classif Prog-Admin-Eco'!AJ90+'Classif Prog-Admin-Eco'!AI85+'Classif Prog-Admin-Eco'!AJ85+'Classif Prog-Admin-Eco'!AI79+'Classif Prog-Admin-Eco'!AJ79+'Classif Prog-Admin-Eco'!AI70+'Classif Prog-Admin-Eco'!AJ70+'Classif Prog-Admin-Eco'!AI37+'Classif Prog-Admin-Eco'!AJ37+'Classif Prog-Admin-Eco'!AI22</f>
        <v>141037421</v>
      </c>
      <c r="AG11" s="39">
        <f>AB11+AC11+AD11+AE11+AF11+'Classif Prog-Admin-Eco'!AG148</f>
        <v>615554601</v>
      </c>
      <c r="AH11" s="57">
        <f t="shared" si="3"/>
        <v>0.25925792113065049</v>
      </c>
      <c r="AI11" s="56">
        <f>'Classif Prog-Admin-Eco'!AM23+'Classif Prog-Admin-Eco'!AM24+'Classif Prog-Admin-Eco'!AM25+'Classif Prog-Admin-Eco'!AM26+'Classif Prog-Admin-Eco'!AM27+'Classif Prog-Admin-Eco'!AM37+'Classif Prog-Admin-Eco'!AM70+'Classif Prog-Admin-Eco'!AM79+'Classif Prog-Admin-Eco'!AM85+'Classif Prog-Admin-Eco'!AM90+0+'Classif Prog-Admin-Eco'!AM115</f>
        <v>32702188</v>
      </c>
      <c r="AJ11" s="56">
        <f>'Classif Prog-Admin-Eco'!AN23+'Classif Prog-Admin-Eco'!AN24+'Classif Prog-Admin-Eco'!AN25+'Classif Prog-Admin-Eco'!AN26+'Classif Prog-Admin-Eco'!AN27+'Classif Prog-Admin-Eco'!AN37+'Classif Prog-Admin-Eco'!AN70+'Classif Prog-Admin-Eco'!AN79+'Classif Prog-Admin-Eco'!AN85+'Classif Prog-Admin-Eco'!AN90+0+'Classif Prog-Admin-Eco'!AN115</f>
        <v>32415174</v>
      </c>
      <c r="AK11" s="56">
        <f>'Classif Prog-Admin-Eco'!AO23+'Classif Prog-Admin-Eco'!AO24+'Classif Prog-Admin-Eco'!AO25+'Classif Prog-Admin-Eco'!AO26+'Classif Prog-Admin-Eco'!AO27+'Classif Prog-Admin-Eco'!AO37+'Classif Prog-Admin-Eco'!AO70+'Classif Prog-Admin-Eco'!AO79+'Classif Prog-Admin-Eco'!AO85+'Classif Prog-Admin-Eco'!AO90+0+'Classif Prog-Admin-Eco'!AO115+'Classif Prog-Admin-Eco'!AO30</f>
        <v>37215067</v>
      </c>
      <c r="AL11" s="58">
        <f>'Classif Prog-Admin-Eco'!AQ22+'Classif Prog-Admin-Eco'!AQ37+'Classif Prog-Admin-Eco'!AQ70+'Classif Prog-Admin-Eco'!AQ79+'Classif Prog-Admin-Eco'!AQ85+'Classif Prog-Admin-Eco'!AQ90</f>
        <v>161187600</v>
      </c>
      <c r="AM11" s="56">
        <f>'Classif Prog-Admin-Eco'!AR37+'Classif Prog-Admin-Eco'!AS37+'Classif Prog-Admin-Eco'!AR70+'Classif Prog-Admin-Eco'!AS70+'Classif Prog-Admin-Eco'!AR79+'Classif Prog-Admin-Eco'!AS79+'Classif Prog-Admin-Eco'!AR85+'Classif Prog-Admin-Eco'!AR90+'Classif Prog-Admin-Eco'!AS90+'Classif Prog-Admin-Eco'!AR115</f>
        <v>155948138</v>
      </c>
      <c r="AN11" s="39">
        <f>AI11+AJ11+AK11+AL11+AM11+'Classif Prog-Admin-Eco'!AP148</f>
        <v>620047635</v>
      </c>
      <c r="AO11" s="57">
        <f t="shared" si="4"/>
        <v>0.23884649274817854</v>
      </c>
      <c r="AP11" s="56">
        <f>'Classif Prog-Admin-Eco'!AV23+'Classif Prog-Admin-Eco'!AV24+'Classif Prog-Admin-Eco'!AV25+'Classif Prog-Admin-Eco'!AV26+'Classif Prog-Admin-Eco'!AV27+'Classif Prog-Admin-Eco'!AV37+'Classif Prog-Admin-Eco'!AV70+'Classif Prog-Admin-Eco'!AV79+'Classif Prog-Admin-Eco'!AV85+'Classif Prog-Admin-Eco'!AV90+'Classif Prog-Admin-Eco'!AV115</f>
        <v>34560945</v>
      </c>
      <c r="AQ11" s="56">
        <f>'Classif Prog-Admin-Eco'!AW23+'Classif Prog-Admin-Eco'!AW24+'Classif Prog-Admin-Eco'!AW25+'Classif Prog-Admin-Eco'!AW26+'Classif Prog-Admin-Eco'!AW27+'Classif Prog-Admin-Eco'!AW37+'Classif Prog-Admin-Eco'!AW70+'Classif Prog-Admin-Eco'!AW79+'Classif Prog-Admin-Eco'!AW85+'Classif Prog-Admin-Eco'!AW90+'Classif Prog-Admin-Eco'!AW115</f>
        <v>32415173</v>
      </c>
      <c r="AR11" s="56">
        <f>'Classif Prog-Admin-Eco'!AX23+'Classif Prog-Admin-Eco'!AX24+'Classif Prog-Admin-Eco'!AX25+'Classif Prog-Admin-Eco'!AX26+'Classif Prog-Admin-Eco'!AX27+'Classif Prog-Admin-Eco'!AX37+'Classif Prog-Admin-Eco'!AX70+'Classif Prog-Admin-Eco'!AX79+'Classif Prog-Admin-Eco'!AX85+'Classif Prog-Admin-Eco'!AX90+'Classif Prog-Admin-Eco'!AX115+'Classif Prog-Admin-Eco'!AX30</f>
        <v>37215067</v>
      </c>
      <c r="AS11" s="58">
        <f>'Classif Prog-Admin-Eco'!AZ90+'Classif Prog-Admin-Eco'!AZ85+'Classif Prog-Admin-Eco'!AZ79+'Classif Prog-Admin-Eco'!AZ70+'Classif Prog-Admin-Eco'!AZ37+'Classif Prog-Admin-Eco'!AZ23+'Classif Prog-Admin-Eco'!AZ24</f>
        <v>203212050</v>
      </c>
      <c r="AT11" s="56">
        <f>'Classif Prog-Admin-Eco'!BA37+'Classif Prog-Admin-Eco'!BB37+'Classif Prog-Admin-Eco'!BA70+'Classif Prog-Admin-Eco'!BB70+'Classif Prog-Admin-Eco'!BA79+'Classif Prog-Admin-Eco'!BB79+'Classif Prog-Admin-Eco'!BA85+'Classif Prog-Admin-Eco'!BA90+'Classif Prog-Admin-Eco'!BB90+'Classif Prog-Admin-Eco'!BA115</f>
        <v>104983970</v>
      </c>
      <c r="AU11" s="39">
        <f>AP11+AQ11+AR11+AS11+AT11+'Classif Prog-Admin-Eco'!BD148</f>
        <v>624066673</v>
      </c>
      <c r="AV11" s="57">
        <f t="shared" si="5"/>
        <v>0.24039465304480098</v>
      </c>
      <c r="AW11" s="63" t="s">
        <v>265</v>
      </c>
    </row>
    <row r="12" spans="1:49" ht="48" customHeight="1" x14ac:dyDescent="0.25">
      <c r="A12" s="52" t="s">
        <v>266</v>
      </c>
      <c r="B12" s="79" t="s">
        <v>267</v>
      </c>
      <c r="C12" s="7"/>
      <c r="D12" s="7"/>
      <c r="E12" s="7"/>
      <c r="F12" s="7"/>
      <c r="G12" s="53">
        <f>421476+255535+2686880</f>
        <v>3363891</v>
      </c>
      <c r="H12" s="53">
        <f>649176+14000+80650</f>
        <v>743826</v>
      </c>
      <c r="I12" s="53">
        <f>360376+251830+342021</f>
        <v>954227</v>
      </c>
      <c r="J12" s="53">
        <f>5033478+13595000+13490700</f>
        <v>32119178</v>
      </c>
      <c r="K12" s="53">
        <f>3000000+2400000+17000000+3900000</f>
        <v>26300000</v>
      </c>
      <c r="L12" s="54">
        <f t="shared" si="8"/>
        <v>63481122</v>
      </c>
      <c r="M12" s="55">
        <f t="shared" si="0"/>
        <v>3.56589614955913E-2</v>
      </c>
      <c r="N12" s="56">
        <f>[1]Feuil1!$AD$89+[1]Feuil1!$AD$90+[1]Feuil1!$AD$91</f>
        <v>3431444</v>
      </c>
      <c r="O12" s="56">
        <f>[1]Feuil1!$AE$89+[1]Feuil1!$AE$90+[1]Feuil1!$AE$91</f>
        <v>977864</v>
      </c>
      <c r="P12" s="56">
        <f>[1]Feuil1!$AF$89+[1]Feuil1!$AF$90+[1]Feuil1!$AF$91</f>
        <v>1616171</v>
      </c>
      <c r="Q12" s="56">
        <f>[1]Feuil1!$AH$89+[1]Feuil1!$AH$90+[1]Feuil1!$AH$91</f>
        <v>13735000</v>
      </c>
      <c r="R12" s="56">
        <f>[1]Feuil1!$AJ$90+[1]Feuil1!$AJ$91</f>
        <v>22598204</v>
      </c>
      <c r="S12" s="64">
        <f>N12+O12+P12+Q12+R12</f>
        <v>42358683</v>
      </c>
      <c r="T12" s="55">
        <f t="shared" si="1"/>
        <v>2.0889456692100981E-2</v>
      </c>
      <c r="U12" s="56">
        <v>4828584</v>
      </c>
      <c r="V12" s="56">
        <v>1009864</v>
      </c>
      <c r="W12" s="56">
        <v>1584171</v>
      </c>
      <c r="X12" s="56">
        <v>26935000</v>
      </c>
      <c r="Y12" s="56">
        <f>11311974+12500000</f>
        <v>23811974</v>
      </c>
      <c r="Z12" s="39">
        <f t="shared" ref="Z12:Z17" si="10">U12+V12+W12+X12+Y12</f>
        <v>58169593</v>
      </c>
      <c r="AA12" s="57">
        <f t="shared" si="2"/>
        <v>2.479099599386294E-2</v>
      </c>
      <c r="AB12" s="56">
        <f>'Classif Prog-Admin-Eco'!AD94+'Classif Prog-Admin-Eco'!AD95+'Classif Prog-Admin-Eco'!AD96</f>
        <v>5004729</v>
      </c>
      <c r="AC12" s="56">
        <f>'Classif Prog-Admin-Eco'!AE94+'Classif Prog-Admin-Eco'!AE95+'Classif Prog-Admin-Eco'!AE96</f>
        <v>1380564</v>
      </c>
      <c r="AD12" s="56">
        <f>'Classif Prog-Admin-Eco'!AF94+'Classif Prog-Admin-Eco'!AF95+'Classif Prog-Admin-Eco'!AF96</f>
        <v>2068156</v>
      </c>
      <c r="AE12" s="56">
        <f>'Classif Prog-Admin-Eco'!AH94+'Classif Prog-Admin-Eco'!AH95+'Classif Prog-Admin-Eco'!AH96</f>
        <v>28715520</v>
      </c>
      <c r="AF12" s="56">
        <f>'Classif Prog-Admin-Eco'!AI94+'Classif Prog-Admin-Eco'!AI95+'Classif Prog-Admin-Eco'!AI96+'Classif Prog-Admin-Eco'!AJ94+'Classif Prog-Admin-Eco'!AJ95+'Classif Prog-Admin-Eco'!AJ96</f>
        <v>6700000</v>
      </c>
      <c r="AG12" s="39">
        <f t="shared" ref="AG12:AG17" si="11">AB12+AC12+AD12+AE12+AF12</f>
        <v>43868969</v>
      </c>
      <c r="AH12" s="57">
        <f t="shared" si="3"/>
        <v>1.8476635032226737E-2</v>
      </c>
      <c r="AI12" s="56">
        <f>'Classif Prog-Admin-Eco'!AM94+'Classif Prog-Admin-Eco'!AM95+'Classif Prog-Admin-Eco'!AM96</f>
        <v>5269728</v>
      </c>
      <c r="AJ12" s="56">
        <f>'Classif Prog-Admin-Eco'!AN94+'Classif Prog-Admin-Eco'!AN95+'Classif Prog-Admin-Eco'!AN96</f>
        <v>1380564</v>
      </c>
      <c r="AK12" s="56">
        <f>'Classif Prog-Admin-Eco'!AO94+'Classif Prog-Admin-Eco'!AO95+'Classif Prog-Admin-Eco'!AO96</f>
        <v>2068156</v>
      </c>
      <c r="AL12" s="56">
        <f>'Classif Prog-Admin-Eco'!AQ94+'Classif Prog-Admin-Eco'!AQ95+'Classif Prog-Admin-Eco'!AQ96</f>
        <v>18069290</v>
      </c>
      <c r="AM12" s="56">
        <f>'Classif Prog-Admin-Eco'!AR95+'Classif Prog-Admin-Eco'!AR96+'Classif Prog-Admin-Eco'!AS95</f>
        <v>7688000</v>
      </c>
      <c r="AN12" s="39">
        <f t="shared" si="7"/>
        <v>34475738</v>
      </c>
      <c r="AO12" s="57">
        <f t="shared" si="4"/>
        <v>1.3280284677168559E-2</v>
      </c>
      <c r="AP12" s="56">
        <f>'Classif Prog-Admin-Eco'!AV94+'Classif Prog-Admin-Eco'!AV95+'Classif Prog-Admin-Eco'!AV96</f>
        <v>5606860</v>
      </c>
      <c r="AQ12" s="56">
        <f>'Classif Prog-Admin-Eco'!AW94+'Classif Prog-Admin-Eco'!AW95+'Classif Prog-Admin-Eco'!AW96</f>
        <v>1380564</v>
      </c>
      <c r="AR12" s="56">
        <f>'Classif Prog-Admin-Eco'!AX94+'Classif Prog-Admin-Eco'!AX95+'Classif Prog-Admin-Eco'!AX96</f>
        <v>2068156</v>
      </c>
      <c r="AS12" s="56">
        <f>'Classif Prog-Admin-Eco'!AZ94+'Classif Prog-Admin-Eco'!AZ95+'Classif Prog-Admin-Eco'!AZ96</f>
        <v>16219506</v>
      </c>
      <c r="AT12" s="56">
        <f>'Classif Prog-Admin-Eco'!BA95+'Classif Prog-Admin-Eco'!BB95+'Classif Prog-Admin-Eco'!BA96+'Classif Prog-Admin-Eco'!BB96</f>
        <v>19188000</v>
      </c>
      <c r="AU12" s="39">
        <f t="shared" si="9"/>
        <v>44463086</v>
      </c>
      <c r="AV12" s="57">
        <f t="shared" si="5"/>
        <v>1.712747787169713E-2</v>
      </c>
      <c r="AW12" s="61" t="s">
        <v>268</v>
      </c>
    </row>
    <row r="13" spans="1:49" ht="35.25" customHeight="1" x14ac:dyDescent="0.25">
      <c r="A13" s="52" t="s">
        <v>269</v>
      </c>
      <c r="B13" s="79" t="s">
        <v>270</v>
      </c>
      <c r="C13" s="7"/>
      <c r="D13" s="7"/>
      <c r="E13" s="7"/>
      <c r="F13" s="7"/>
      <c r="G13" s="53">
        <f>185582+151227+134400</f>
        <v>471209</v>
      </c>
      <c r="H13" s="53">
        <f>23200+18000+562225</f>
        <v>603425</v>
      </c>
      <c r="I13" s="53">
        <f>515029+29750+318719</f>
        <v>863498</v>
      </c>
      <c r="J13" s="53">
        <f>20973000+15507822+15020000</f>
        <v>51500822</v>
      </c>
      <c r="K13" s="53">
        <f>9100000+32500000</f>
        <v>41600000</v>
      </c>
      <c r="L13" s="54">
        <f t="shared" si="8"/>
        <v>95038954</v>
      </c>
      <c r="M13" s="55">
        <f t="shared" si="0"/>
        <v>5.3385798714573329E-2</v>
      </c>
      <c r="N13" s="56">
        <f>[1]Feuil1!$AD$92+[1]Feuil1!$AD$93+[1]Feuil1!$AD$114</f>
        <v>1269166</v>
      </c>
      <c r="O13" s="56">
        <f>[1]Feuil1!$AE$114+[1]Feuil1!$AE$92+[1]Feuil1!$AE$93</f>
        <v>1563347</v>
      </c>
      <c r="P13" s="56">
        <f>[1]Feuil1!$AF$92+[1]Feuil1!$AF$93+[1]Feuil1!$AF$114</f>
        <v>595618</v>
      </c>
      <c r="Q13" s="56">
        <f>[1]Feuil1!$AH$114+[1]Feuil1!$AH$92+[1]Feuil1!$AH$93</f>
        <v>59558132</v>
      </c>
      <c r="R13" s="56">
        <f>[1]Feuil1!$AI$92+[1]Feuil1!$AJ$92+[1]Feuil1!$AI$93+[1]Feuil1!$AI$114+[1]Feuil1!$AJ$114</f>
        <v>50448708</v>
      </c>
      <c r="S13" s="39">
        <f>N13+O13+P13+Q13+R13</f>
        <v>113434971</v>
      </c>
      <c r="T13" s="55">
        <f t="shared" si="1"/>
        <v>5.5941184811487903E-2</v>
      </c>
      <c r="U13" s="56">
        <v>1349782</v>
      </c>
      <c r="V13" s="56">
        <v>1574340</v>
      </c>
      <c r="W13" s="56">
        <v>584625</v>
      </c>
      <c r="X13" s="56">
        <v>131919650</v>
      </c>
      <c r="Y13" s="56">
        <f>11472105+39630472</f>
        <v>51102577</v>
      </c>
      <c r="Z13" s="39">
        <f t="shared" si="10"/>
        <v>186530974</v>
      </c>
      <c r="AA13" s="57">
        <f t="shared" si="2"/>
        <v>7.9496664677804293E-2</v>
      </c>
      <c r="AB13" s="56">
        <f>'Classif Prog-Admin-Eco'!AD97+'Classif Prog-Admin-Eco'!AD98+'Classif Prog-Admin-Eco'!AD120</f>
        <v>887899</v>
      </c>
      <c r="AC13" s="56">
        <f>'Classif Prog-Admin-Eco'!AE120+'Classif Prog-Admin-Eco'!AE97+'Classif Prog-Admin-Eco'!AE98</f>
        <v>1777324</v>
      </c>
      <c r="AD13" s="56">
        <f>'Classif Prog-Admin-Eco'!AF97+'Classif Prog-Admin-Eco'!AF98+'Classif Prog-Admin-Eco'!AF120</f>
        <v>845626</v>
      </c>
      <c r="AE13" s="56">
        <f>'Classif Prog-Admin-Eco'!AH120+'Classif Prog-Admin-Eco'!AH97+'Classif Prog-Admin-Eco'!AH98</f>
        <v>218029641</v>
      </c>
      <c r="AF13" s="56">
        <f>'Classif Prog-Admin-Eco'!AJ97+'Classif Prog-Admin-Eco'!AJ98+'Classif Prog-Admin-Eco'!AI120+'Classif Prog-Admin-Eco'!AJ120</f>
        <v>39219211</v>
      </c>
      <c r="AG13" s="39">
        <f t="shared" si="11"/>
        <v>260759701</v>
      </c>
      <c r="AH13" s="57">
        <f t="shared" si="3"/>
        <v>0.10982619232491124</v>
      </c>
      <c r="AI13" s="56">
        <f>'Classif Prog-Admin-Eco'!AM97+'Classif Prog-Admin-Eco'!AM98+'Classif Prog-Admin-Eco'!AM120</f>
        <v>1128834</v>
      </c>
      <c r="AJ13" s="56">
        <f>'Classif Prog-Admin-Eco'!AN97+'Classif Prog-Admin-Eco'!AN98+'Classif Prog-Admin-Eco'!AN120</f>
        <v>1777324</v>
      </c>
      <c r="AK13" s="56">
        <f>'Classif Prog-Admin-Eco'!AO97+'Classif Prog-Admin-Eco'!AO98+'Classif Prog-Admin-Eco'!AO120</f>
        <v>845625</v>
      </c>
      <c r="AL13" s="56">
        <f>'Classif Prog-Admin-Eco'!AQ120+'Classif Prog-Admin-Eco'!AQ97+'Classif Prog-Admin-Eco'!AQ98</f>
        <v>169613004</v>
      </c>
      <c r="AM13" s="56">
        <f>'Classif Prog-Admin-Eco'!AS97+'Classif Prog-Admin-Eco'!AS98+'Classif Prog-Admin-Eco'!AS120</f>
        <v>36588878</v>
      </c>
      <c r="AN13" s="39">
        <f t="shared" si="7"/>
        <v>209953665</v>
      </c>
      <c r="AO13" s="57">
        <f t="shared" si="4"/>
        <v>8.0875554867451446E-2</v>
      </c>
      <c r="AP13" s="56">
        <f>'Classif Prog-Admin-Eco'!AV98+'Classif Prog-Admin-Eco'!AV97+'Classif Prog-Admin-Eco'!AV120</f>
        <v>1319358</v>
      </c>
      <c r="AQ13" s="56">
        <f>'Classif Prog-Admin-Eco'!AW97+'Classif Prog-Admin-Eco'!AW98+'Classif Prog-Admin-Eco'!AW120</f>
        <v>1777324</v>
      </c>
      <c r="AR13" s="56">
        <f>'Classif Prog-Admin-Eco'!AX120+'Classif Prog-Admin-Eco'!AX97+'Classif Prog-Admin-Eco'!AX98</f>
        <v>845625</v>
      </c>
      <c r="AS13" s="56">
        <f>'Classif Prog-Admin-Eco'!AZ97+'Classif Prog-Admin-Eco'!AZ98+'Classif Prog-Admin-Eco'!AZ120</f>
        <v>170940297</v>
      </c>
      <c r="AT13" s="56">
        <f>'Classif Prog-Admin-Eco'!BB97+'Classif Prog-Admin-Eco'!BB98</f>
        <v>99953185</v>
      </c>
      <c r="AU13" s="39">
        <f t="shared" si="9"/>
        <v>274835789</v>
      </c>
      <c r="AV13" s="57">
        <f t="shared" si="5"/>
        <v>0.10586858263612024</v>
      </c>
      <c r="AW13" s="61" t="s">
        <v>271</v>
      </c>
    </row>
    <row r="14" spans="1:49" ht="31.5" customHeight="1" x14ac:dyDescent="0.25">
      <c r="A14" s="52" t="s">
        <v>272</v>
      </c>
      <c r="B14" s="79" t="s">
        <v>273</v>
      </c>
      <c r="C14" s="7"/>
      <c r="D14" s="7"/>
      <c r="E14" s="7"/>
      <c r="F14" s="7"/>
      <c r="G14" s="53">
        <v>24095900</v>
      </c>
      <c r="H14" s="53">
        <v>7183388</v>
      </c>
      <c r="I14" s="53">
        <v>17391842</v>
      </c>
      <c r="J14" s="53">
        <v>32600000</v>
      </c>
      <c r="K14" s="53">
        <v>28200690</v>
      </c>
      <c r="L14" s="54">
        <f t="shared" si="8"/>
        <v>109471820</v>
      </c>
      <c r="M14" s="55">
        <f t="shared" si="0"/>
        <v>6.1493106789012042E-2</v>
      </c>
      <c r="N14" s="56">
        <v>24267045</v>
      </c>
      <c r="O14" s="56">
        <v>11606625</v>
      </c>
      <c r="P14" s="56">
        <v>17294672</v>
      </c>
      <c r="Q14" s="56">
        <v>15000000</v>
      </c>
      <c r="R14" s="56">
        <v>23694079</v>
      </c>
      <c r="S14" s="39">
        <f>N14+O14+P14+Q14+R14</f>
        <v>91862421</v>
      </c>
      <c r="T14" s="55">
        <f t="shared" si="1"/>
        <v>4.5302543167148226E-2</v>
      </c>
      <c r="U14" s="45">
        <v>30679655</v>
      </c>
      <c r="V14" s="56">
        <v>11192021</v>
      </c>
      <c r="W14" s="56">
        <v>17709277</v>
      </c>
      <c r="X14" s="56">
        <v>15140000</v>
      </c>
      <c r="Y14" s="56">
        <f>3983302+19395403</f>
        <v>23378705</v>
      </c>
      <c r="Z14" s="39">
        <f t="shared" si="10"/>
        <v>98099658</v>
      </c>
      <c r="AA14" s="57">
        <f t="shared" si="2"/>
        <v>4.1808582509376066E-2</v>
      </c>
      <c r="AB14" s="45">
        <f>'Classif Prog-Admin-Eco'!AD51</f>
        <v>40086805</v>
      </c>
      <c r="AC14" s="56">
        <f>'Classif Prog-Admin-Eco'!AE51</f>
        <v>11003405</v>
      </c>
      <c r="AD14" s="56">
        <f>'Classif Prog-Admin-Eco'!AF51</f>
        <v>28232573</v>
      </c>
      <c r="AE14" s="56">
        <f>'Classif Prog-Admin-Eco'!AH51</f>
        <v>18000000</v>
      </c>
      <c r="AF14" s="56">
        <f>'Classif Prog-Admin-Eco'!AI51+'Classif Prog-Admin-Eco'!AJ51</f>
        <v>28463178</v>
      </c>
      <c r="AG14" s="39">
        <f t="shared" si="11"/>
        <v>125785961</v>
      </c>
      <c r="AH14" s="57">
        <f t="shared" si="3"/>
        <v>5.2978251975215239E-2</v>
      </c>
      <c r="AI14" s="56">
        <f>'Classif Prog-Admin-Eco'!AM51</f>
        <v>46643899</v>
      </c>
      <c r="AJ14" s="56">
        <f>'Classif Prog-Admin-Eco'!AN51</f>
        <v>15140821</v>
      </c>
      <c r="AK14" s="56">
        <f>'Classif Prog-Admin-Eco'!AO51</f>
        <v>24095157</v>
      </c>
      <c r="AL14" s="56">
        <f>'Classif Prog-Admin-Eco'!AQ51</f>
        <v>18000000</v>
      </c>
      <c r="AM14" s="56">
        <f>'Classif Prog-Admin-Eco'!AR51+'Classif Prog-Admin-Eco'!AS51</f>
        <v>33628427</v>
      </c>
      <c r="AN14" s="39">
        <f t="shared" si="7"/>
        <v>137508304</v>
      </c>
      <c r="AO14" s="57">
        <f t="shared" si="4"/>
        <v>5.2969117661662124E-2</v>
      </c>
      <c r="AP14" s="56">
        <f>'Classif Prog-Admin-Eco'!AV51</f>
        <v>55122890</v>
      </c>
      <c r="AQ14" s="56">
        <f>'Classif Prog-Admin-Eco'!AW51</f>
        <v>15140821</v>
      </c>
      <c r="AR14" s="56">
        <f>'Classif Prog-Admin-Eco'!AX51</f>
        <v>24095157</v>
      </c>
      <c r="AS14" s="56">
        <f>'Classif Prog-Admin-Eco'!AZ51</f>
        <v>22000000</v>
      </c>
      <c r="AT14" s="56">
        <f>'Classif Prog-Admin-Eco'!BA51+'Classif Prog-Admin-Eco'!BB51</f>
        <v>46491283</v>
      </c>
      <c r="AU14" s="39">
        <f t="shared" si="9"/>
        <v>162850151</v>
      </c>
      <c r="AV14" s="57">
        <f t="shared" si="5"/>
        <v>6.2730966484310965E-2</v>
      </c>
      <c r="AW14" s="61" t="s">
        <v>274</v>
      </c>
    </row>
    <row r="15" spans="1:49" ht="31.5" customHeight="1" x14ac:dyDescent="0.25">
      <c r="A15" s="52" t="s">
        <v>275</v>
      </c>
      <c r="B15" s="79" t="s">
        <v>276</v>
      </c>
      <c r="C15" s="7"/>
      <c r="D15" s="7"/>
      <c r="E15" s="7"/>
      <c r="F15" s="7"/>
      <c r="G15" s="53">
        <f>590700+1230800</f>
        <v>1821500</v>
      </c>
      <c r="H15" s="53">
        <f>911710+901882</f>
        <v>1813592</v>
      </c>
      <c r="I15" s="53">
        <f>3522540+5468909</f>
        <v>8991449</v>
      </c>
      <c r="J15" s="53">
        <f>9505000+14000000</f>
        <v>23505000</v>
      </c>
      <c r="K15" s="53">
        <f>15791494</f>
        <v>15791494</v>
      </c>
      <c r="L15" s="54">
        <f t="shared" si="8"/>
        <v>51923035</v>
      </c>
      <c r="M15" s="55">
        <f t="shared" si="0"/>
        <v>2.9166489933798577E-2</v>
      </c>
      <c r="N15" s="56">
        <f>687243+1324894</f>
        <v>2012137</v>
      </c>
      <c r="O15" s="56">
        <f>2793571+1785998</f>
        <v>4579569</v>
      </c>
      <c r="P15" s="56">
        <f>2586264+3359055</f>
        <v>5945319</v>
      </c>
      <c r="Q15" s="56">
        <f>25449475+16000000</f>
        <v>41449475</v>
      </c>
      <c r="R15" s="56">
        <f>12214429</f>
        <v>12214429</v>
      </c>
      <c r="S15" s="39">
        <f>N15+O15+P15+Q15+R15</f>
        <v>66200929</v>
      </c>
      <c r="T15" s="55">
        <f t="shared" si="1"/>
        <v>3.2647413502500819E-2</v>
      </c>
      <c r="U15" s="45">
        <v>2091048</v>
      </c>
      <c r="V15" s="56">
        <v>4295138</v>
      </c>
      <c r="W15" s="56">
        <v>6621750</v>
      </c>
      <c r="X15" s="56">
        <v>54889111</v>
      </c>
      <c r="Y15" s="56">
        <f>1967871+11712748</f>
        <v>13680619</v>
      </c>
      <c r="Z15" s="39">
        <f t="shared" si="10"/>
        <v>81577666</v>
      </c>
      <c r="AA15" s="57">
        <f t="shared" si="2"/>
        <v>3.476716075690419E-2</v>
      </c>
      <c r="AB15" s="45">
        <f>'Classif Prog-Admin-Eco'!AD99+'Classif Prog-Admin-Eco'!AD124</f>
        <v>2309659</v>
      </c>
      <c r="AC15" s="56">
        <f>'Classif Prog-Admin-Eco'!AE124+'Classif Prog-Admin-Eco'!AE99</f>
        <v>5172920</v>
      </c>
      <c r="AD15" s="56">
        <f>'Classif Prog-Admin-Eco'!AF99+'Classif Prog-Admin-Eco'!AF124</f>
        <v>7634056</v>
      </c>
      <c r="AE15" s="56">
        <f>'Classif Prog-Admin-Eco'!AH124+'Classif Prog-Admin-Eco'!AH99</f>
        <v>52580281</v>
      </c>
      <c r="AF15" s="56">
        <f>'Classif Prog-Admin-Eco'!AI124+'Classif Prog-Admin-Eco'!AJ124</f>
        <v>13630781</v>
      </c>
      <c r="AG15" s="39">
        <f t="shared" si="11"/>
        <v>81327697</v>
      </c>
      <c r="AH15" s="57">
        <f t="shared" si="3"/>
        <v>3.4253418982345386E-2</v>
      </c>
      <c r="AI15" s="56">
        <f>'Classif Prog-Admin-Eco'!AM99+'Classif Prog-Admin-Eco'!AM124</f>
        <v>2372974</v>
      </c>
      <c r="AJ15" s="56">
        <f>'Classif Prog-Admin-Eco'!AN99+'Classif Prog-Admin-Eco'!AN124</f>
        <v>4656475</v>
      </c>
      <c r="AK15" s="56">
        <f>'Classif Prog-Admin-Eco'!AO99+'Classif Prog-Admin-Eco'!AO124</f>
        <v>6364055</v>
      </c>
      <c r="AL15" s="56">
        <f>'Classif Prog-Admin-Eco'!AQ124+'Classif Prog-Admin-Eco'!AQ99</f>
        <v>41893501</v>
      </c>
      <c r="AM15" s="56">
        <f>'Classif Prog-Admin-Eco'!AR124+'Classif Prog-Admin-Eco'!AS124</f>
        <v>13513636</v>
      </c>
      <c r="AN15" s="39">
        <f t="shared" si="7"/>
        <v>68800641</v>
      </c>
      <c r="AO15" s="57">
        <f t="shared" si="4"/>
        <v>2.6502466704314637E-2</v>
      </c>
      <c r="AP15" s="56">
        <f>'Classif Prog-Admin-Eco'!AV124+'Classif Prog-Admin-Eco'!AV99</f>
        <v>2485318</v>
      </c>
      <c r="AQ15" s="56">
        <f>'Classif Prog-Admin-Eco'!AW99+'Classif Prog-Admin-Eco'!AW124</f>
        <v>4656475</v>
      </c>
      <c r="AR15" s="56">
        <f>'Classif Prog-Admin-Eco'!AX99+'Classif Prog-Admin-Eco'!AX124</f>
        <v>6364055</v>
      </c>
      <c r="AS15" s="56">
        <f>'Classif Prog-Admin-Eco'!AZ124+'Classif Prog-Admin-Eco'!AZ99</f>
        <v>61859981</v>
      </c>
      <c r="AT15" s="56">
        <f>'Classif Prog-Admin-Eco'!BA124+'Classif Prog-Admin-Eco'!BB124</f>
        <v>15661070</v>
      </c>
      <c r="AU15" s="39">
        <f t="shared" si="9"/>
        <v>91026899</v>
      </c>
      <c r="AV15" s="57">
        <f t="shared" si="5"/>
        <v>3.506416982284382E-2</v>
      </c>
      <c r="AW15" s="61" t="s">
        <v>277</v>
      </c>
    </row>
    <row r="16" spans="1:49" ht="35.25" customHeight="1" x14ac:dyDescent="0.25">
      <c r="A16" s="52" t="s">
        <v>278</v>
      </c>
      <c r="B16" s="79" t="s">
        <v>279</v>
      </c>
      <c r="C16" s="7"/>
      <c r="D16" s="7"/>
      <c r="E16" s="7"/>
      <c r="F16" s="7"/>
      <c r="G16" s="53">
        <f>28031000+86448800+64033100</f>
        <v>178512900</v>
      </c>
      <c r="H16" s="53">
        <f>890425+10989602+17740684</f>
        <v>29620711</v>
      </c>
      <c r="I16" s="53">
        <f>14764642+16122086+8650027</f>
        <v>39536755</v>
      </c>
      <c r="J16" s="53">
        <f>3490000+3745000</f>
        <v>7235000</v>
      </c>
      <c r="K16" s="53">
        <f>1750000+5115357+3000000</f>
        <v>9865357</v>
      </c>
      <c r="L16" s="54">
        <f t="shared" si="8"/>
        <v>264770723</v>
      </c>
      <c r="M16" s="55">
        <f t="shared" si="0"/>
        <v>0.14872845216278424</v>
      </c>
      <c r="N16" s="56">
        <v>180897291</v>
      </c>
      <c r="O16" s="56">
        <v>41923925</v>
      </c>
      <c r="P16" s="56">
        <v>40151421</v>
      </c>
      <c r="Q16" s="56">
        <v>29581426</v>
      </c>
      <c r="R16" s="16">
        <f>5732502+2921850+8072847+3960000</f>
        <v>20687199</v>
      </c>
      <c r="S16" s="39">
        <f>N16+O16+P16+Q16+R16</f>
        <v>313241262</v>
      </c>
      <c r="T16" s="55">
        <f t="shared" si="1"/>
        <v>0.15447694104956136</v>
      </c>
      <c r="U16" s="45">
        <v>189195803</v>
      </c>
      <c r="V16" s="56">
        <v>42598225</v>
      </c>
      <c r="W16" s="56">
        <v>48300331</v>
      </c>
      <c r="X16" s="56">
        <v>36287561</v>
      </c>
      <c r="Y16" s="56">
        <f>4345615+36625987</f>
        <v>40971602</v>
      </c>
      <c r="Z16" s="39">
        <f t="shared" si="10"/>
        <v>357353522</v>
      </c>
      <c r="AA16" s="57"/>
      <c r="AB16" s="45">
        <f>'Classif Prog-Admin-Eco'!AD55+'Classif Prog-Admin-Eco'!AD60+'Classif Prog-Admin-Eco'!AD65</f>
        <v>245694788</v>
      </c>
      <c r="AC16" s="56">
        <f>'Classif Prog-Admin-Eco'!AE65+'Classif Prog-Admin-Eco'!AE60+'Classif Prog-Admin-Eco'!AE55</f>
        <v>47522764</v>
      </c>
      <c r="AD16" s="56">
        <f>'Classif Prog-Admin-Eco'!AF55+'Classif Prog-Admin-Eco'!AF60+'Classif Prog-Admin-Eco'!AF65</f>
        <v>48011234</v>
      </c>
      <c r="AE16" s="56">
        <f>'Classif Prog-Admin-Eco'!AH55+'Classif Prog-Admin-Eco'!AH60+'Classif Prog-Admin-Eco'!AH65</f>
        <v>43690322</v>
      </c>
      <c r="AF16" s="56">
        <f>'Classif Prog-Admin-Eco'!AI55+'Classif Prog-Admin-Eco'!AJ55+'Classif Prog-Admin-Eco'!AI60+'Classif Prog-Admin-Eco'!AJ60+'Classif Prog-Admin-Eco'!AI65</f>
        <v>61897334</v>
      </c>
      <c r="AG16" s="39">
        <f t="shared" si="11"/>
        <v>446816442</v>
      </c>
      <c r="AH16" s="57">
        <f t="shared" si="3"/>
        <v>0.18818915769896724</v>
      </c>
      <c r="AI16" s="56">
        <f>'Classif Prog-Admin-Eco'!AM55+'Classif Prog-Admin-Eco'!AM60+'Classif Prog-Admin-Eco'!AM65</f>
        <v>255343934</v>
      </c>
      <c r="AJ16" s="56">
        <f>'Classif Prog-Admin-Eco'!AN55+'Classif Prog-Admin-Eco'!AN60+'Classif Prog-Admin-Eco'!AN65</f>
        <v>45805563</v>
      </c>
      <c r="AK16" s="56">
        <f>'Classif Prog-Admin-Eco'!AO55+'Classif Prog-Admin-Eco'!AO60+'Classif Prog-Admin-Eco'!AO65</f>
        <v>49728435</v>
      </c>
      <c r="AL16" s="56">
        <f>'Classif Prog-Admin-Eco'!AQ55+'Classif Prog-Admin-Eco'!AQ60+'Classif Prog-Admin-Eco'!AQ65</f>
        <v>57946741</v>
      </c>
      <c r="AM16" s="56">
        <f>'Classif Prog-Admin-Eco'!AR55+'Classif Prog-Admin-Eco'!AS55+'Classif Prog-Admin-Eco'!AR60+'Classif Prog-Admin-Eco'!AS60+'Classif Prog-Admin-Eco'!AR65</f>
        <v>69419820</v>
      </c>
      <c r="AN16" s="39">
        <f t="shared" si="7"/>
        <v>478244493</v>
      </c>
      <c r="AO16" s="57">
        <f t="shared" si="4"/>
        <v>0.18422297478673685</v>
      </c>
      <c r="AP16" s="56">
        <f>'Classif Prog-Admin-Eco'!AV60+'Classif Prog-Admin-Eco'!AV55+'Classif Prog-Admin-Eco'!AV65</f>
        <v>267738809</v>
      </c>
      <c r="AQ16" s="56">
        <f>'Classif Prog-Admin-Eco'!AW60+'Classif Prog-Admin-Eco'!AW55+'Classif Prog-Admin-Eco'!AW65</f>
        <v>45806512</v>
      </c>
      <c r="AR16" s="56">
        <f>'Classif Prog-Admin-Eco'!AX60+'Classif Prog-Admin-Eco'!AX55+'Classif Prog-Admin-Eco'!AX65</f>
        <v>49727486</v>
      </c>
      <c r="AS16" s="56">
        <f>'Classif Prog-Admin-Eco'!AZ65+'Classif Prog-Admin-Eco'!AZ60+'Classif Prog-Admin-Eco'!AZ55</f>
        <v>47836661</v>
      </c>
      <c r="AT16" s="56">
        <f>'Classif Prog-Admin-Eco'!BA55+'Classif Prog-Admin-Eco'!BB55+'Classif Prog-Admin-Eco'!BA60+'Classif Prog-Admin-Eco'!BB60+'Classif Prog-Admin-Eco'!BA65</f>
        <v>54887021</v>
      </c>
      <c r="AU16" s="39">
        <f t="shared" si="9"/>
        <v>465996489</v>
      </c>
      <c r="AV16" s="57">
        <f t="shared" si="5"/>
        <v>0.17950496179316153</v>
      </c>
      <c r="AW16" s="61" t="s">
        <v>280</v>
      </c>
    </row>
    <row r="17" spans="1:49" ht="27" customHeight="1" x14ac:dyDescent="0.25">
      <c r="A17" s="52" t="s">
        <v>281</v>
      </c>
      <c r="B17" s="79" t="s">
        <v>282</v>
      </c>
      <c r="C17" s="7"/>
      <c r="D17" s="7"/>
      <c r="E17" s="7"/>
      <c r="F17" s="7"/>
      <c r="G17" s="53">
        <f>698900+150000</f>
        <v>848900</v>
      </c>
      <c r="H17" s="53">
        <f>1257988+850000</f>
        <v>2107988</v>
      </c>
      <c r="I17" s="53">
        <f>2577785+88000000</f>
        <v>90577785</v>
      </c>
      <c r="J17" s="53">
        <f>1200000+0</f>
        <v>1200000</v>
      </c>
      <c r="K17" s="6">
        <v>0</v>
      </c>
      <c r="L17" s="54">
        <f t="shared" si="8"/>
        <v>94734673</v>
      </c>
      <c r="M17" s="55">
        <f t="shared" si="0"/>
        <v>5.3214876334486225E-2</v>
      </c>
      <c r="N17" s="56">
        <v>1817209</v>
      </c>
      <c r="O17" s="56">
        <v>3811408</v>
      </c>
      <c r="P17" s="56">
        <f>1993720+96000000</f>
        <v>97993720</v>
      </c>
      <c r="Q17" s="56">
        <v>1000000</v>
      </c>
      <c r="R17" s="56">
        <v>0</v>
      </c>
      <c r="S17" s="39">
        <f>N17+O17+P17+Q17</f>
        <v>104622337</v>
      </c>
      <c r="T17" s="55">
        <f t="shared" si="1"/>
        <v>5.1595177729862239E-2</v>
      </c>
      <c r="U17" s="56">
        <v>2064117</v>
      </c>
      <c r="V17" s="56">
        <v>6811408</v>
      </c>
      <c r="W17" s="56">
        <v>99993720</v>
      </c>
      <c r="X17" s="56">
        <f>[1]Feuil1!$AQ$105+'[3]TMC Prog-Eco'!$G$113</f>
        <v>1000000</v>
      </c>
      <c r="Y17" s="56">
        <v>5391886</v>
      </c>
      <c r="Z17" s="39">
        <f t="shared" si="10"/>
        <v>115261131</v>
      </c>
      <c r="AA17" s="57">
        <f>Z17/$AG$19</f>
        <v>4.912254133992499E-2</v>
      </c>
      <c r="AB17" s="56">
        <f>'Classif Prog-Admin-Eco'!AD28+'Classif Prog-Admin-Eco'!AD111</f>
        <v>1873719</v>
      </c>
      <c r="AC17" s="56">
        <f>'Classif Prog-Admin-Eco'!AE111+'Classif Prog-Admin-Eco'!AE28+'Classif Prog-Admin-Eco'!AE29</f>
        <v>9691753</v>
      </c>
      <c r="AD17" s="56">
        <f>'Classif Prog-Admin-Eco'!AF28+'Classif Prog-Admin-Eco'!AF111</f>
        <v>106023620</v>
      </c>
      <c r="AE17" s="56">
        <f>'Classif Prog-Admin-Eco'!AH111</f>
        <v>16541766</v>
      </c>
      <c r="AF17" s="56">
        <f>'Classif Prog-Admin-Eco'!AI111</f>
        <v>5391886</v>
      </c>
      <c r="AG17" s="39">
        <f t="shared" si="11"/>
        <v>139522744</v>
      </c>
      <c r="AH17" s="57">
        <f t="shared" si="3"/>
        <v>5.8763879761632935E-2</v>
      </c>
      <c r="AI17" s="56">
        <f>'Classif Prog-Admin-Eco'!AM28+'Classif Prog-Admin-Eco'!AM111</f>
        <v>1952639</v>
      </c>
      <c r="AJ17" s="56">
        <f>'Classif Prog-Admin-Eco'!AN111+'Classif Prog-Admin-Eco'!AN28+'Classif Prog-Admin-Eco'!AN29</f>
        <v>9691753</v>
      </c>
      <c r="AK17" s="56">
        <f>'Classif Prog-Admin-Eco'!AO28+'Classif Prog-Admin-Eco'!AO111</f>
        <v>109723620</v>
      </c>
      <c r="AL17" s="56">
        <f>'Classif Prog-Admin-Eco'!AQ111+0</f>
        <v>17123002</v>
      </c>
      <c r="AM17" s="56">
        <f>'Classif Prog-Admin-Eco'!AR111</f>
        <v>5391886</v>
      </c>
      <c r="AN17" s="39">
        <f t="shared" si="7"/>
        <v>143882900</v>
      </c>
      <c r="AO17" s="57">
        <f t="shared" si="4"/>
        <v>5.5424654641956499E-2</v>
      </c>
      <c r="AP17" s="56">
        <f>'Classif Prog-Admin-Eco'!AV28+'Classif Prog-Admin-Eco'!AV29+'Classif Prog-Admin-Eco'!AV111</f>
        <v>2058230</v>
      </c>
      <c r="AQ17" s="56">
        <f>'Classif Prog-Admin-Eco'!AW28+'Classif Prog-Admin-Eco'!AW29+'Classif Prog-Admin-Eco'!AW111</f>
        <v>9691753</v>
      </c>
      <c r="AR17" s="56">
        <f>'Classif Prog-Admin-Eco'!AX28+'Classif Prog-Admin-Eco'!AX29+'Classif Prog-Admin-Eco'!AX111</f>
        <v>113143720</v>
      </c>
      <c r="AS17" s="56">
        <f>'Classif Prog-Admin-Eco'!AZ111+0</f>
        <v>23719153</v>
      </c>
      <c r="AT17" s="56">
        <f>'Classif Prog-Admin-Eco'!BA111</f>
        <v>7391886</v>
      </c>
      <c r="AU17" s="39">
        <f t="shared" si="9"/>
        <v>156004742</v>
      </c>
      <c r="AV17" s="57">
        <f t="shared" si="5"/>
        <v>6.009406918999774E-2</v>
      </c>
      <c r="AW17" s="61" t="s">
        <v>294</v>
      </c>
    </row>
    <row r="18" spans="1:49" ht="10.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</row>
    <row r="19" spans="1:49" s="69" customFormat="1" ht="36.75" customHeight="1" x14ac:dyDescent="0.25">
      <c r="A19" s="115" t="s">
        <v>283</v>
      </c>
      <c r="B19" s="115"/>
      <c r="C19" s="65"/>
      <c r="D19" s="65"/>
      <c r="E19" s="65"/>
      <c r="F19" s="65"/>
      <c r="G19" s="66">
        <f t="shared" ref="G19:L19" si="12">SUM(G8:G17)</f>
        <v>393950000</v>
      </c>
      <c r="H19" s="66">
        <f t="shared" si="12"/>
        <v>188830000</v>
      </c>
      <c r="I19" s="66">
        <f t="shared" si="12"/>
        <v>354644000</v>
      </c>
      <c r="J19" s="66">
        <f t="shared" si="12"/>
        <v>324806000</v>
      </c>
      <c r="K19" s="66">
        <f t="shared" si="12"/>
        <v>246959000</v>
      </c>
      <c r="L19" s="66">
        <f t="shared" si="12"/>
        <v>1698489000</v>
      </c>
      <c r="M19" s="66"/>
      <c r="N19" s="66">
        <f t="shared" ref="N19:S19" si="13">SUM(N8:N17)</f>
        <v>410927000</v>
      </c>
      <c r="O19" s="66">
        <f t="shared" si="13"/>
        <v>169300000</v>
      </c>
      <c r="P19" s="66">
        <f t="shared" si="13"/>
        <v>367400000</v>
      </c>
      <c r="Q19" s="66">
        <f t="shared" si="13"/>
        <v>378802128</v>
      </c>
      <c r="R19" s="66">
        <f t="shared" si="13"/>
        <v>225000000</v>
      </c>
      <c r="S19" s="66">
        <f t="shared" si="13"/>
        <v>1780229130</v>
      </c>
      <c r="T19" s="66"/>
      <c r="U19" s="66">
        <f t="shared" ref="U19:Z19" si="14">SUM(U8:U17)</f>
        <v>426100000</v>
      </c>
      <c r="V19" s="66">
        <f t="shared" si="14"/>
        <v>189145000</v>
      </c>
      <c r="W19" s="66">
        <f t="shared" si="14"/>
        <v>380883000</v>
      </c>
      <c r="X19" s="66">
        <f t="shared" si="14"/>
        <v>520500000</v>
      </c>
      <c r="Y19" s="66">
        <f t="shared" si="14"/>
        <v>306195960</v>
      </c>
      <c r="Z19" s="66">
        <f t="shared" si="14"/>
        <v>2027754174</v>
      </c>
      <c r="AA19" s="66"/>
      <c r="AB19" s="67">
        <f t="shared" ref="AB19:AG19" si="15">SUM(AB8:AB17)</f>
        <v>523379000</v>
      </c>
      <c r="AC19" s="67">
        <f t="shared" si="15"/>
        <v>194450000</v>
      </c>
      <c r="AD19" s="67">
        <f t="shared" si="15"/>
        <v>480771000</v>
      </c>
      <c r="AE19" s="67">
        <f t="shared" si="15"/>
        <v>639150000</v>
      </c>
      <c r="AF19" s="67">
        <f t="shared" si="15"/>
        <v>331450000</v>
      </c>
      <c r="AG19" s="66">
        <f t="shared" si="15"/>
        <v>2346400000</v>
      </c>
      <c r="AH19" s="66"/>
      <c r="AI19" s="67">
        <f t="shared" ref="AI19:AM19" si="16">SUM(AI8:AI17)</f>
        <v>569241132</v>
      </c>
      <c r="AJ19" s="67">
        <f t="shared" si="16"/>
        <v>209021189</v>
      </c>
      <c r="AK19" s="67">
        <f t="shared" si="16"/>
        <v>485418814</v>
      </c>
      <c r="AL19" s="67">
        <f t="shared" si="16"/>
        <v>556613150</v>
      </c>
      <c r="AM19" s="67">
        <f t="shared" si="16"/>
        <v>352800002</v>
      </c>
      <c r="AN19" s="67">
        <f>SUM(AN8:AN17)</f>
        <v>2374294287</v>
      </c>
      <c r="AO19" s="67"/>
      <c r="AP19" s="67">
        <f t="shared" ref="AP19:AT19" si="17">SUM(AP8:AP17)</f>
        <v>620648185</v>
      </c>
      <c r="AQ19" s="67">
        <f t="shared" si="17"/>
        <v>225821188</v>
      </c>
      <c r="AR19" s="67">
        <f t="shared" si="17"/>
        <v>528538914</v>
      </c>
      <c r="AS19" s="67">
        <f t="shared" si="17"/>
        <v>636663170</v>
      </c>
      <c r="AT19" s="67">
        <f t="shared" si="17"/>
        <v>372037502</v>
      </c>
      <c r="AU19" s="67">
        <f>AU8+AU9+AU10+AU11+AU12+AU13+AU14+AU15+AU16+AU17</f>
        <v>2596008959</v>
      </c>
      <c r="AV19" s="67"/>
      <c r="AW19" s="68"/>
    </row>
    <row r="20" spans="1:49" ht="21" customHeight="1" x14ac:dyDescent="0.25">
      <c r="G20" s="44"/>
      <c r="H20" s="44"/>
      <c r="I20" s="44"/>
      <c r="J20" s="44"/>
      <c r="K20" s="44"/>
      <c r="N20" s="44"/>
      <c r="U20" s="44"/>
      <c r="V20" s="44"/>
      <c r="W20" s="44"/>
      <c r="X20" s="44"/>
      <c r="Y20" s="44"/>
      <c r="AB20" s="44"/>
      <c r="AC20" s="44"/>
      <c r="AD20" s="44"/>
      <c r="AF20" s="44"/>
      <c r="AG20" s="44"/>
      <c r="AI20" s="44"/>
      <c r="AJ20" s="44"/>
      <c r="AK20" s="44"/>
      <c r="AL20" s="44"/>
      <c r="AM20" s="44"/>
      <c r="AN20" s="44"/>
      <c r="AP20" s="44"/>
      <c r="AQ20" s="44"/>
      <c r="AR20" s="44"/>
      <c r="AS20" s="44"/>
      <c r="AT20" s="44"/>
      <c r="AU20" s="44"/>
    </row>
    <row r="21" spans="1:49" ht="21" customHeight="1" x14ac:dyDescent="0.25">
      <c r="H21" s="44"/>
      <c r="L21" s="48"/>
      <c r="N21" s="44"/>
      <c r="Q21" s="44"/>
      <c r="R21" s="44"/>
      <c r="S21" s="44"/>
      <c r="U21" s="44"/>
      <c r="AB21" s="44"/>
      <c r="AF21" s="44"/>
      <c r="AG21" s="48"/>
      <c r="AI21" s="44"/>
      <c r="AL21" s="21"/>
      <c r="AN21" s="44"/>
      <c r="AP21" s="44"/>
      <c r="AQ21" s="44"/>
      <c r="AR21" s="44"/>
      <c r="AS21" s="44"/>
      <c r="AT21" s="44"/>
    </row>
    <row r="22" spans="1:49" ht="21" customHeight="1" x14ac:dyDescent="0.25">
      <c r="B22" s="21"/>
      <c r="G22" s="44"/>
      <c r="L22" s="44"/>
      <c r="U22" s="44"/>
      <c r="AB22" s="44"/>
      <c r="AC22" s="44"/>
      <c r="AD22" s="44"/>
      <c r="AE22" s="44"/>
      <c r="AF22" s="44"/>
      <c r="AG22" s="48"/>
      <c r="AH22" s="48"/>
      <c r="AI22" s="44"/>
      <c r="AK22" s="44"/>
      <c r="AL22" s="44"/>
      <c r="AM22" s="44"/>
      <c r="AO22" s="48"/>
      <c r="AU22" s="44"/>
    </row>
    <row r="23" spans="1:49" ht="21" customHeight="1" x14ac:dyDescent="0.25">
      <c r="V23" s="44"/>
      <c r="W23" s="44"/>
      <c r="X23" s="44"/>
      <c r="Y23" s="44"/>
      <c r="AA23" s="44"/>
      <c r="AB23" s="44"/>
      <c r="AG23" s="44"/>
      <c r="AI23" s="44"/>
      <c r="AK23" s="44"/>
      <c r="AM23" s="44"/>
      <c r="AO23" s="48"/>
      <c r="AP23" s="44"/>
      <c r="AQ23" s="44"/>
      <c r="AR23" s="44"/>
      <c r="AT23" s="44"/>
    </row>
    <row r="24" spans="1:49" ht="21" customHeight="1" x14ac:dyDescent="0.25">
      <c r="U24" s="44"/>
      <c r="Y24" s="44"/>
      <c r="AB24" s="44"/>
      <c r="AI24" s="44"/>
      <c r="AJ24" s="44"/>
      <c r="AM24" s="78"/>
      <c r="AN24" s="44"/>
      <c r="AR24" s="44"/>
      <c r="AS24" s="44"/>
    </row>
    <row r="25" spans="1:49" ht="21" customHeight="1" x14ac:dyDescent="0.25">
      <c r="Z25" s="44"/>
      <c r="AC25" s="48"/>
      <c r="AE25" s="48"/>
      <c r="AF25" s="44"/>
      <c r="AG25" s="44"/>
      <c r="AI25" s="44"/>
      <c r="AJ25" s="44"/>
      <c r="AQ25" s="44"/>
    </row>
    <row r="26" spans="1:49" ht="21" customHeight="1" x14ac:dyDescent="0.25">
      <c r="I26" s="44"/>
      <c r="AB26" s="44"/>
      <c r="AF26" s="44"/>
      <c r="AL26" s="44"/>
      <c r="AM26" s="44"/>
    </row>
    <row r="27" spans="1:49" ht="21" customHeight="1" x14ac:dyDescent="0.25">
      <c r="L27" s="44"/>
      <c r="Q27" s="44"/>
      <c r="AB27" s="44"/>
      <c r="AJ27" s="44"/>
      <c r="AK27" s="44"/>
      <c r="AL27" s="44"/>
      <c r="AO27" s="44"/>
      <c r="AQ27" s="44"/>
      <c r="AR27" s="44"/>
    </row>
    <row r="28" spans="1:49" ht="21" customHeight="1" x14ac:dyDescent="0.25">
      <c r="AO28" s="44"/>
      <c r="AP28" s="44"/>
      <c r="AS28" s="44"/>
    </row>
    <row r="29" spans="1:49" ht="21" customHeight="1" x14ac:dyDescent="0.25">
      <c r="U29" s="44"/>
      <c r="V29" s="44"/>
      <c r="AF29" s="21"/>
      <c r="AI29" s="44"/>
      <c r="AJ29" s="44"/>
    </row>
    <row r="30" spans="1:49" ht="21" customHeight="1" x14ac:dyDescent="0.25">
      <c r="AC30" s="44"/>
      <c r="AD30" s="44"/>
      <c r="AE30" s="44"/>
      <c r="AF30" s="21"/>
    </row>
    <row r="31" spans="1:49" ht="21" customHeight="1" x14ac:dyDescent="0.25">
      <c r="AI31" s="44"/>
      <c r="AJ31" s="44"/>
      <c r="AK31" s="44"/>
      <c r="AL31" s="44"/>
      <c r="AM31" s="44"/>
      <c r="AN31" s="44"/>
    </row>
    <row r="32" spans="1:49" ht="21" customHeight="1" x14ac:dyDescent="0.25">
      <c r="AF32" s="44"/>
    </row>
    <row r="33" spans="21:44" ht="21" customHeight="1" x14ac:dyDescent="0.25">
      <c r="AF33" s="44"/>
      <c r="AJ33" s="44"/>
    </row>
    <row r="36" spans="21:44" ht="21" customHeight="1" x14ac:dyDescent="0.25">
      <c r="AR36" s="44"/>
    </row>
    <row r="37" spans="21:44" ht="21" customHeight="1" x14ac:dyDescent="0.25">
      <c r="AJ37" s="44"/>
    </row>
    <row r="39" spans="21:44" ht="21" customHeight="1" x14ac:dyDescent="0.25">
      <c r="AI39" s="44"/>
    </row>
    <row r="41" spans="21:44" ht="21" customHeight="1" x14ac:dyDescent="0.25">
      <c r="U41" s="16">
        <f>SUM(U22:U40)</f>
        <v>0</v>
      </c>
    </row>
  </sheetData>
  <mergeCells count="35">
    <mergeCell ref="A1:B1"/>
    <mergeCell ref="G4:M5"/>
    <mergeCell ref="N4:T5"/>
    <mergeCell ref="U4:AA5"/>
    <mergeCell ref="AB4:AH5"/>
    <mergeCell ref="A19:B19"/>
    <mergeCell ref="AO6:AO7"/>
    <mergeCell ref="AP4:AW5"/>
    <mergeCell ref="A6:A7"/>
    <mergeCell ref="B6:B7"/>
    <mergeCell ref="G6:I6"/>
    <mergeCell ref="J6:K6"/>
    <mergeCell ref="L6:L7"/>
    <mergeCell ref="M6:M7"/>
    <mergeCell ref="N6:P6"/>
    <mergeCell ref="Q6:R6"/>
    <mergeCell ref="S6:S7"/>
    <mergeCell ref="AI4:AO5"/>
    <mergeCell ref="AV6:AV7"/>
    <mergeCell ref="AW6:AW7"/>
    <mergeCell ref="AE6:AF6"/>
    <mergeCell ref="AP6:AR6"/>
    <mergeCell ref="AS6:AT6"/>
    <mergeCell ref="AU6:AU7"/>
    <mergeCell ref="T6:T7"/>
    <mergeCell ref="U6:W6"/>
    <mergeCell ref="X6:Y6"/>
    <mergeCell ref="Z6:Z7"/>
    <mergeCell ref="AA6:AA7"/>
    <mergeCell ref="AB6:AD6"/>
    <mergeCell ref="AI6:AK6"/>
    <mergeCell ref="AL6:AM6"/>
    <mergeCell ref="AN6:AN7"/>
    <mergeCell ref="AG6:AG7"/>
    <mergeCell ref="AH6:AH7"/>
  </mergeCells>
  <pageMargins left="0.70866141732283472" right="0.70866141732283472" top="0.74803149606299213" bottom="0.74803149606299213" header="0.31496062992125984" footer="0.31496062992125984"/>
  <pageSetup paperSize="9" scale="15" orientation="landscape" r:id="rId1"/>
  <headerFooter>
    <oddHeader>&amp;C&amp;"Arial,Gras"&amp;14TABLEAU MATRICIEL CROISE DE CLASSIFICATION FONCTIONNELLE ET ECONOMIQUE 
DU PROJET DE LOI DE FINANCES 2019 &amp;"-,Normal"&amp;11
&amp;"Arial,Italique"&amp;12(en milliers de FCFA)</oddHead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4DEEA0FC-6E4C-47CC-9D60-D1D8141A9DB8}"/>
</file>

<file path=customXml/itemProps2.xml><?xml version="1.0" encoding="utf-8"?>
<ds:datastoreItem xmlns:ds="http://schemas.openxmlformats.org/officeDocument/2006/customXml" ds:itemID="{337C057C-D84C-47EA-96C4-B00D8AB2DDF9}"/>
</file>

<file path=customXml/itemProps3.xml><?xml version="1.0" encoding="utf-8"?>
<ds:datastoreItem xmlns:ds="http://schemas.openxmlformats.org/officeDocument/2006/customXml" ds:itemID="{E05EC502-8EEB-4549-9682-0F05073EC68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Classif Prog-Admin-Eco</vt:lpstr>
      <vt:lpstr>Classif Fonctionnelle</vt:lpstr>
      <vt:lpstr>'Classif Fonctionnelle'!Impression_des_titres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hp</cp:lastModifiedBy>
  <cp:lastPrinted>2020-12-10T20:18:08Z</cp:lastPrinted>
  <dcterms:created xsi:type="dcterms:W3CDTF">2018-12-01T18:50:14Z</dcterms:created>
  <dcterms:modified xsi:type="dcterms:W3CDTF">2023-01-18T14:09:01Z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