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Pavilion 23\Desktop\Suivi exécution LF\2019\RAPEX fin décembre\"/>
    </mc:Choice>
  </mc:AlternateContent>
  <xr:revisionPtr revIDLastSave="0" documentId="13_ncr:1_{9DB3E758-2B67-414F-92FE-DCA266F8BF9E}" xr6:coauthVersionLast="45" xr6:coauthVersionMax="45" xr10:uidLastSave="{00000000-0000-0000-0000-000000000000}"/>
  <workbookProtection workbookAlgorithmName="SHA-512" workbookHashValue="zDrNqD7WPkTlS4+dkhipOKa8oS6nXsAA4IEYAA6LbpEa1/SeFsdq9+3QV6ntrzQXXfcSkGygMIPlPxWS0ax+tg==" workbookSaltValue="hn2UHq9nSKZm6ZW/H9Tltw==" workbookSpinCount="100000" lockStructure="1"/>
  <bookViews>
    <workbookView xWindow="-120" yWindow="-120" windowWidth="29040" windowHeight="15840" xr2:uid="{00000000-000D-0000-FFFF-FFFF00000000}"/>
  </bookViews>
  <sheets>
    <sheet name="Introduction" sheetId="18" r:id="rId1"/>
    <sheet name="Agrégats macroéconomiques" sheetId="13" r:id="rId2"/>
    <sheet name="Recettes fiscales" sheetId="5" r:id="rId3"/>
    <sheet name="Recettes non fiscales" sheetId="7" r:id="rId4"/>
    <sheet name="Autres recettes" sheetId="8" r:id="rId5"/>
    <sheet name="Dépenses budgétaires" sheetId="11" r:id="rId6"/>
    <sheet name="Détail par administration" sheetId="19" r:id="rId7"/>
    <sheet name="Regroupement par fonction" sheetId="20" r:id="rId8"/>
    <sheet name="Rembousements de la dette" sheetId="15" r:id="rId9"/>
    <sheet name="Nouveaux emprunts publics" sheetId="16" r:id="rId10"/>
    <sheet name="Dépenses sociales 2019" sheetId="12" r:id="rId11"/>
    <sheet name="Transferts aux communes" sheetId="14" r:id="rId12"/>
    <sheet name="Exécution entreprises publiques" sheetId="17" r:id="rId13"/>
  </sheets>
  <externalReferences>
    <externalReference r:id="rId14"/>
  </externalReferences>
  <definedNames>
    <definedName name="_ftn1" localSheetId="1">'Agrégats macroéconomiques'!$A$22</definedName>
    <definedName name="_ftn2" localSheetId="1">'Agrégats macroéconomiques'!$A$26</definedName>
    <definedName name="_ftn3" localSheetId="1">'Agrégats macroéconomiques'!$A$30</definedName>
    <definedName name="_ftnref1" localSheetId="1">'Agrégats macroéconomiques'!$E$6</definedName>
    <definedName name="_ftnref2" localSheetId="1">'Agrégats macroéconomiques'!$F$6</definedName>
    <definedName name="_ftnref3" localSheetId="1">'Agrégats macroéconomiques'!$G$6</definedName>
    <definedName name="_GoBack" localSheetId="4">'Autres recettes'!#REF!</definedName>
    <definedName name="_GoBack" localSheetId="2">'Recettes fiscales'!$D$8</definedName>
    <definedName name="_GoBack" localSheetId="3">'Recettes non fiscales'!#REF!</definedName>
    <definedName name="_Toc40732476" localSheetId="12">'Exécution entreprises publiques'!$B$12</definedName>
    <definedName name="_Toc41040447" localSheetId="1">'Agrégats macroéconomiques'!$A$2</definedName>
    <definedName name="_Toc41040448" localSheetId="2">'Recettes fiscales'!$C$2</definedName>
    <definedName name="_Toc41040449" localSheetId="3">'Recettes non fiscales'!$C$2</definedName>
    <definedName name="_Toc41040450" localSheetId="4">'Autres recettes'!$C$2</definedName>
    <definedName name="_Toc41040451" localSheetId="5">'Dépenses budgétaires'!$B$2</definedName>
    <definedName name="_Toc41040451" localSheetId="9">'Nouveaux emprunts publics'!#REF!</definedName>
    <definedName name="_Toc41040451" localSheetId="8">'Rembousements de la dette'!#REF!</definedName>
    <definedName name="_Toc41040452" localSheetId="5">'Dépenses budgétaires'!$B$17</definedName>
    <definedName name="_Toc41040452" localSheetId="9">'Nouveaux emprunts publics'!#REF!</definedName>
    <definedName name="_Toc41040452" localSheetId="8">'Rembousements de la dette'!#REF!</definedName>
    <definedName name="_Toc41040455" localSheetId="9">'Nouveaux emprunts publics'!#REF!</definedName>
    <definedName name="_Toc41040455" localSheetId="8">'Rembousements de la dette'!$B$3</definedName>
    <definedName name="_Toc41040456" localSheetId="9">'Nouveaux emprunts publics'!$B$2</definedName>
    <definedName name="_Toc41040456" localSheetId="8">'Rembousements de la dette'!#REF!</definedName>
    <definedName name="_Toc41040457" localSheetId="9">'Nouveaux emprunts publics'!$B$21</definedName>
    <definedName name="_Toc41040465" localSheetId="10">'Dépenses sociales 2019'!$B$2</definedName>
    <definedName name="_Toc41040467" localSheetId="11">'Transferts aux communes'!$B$12</definedName>
    <definedName name="_Toc41040470" localSheetId="12">'Exécution entreprises publiques'!$B$2</definedName>
    <definedName name="_Toc503263181" localSheetId="11">'Transferts aux communes'!$B$2</definedName>
    <definedName name="_Toc505353637" localSheetId="5">'Dépenses budgétaires'!$B$31</definedName>
    <definedName name="_Toc505353637" localSheetId="9">'Nouveaux emprunts publics'!#REF!</definedName>
    <definedName name="_Toc505353637" localSheetId="8">'Rembousements de la dette'!#REF!</definedName>
    <definedName name="_xlnm.Print_Titles" localSheetId="6">'Détail par administration'!$2:$3</definedName>
    <definedName name="_xlnm.Print_Titles" localSheetId="7">'Regroupement par fonction'!$2:$2</definedName>
    <definedName name="_xlnm.Print_Area" localSheetId="6">'Détail par administration'!$A$1:$L$57</definedName>
    <definedName name="_xlnm.Print_Area" localSheetId="0">Introduction!$A$1:$M$51</definedName>
    <definedName name="_xlnm.Print_Area" localSheetId="7">'Regroupement par fonction'!$A$1:$G$14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20" l="1"/>
  <c r="D34" i="20"/>
  <c r="D37" i="20" s="1"/>
  <c r="C45" i="20"/>
  <c r="D45" i="20"/>
  <c r="C14" i="20"/>
  <c r="D12" i="20"/>
  <c r="D11" i="20"/>
  <c r="E11" i="20" s="1"/>
  <c r="D10" i="20"/>
  <c r="E10" i="20" s="1"/>
  <c r="D9" i="20"/>
  <c r="E9" i="20" s="1"/>
  <c r="D7" i="20"/>
  <c r="D6" i="20"/>
  <c r="D5" i="20"/>
  <c r="E5" i="20" s="1"/>
  <c r="D4" i="20"/>
  <c r="E4" i="20" s="1"/>
  <c r="D3" i="20"/>
  <c r="P55" i="19"/>
  <c r="O55" i="19"/>
  <c r="J55" i="19"/>
  <c r="L55" i="19" s="1"/>
  <c r="R54" i="19"/>
  <c r="R53" i="19"/>
  <c r="R51" i="19"/>
  <c r="Q50" i="19"/>
  <c r="R50" i="19" s="1"/>
  <c r="R55" i="19" s="1"/>
  <c r="L50" i="19"/>
  <c r="R48" i="19"/>
  <c r="I48" i="19"/>
  <c r="C48" i="19"/>
  <c r="E48" i="19" s="1"/>
  <c r="J48" i="19" s="1"/>
  <c r="L48" i="19" s="1"/>
  <c r="L44" i="19"/>
  <c r="I43" i="19"/>
  <c r="C43" i="19"/>
  <c r="B43" i="19"/>
  <c r="O41" i="19"/>
  <c r="P39" i="19"/>
  <c r="I39" i="19"/>
  <c r="C39" i="19"/>
  <c r="E39" i="19" s="1"/>
  <c r="J39" i="19" s="1"/>
  <c r="L39" i="19" s="1"/>
  <c r="P38" i="19"/>
  <c r="I38" i="19"/>
  <c r="J38" i="19" s="1"/>
  <c r="L38" i="19" s="1"/>
  <c r="G38" i="19"/>
  <c r="E38" i="19"/>
  <c r="P37" i="19"/>
  <c r="I37" i="19"/>
  <c r="D37" i="19"/>
  <c r="E37" i="19" s="1"/>
  <c r="J37" i="19" s="1"/>
  <c r="L37" i="19" s="1"/>
  <c r="C37" i="19"/>
  <c r="P36" i="19"/>
  <c r="I36" i="19"/>
  <c r="D36" i="19"/>
  <c r="C36" i="19"/>
  <c r="E36" i="19" s="1"/>
  <c r="J36" i="19" s="1"/>
  <c r="L36" i="19" s="1"/>
  <c r="P35" i="19"/>
  <c r="I35" i="19"/>
  <c r="D35" i="19"/>
  <c r="C35" i="19"/>
  <c r="E35" i="19" s="1"/>
  <c r="J35" i="19" s="1"/>
  <c r="L35" i="19" s="1"/>
  <c r="P34" i="19"/>
  <c r="I34" i="19"/>
  <c r="E34" i="19"/>
  <c r="J34" i="19" s="1"/>
  <c r="L34" i="19" s="1"/>
  <c r="D34" i="19"/>
  <c r="C34" i="19"/>
  <c r="P33" i="19"/>
  <c r="I33" i="19"/>
  <c r="D33" i="19"/>
  <c r="E33" i="19" s="1"/>
  <c r="J33" i="19" s="1"/>
  <c r="L33" i="19" s="1"/>
  <c r="C33" i="19"/>
  <c r="P32" i="19"/>
  <c r="I32" i="19"/>
  <c r="D32" i="19"/>
  <c r="C32" i="19"/>
  <c r="E32" i="19" s="1"/>
  <c r="J32" i="19" s="1"/>
  <c r="L32" i="19" s="1"/>
  <c r="P31" i="19"/>
  <c r="I31" i="19"/>
  <c r="D31" i="19"/>
  <c r="C31" i="19"/>
  <c r="E31" i="19" s="1"/>
  <c r="J31" i="19" s="1"/>
  <c r="L31" i="19" s="1"/>
  <c r="P30" i="19"/>
  <c r="I30" i="19"/>
  <c r="E30" i="19"/>
  <c r="J30" i="19" s="1"/>
  <c r="L30" i="19" s="1"/>
  <c r="P29" i="19"/>
  <c r="I29" i="19"/>
  <c r="D29" i="19"/>
  <c r="C29" i="19"/>
  <c r="E29" i="19" s="1"/>
  <c r="J29" i="19" s="1"/>
  <c r="L29" i="19" s="1"/>
  <c r="P28" i="19"/>
  <c r="I28" i="19"/>
  <c r="E28" i="19"/>
  <c r="J28" i="19" s="1"/>
  <c r="L28" i="19" s="1"/>
  <c r="D28" i="19"/>
  <c r="C28" i="19"/>
  <c r="P27" i="19"/>
  <c r="I27" i="19"/>
  <c r="D27" i="19"/>
  <c r="E27" i="19" s="1"/>
  <c r="J27" i="19" s="1"/>
  <c r="L27" i="19" s="1"/>
  <c r="C27" i="19"/>
  <c r="P26" i="19"/>
  <c r="I26" i="19"/>
  <c r="D26" i="19"/>
  <c r="C26" i="19"/>
  <c r="E26" i="19" s="1"/>
  <c r="J26" i="19" s="1"/>
  <c r="L26" i="19" s="1"/>
  <c r="P25" i="19"/>
  <c r="I25" i="19"/>
  <c r="D25" i="19"/>
  <c r="C25" i="19"/>
  <c r="E25" i="19" s="1"/>
  <c r="J25" i="19" s="1"/>
  <c r="L25" i="19" s="1"/>
  <c r="P24" i="19"/>
  <c r="I24" i="19"/>
  <c r="E24" i="19"/>
  <c r="J24" i="19" s="1"/>
  <c r="L24" i="19" s="1"/>
  <c r="D24" i="19"/>
  <c r="C24" i="19"/>
  <c r="P23" i="19"/>
  <c r="I23" i="19"/>
  <c r="D23" i="19"/>
  <c r="E23" i="19" s="1"/>
  <c r="J23" i="19" s="1"/>
  <c r="L23" i="19" s="1"/>
  <c r="C23" i="19"/>
  <c r="P22" i="19"/>
  <c r="J22" i="19"/>
  <c r="L22" i="19" s="1"/>
  <c r="I22" i="19"/>
  <c r="E22" i="19"/>
  <c r="P21" i="19"/>
  <c r="I21" i="19"/>
  <c r="B21" i="19"/>
  <c r="B16" i="19" s="1"/>
  <c r="P20" i="19"/>
  <c r="I20" i="19"/>
  <c r="J20" i="19" s="1"/>
  <c r="L20" i="19" s="1"/>
  <c r="E20" i="19"/>
  <c r="P19" i="19"/>
  <c r="J19" i="19"/>
  <c r="L19" i="19" s="1"/>
  <c r="I19" i="19"/>
  <c r="E19" i="19"/>
  <c r="P18" i="19"/>
  <c r="F18" i="19"/>
  <c r="F16" i="19" s="1"/>
  <c r="E18" i="19"/>
  <c r="B18" i="19"/>
  <c r="P17" i="19"/>
  <c r="J17" i="19"/>
  <c r="L17" i="19" s="1"/>
  <c r="I17" i="19"/>
  <c r="E17" i="19"/>
  <c r="K16" i="19"/>
  <c r="H16" i="19"/>
  <c r="G16" i="19"/>
  <c r="C16" i="19"/>
  <c r="P14" i="19"/>
  <c r="J14" i="19"/>
  <c r="L14" i="19" s="1"/>
  <c r="I14" i="19"/>
  <c r="E14" i="19"/>
  <c r="P13" i="19"/>
  <c r="I13" i="19"/>
  <c r="E13" i="19"/>
  <c r="J13" i="19" s="1"/>
  <c r="L13" i="19" s="1"/>
  <c r="P12" i="19"/>
  <c r="I12" i="19"/>
  <c r="E12" i="19"/>
  <c r="J12" i="19" s="1"/>
  <c r="L12" i="19" s="1"/>
  <c r="P11" i="19"/>
  <c r="I11" i="19"/>
  <c r="J11" i="19" s="1"/>
  <c r="L11" i="19" s="1"/>
  <c r="E11" i="19"/>
  <c r="P10" i="19"/>
  <c r="J10" i="19"/>
  <c r="L10" i="19" s="1"/>
  <c r="I10" i="19"/>
  <c r="E10" i="19"/>
  <c r="P9" i="19"/>
  <c r="I9" i="19"/>
  <c r="E9" i="19"/>
  <c r="J9" i="19" s="1"/>
  <c r="L9" i="19" s="1"/>
  <c r="P8" i="19"/>
  <c r="I8" i="19"/>
  <c r="E8" i="19"/>
  <c r="E4" i="19" s="1"/>
  <c r="P7" i="19"/>
  <c r="I7" i="19"/>
  <c r="J7" i="19" s="1"/>
  <c r="L7" i="19" s="1"/>
  <c r="E7" i="19"/>
  <c r="P6" i="19"/>
  <c r="J6" i="19"/>
  <c r="L6" i="19" s="1"/>
  <c r="I6" i="19"/>
  <c r="E6" i="19"/>
  <c r="P5" i="19"/>
  <c r="I5" i="19"/>
  <c r="E5" i="19"/>
  <c r="J5" i="19" s="1"/>
  <c r="L5" i="19" s="1"/>
  <c r="K4" i="19"/>
  <c r="K41" i="19" s="1"/>
  <c r="K46" i="19" s="1"/>
  <c r="K51" i="19" s="1"/>
  <c r="K57" i="19" s="1"/>
  <c r="H4" i="19"/>
  <c r="H41" i="19" s="1"/>
  <c r="H46" i="19" s="1"/>
  <c r="G4" i="19"/>
  <c r="G41" i="19" s="1"/>
  <c r="G46" i="19" s="1"/>
  <c r="F4" i="19"/>
  <c r="F41" i="19" s="1"/>
  <c r="D4" i="19"/>
  <c r="C4" i="19"/>
  <c r="C41" i="19" s="1"/>
  <c r="C46" i="19" s="1"/>
  <c r="B4" i="19"/>
  <c r="D14" i="20" l="1"/>
  <c r="E3" i="20"/>
  <c r="E7" i="20"/>
  <c r="E12" i="20"/>
  <c r="E6" i="20"/>
  <c r="F46" i="19"/>
  <c r="I41" i="19"/>
  <c r="B41" i="19"/>
  <c r="B46" i="19" s="1"/>
  <c r="G51" i="19"/>
  <c r="G59" i="19"/>
  <c r="C51" i="19"/>
  <c r="C59" i="19"/>
  <c r="H59" i="19"/>
  <c r="H51" i="19"/>
  <c r="E41" i="19"/>
  <c r="D41" i="19"/>
  <c r="Q55" i="19"/>
  <c r="D43" i="19" s="1"/>
  <c r="E43" i="19" s="1"/>
  <c r="J43" i="19" s="1"/>
  <c r="L43" i="19" s="1"/>
  <c r="I4" i="19"/>
  <c r="J4" i="19" s="1"/>
  <c r="L4" i="19" s="1"/>
  <c r="E21" i="19"/>
  <c r="J21" i="19" s="1"/>
  <c r="L21" i="19" s="1"/>
  <c r="J8" i="19"/>
  <c r="L8" i="19" s="1"/>
  <c r="E16" i="19"/>
  <c r="I18" i="19"/>
  <c r="I16" i="19" s="1"/>
  <c r="D16" i="19"/>
  <c r="F10" i="20" l="1"/>
  <c r="E14" i="20"/>
  <c r="F9" i="20"/>
  <c r="F4" i="20"/>
  <c r="F5" i="20"/>
  <c r="F3" i="20"/>
  <c r="F11" i="20"/>
  <c r="F12" i="20"/>
  <c r="F7" i="20"/>
  <c r="F6" i="20"/>
  <c r="J41" i="19"/>
  <c r="E46" i="19"/>
  <c r="E51" i="19" s="1"/>
  <c r="B59" i="19"/>
  <c r="B51" i="19"/>
  <c r="J16" i="19"/>
  <c r="L16" i="19" s="1"/>
  <c r="D46" i="19"/>
  <c r="I46" i="19"/>
  <c r="F51" i="19"/>
  <c r="I51" i="19" s="1"/>
  <c r="F59" i="19"/>
  <c r="J18" i="19"/>
  <c r="L18" i="19" s="1"/>
  <c r="F14" i="20" l="1"/>
  <c r="D59" i="19"/>
  <c r="D51" i="19"/>
  <c r="J46" i="19"/>
  <c r="L41" i="19"/>
  <c r="J51" i="19" l="1"/>
  <c r="L46" i="19"/>
  <c r="J59" i="19" l="1"/>
  <c r="J57" i="19"/>
  <c r="L57" i="19" s="1"/>
  <c r="L51" i="19"/>
  <c r="D7" i="16" l="1"/>
  <c r="C7" i="16"/>
  <c r="F7" i="16"/>
  <c r="G7" i="16"/>
  <c r="G18" i="16"/>
  <c r="G12" i="16"/>
  <c r="L14" i="11" l="1"/>
  <c r="H8" i="17" l="1"/>
  <c r="H7" i="17"/>
  <c r="H6" i="17"/>
  <c r="E7" i="17"/>
  <c r="E8" i="17"/>
  <c r="E6" i="17"/>
  <c r="H33" i="14"/>
  <c r="H32" i="14"/>
  <c r="G32" i="14"/>
  <c r="E32" i="14"/>
  <c r="D32" i="14"/>
  <c r="H9" i="14"/>
  <c r="G9" i="14"/>
  <c r="E9" i="14"/>
  <c r="D9" i="14"/>
  <c r="J8" i="14"/>
  <c r="K8" i="14" s="1"/>
  <c r="I8" i="14"/>
  <c r="F8" i="14"/>
  <c r="J7" i="14"/>
  <c r="K7" i="14" s="1"/>
  <c r="I7" i="14"/>
  <c r="F7" i="14"/>
  <c r="J6" i="14"/>
  <c r="K6" i="14" s="1"/>
  <c r="I6" i="14"/>
  <c r="F6" i="14"/>
  <c r="F9" i="14" l="1"/>
  <c r="I9" i="14"/>
  <c r="J9" i="14"/>
  <c r="K9" i="14" s="1"/>
  <c r="C28" i="16"/>
  <c r="C25" i="16"/>
  <c r="D26" i="16"/>
  <c r="D30" i="16"/>
  <c r="I17" i="16"/>
  <c r="J17" i="16" s="1"/>
  <c r="I16" i="16"/>
  <c r="J16" i="16" s="1"/>
  <c r="H16" i="16"/>
  <c r="E16" i="16"/>
  <c r="I14" i="16"/>
  <c r="J14" i="16" s="1"/>
  <c r="H14" i="16"/>
  <c r="E14" i="16"/>
  <c r="I13" i="16"/>
  <c r="J13" i="16" s="1"/>
  <c r="H13" i="16"/>
  <c r="E13" i="16"/>
  <c r="F12" i="16"/>
  <c r="F18" i="16" s="1"/>
  <c r="D12" i="16"/>
  <c r="D18" i="16" s="1"/>
  <c r="C12" i="16"/>
  <c r="C18" i="16" s="1"/>
  <c r="I11" i="16"/>
  <c r="J11" i="16" s="1"/>
  <c r="H11" i="16"/>
  <c r="E11" i="16"/>
  <c r="I10" i="16"/>
  <c r="J10" i="16" s="1"/>
  <c r="H10" i="16"/>
  <c r="E10" i="16"/>
  <c r="I9" i="16"/>
  <c r="J9" i="16" s="1"/>
  <c r="H9" i="16"/>
  <c r="E9" i="16"/>
  <c r="I8" i="16"/>
  <c r="J8" i="16" s="1"/>
  <c r="H8" i="16"/>
  <c r="E8" i="16"/>
  <c r="I7" i="16"/>
  <c r="J7" i="16" s="1"/>
  <c r="H7" i="16"/>
  <c r="E7" i="16"/>
  <c r="I6" i="16"/>
  <c r="H6" i="16"/>
  <c r="E6" i="16"/>
  <c r="G16" i="15"/>
  <c r="F16" i="15"/>
  <c r="D16" i="15"/>
  <c r="C16" i="15"/>
  <c r="I15" i="15"/>
  <c r="J15" i="15" s="1"/>
  <c r="H15" i="15"/>
  <c r="E15" i="15"/>
  <c r="I14" i="15"/>
  <c r="J14" i="15" s="1"/>
  <c r="H14" i="15"/>
  <c r="E14" i="15"/>
  <c r="I13" i="15"/>
  <c r="J13" i="15" s="1"/>
  <c r="H13" i="15"/>
  <c r="E13" i="15"/>
  <c r="I12" i="15"/>
  <c r="J12" i="15" s="1"/>
  <c r="H12" i="15"/>
  <c r="E12" i="15"/>
  <c r="I11" i="15"/>
  <c r="J11" i="15" s="1"/>
  <c r="H11" i="15"/>
  <c r="E11" i="15"/>
  <c r="I10" i="15"/>
  <c r="J10" i="15" s="1"/>
  <c r="H10" i="15"/>
  <c r="E10" i="15"/>
  <c r="I9" i="15"/>
  <c r="J9" i="15" s="1"/>
  <c r="H9" i="15"/>
  <c r="E9" i="15"/>
  <c r="I8" i="15"/>
  <c r="J8" i="15" s="1"/>
  <c r="H8" i="15"/>
  <c r="E8" i="15"/>
  <c r="I7" i="15"/>
  <c r="J7" i="15" s="1"/>
  <c r="H7" i="15"/>
  <c r="E7" i="15"/>
  <c r="C14" i="11"/>
  <c r="D14" i="11"/>
  <c r="I9" i="11"/>
  <c r="J9" i="11" s="1"/>
  <c r="I8" i="11"/>
  <c r="J8" i="11" s="1"/>
  <c r="H9" i="11"/>
  <c r="H8" i="11"/>
  <c r="E30" i="16" l="1"/>
  <c r="F30" i="16"/>
  <c r="F26" i="16"/>
  <c r="E26" i="16"/>
  <c r="H12" i="16"/>
  <c r="E18" i="16"/>
  <c r="I12" i="16"/>
  <c r="J12" i="16" s="1"/>
  <c r="E12" i="16"/>
  <c r="J6" i="16"/>
  <c r="E16" i="15"/>
  <c r="H16" i="15"/>
  <c r="I16" i="15"/>
  <c r="J16" i="15" s="1"/>
  <c r="I28" i="11"/>
  <c r="J28" i="11" s="1"/>
  <c r="H28" i="11"/>
  <c r="E28" i="11"/>
  <c r="S25" i="5"/>
  <c r="R25" i="5"/>
  <c r="Q25" i="5"/>
  <c r="H18" i="16" l="1"/>
  <c r="D27" i="16"/>
  <c r="I18" i="16"/>
  <c r="J18" i="16" s="1"/>
  <c r="E27" i="16" l="1"/>
  <c r="F27" i="16"/>
  <c r="D25" i="16"/>
  <c r="F27" i="14"/>
  <c r="F26" i="14"/>
  <c r="F25" i="14"/>
  <c r="F24" i="14"/>
  <c r="F23" i="14"/>
  <c r="F22" i="14"/>
  <c r="F21" i="14"/>
  <c r="F20" i="14"/>
  <c r="F19" i="14"/>
  <c r="F18" i="14"/>
  <c r="F17" i="14"/>
  <c r="F16" i="14"/>
  <c r="E28" i="14"/>
  <c r="D28" i="14"/>
  <c r="J17" i="14"/>
  <c r="K17" i="14" s="1"/>
  <c r="J18" i="14"/>
  <c r="K18" i="14" s="1"/>
  <c r="J19" i="14"/>
  <c r="K19" i="14" s="1"/>
  <c r="J20" i="14"/>
  <c r="K20" i="14" s="1"/>
  <c r="J21" i="14"/>
  <c r="K21" i="14" s="1"/>
  <c r="J22" i="14"/>
  <c r="K22" i="14" s="1"/>
  <c r="J23" i="14"/>
  <c r="K23" i="14" s="1"/>
  <c r="J24" i="14"/>
  <c r="K24" i="14" s="1"/>
  <c r="J25" i="14"/>
  <c r="K25" i="14" s="1"/>
  <c r="J26" i="14"/>
  <c r="K26" i="14" s="1"/>
  <c r="J27" i="14"/>
  <c r="K27" i="14" s="1"/>
  <c r="J16" i="14"/>
  <c r="K16" i="14" s="1"/>
  <c r="I17" i="14"/>
  <c r="I18" i="14"/>
  <c r="I23" i="14"/>
  <c r="H28" i="14"/>
  <c r="I21" i="14"/>
  <c r="I20" i="14"/>
  <c r="I19" i="14"/>
  <c r="I16" i="14"/>
  <c r="I22" i="14"/>
  <c r="I27" i="14"/>
  <c r="I26" i="14"/>
  <c r="I25" i="14"/>
  <c r="I24" i="14"/>
  <c r="F32" i="14" l="1"/>
  <c r="E25" i="16"/>
  <c r="F25" i="16"/>
  <c r="J32" i="14"/>
  <c r="K32" i="14" s="1"/>
  <c r="F28" i="14"/>
  <c r="J28" i="14"/>
  <c r="K28" i="14" s="1"/>
  <c r="G28" i="14"/>
  <c r="I32" i="14" s="1"/>
  <c r="H8" i="13"/>
  <c r="H9" i="13"/>
  <c r="H10" i="13"/>
  <c r="H11" i="13"/>
  <c r="H12" i="13"/>
  <c r="H13" i="13"/>
  <c r="H14" i="13"/>
  <c r="H15" i="13"/>
  <c r="H16" i="13"/>
  <c r="H17" i="13"/>
  <c r="H18" i="13"/>
  <c r="H19" i="13"/>
  <c r="H7" i="13"/>
  <c r="I28" i="14" l="1"/>
  <c r="F6" i="12" l="1"/>
  <c r="F7" i="12"/>
  <c r="F8" i="12"/>
  <c r="F9" i="12"/>
  <c r="F10" i="12"/>
  <c r="F11" i="12"/>
  <c r="F12" i="12"/>
  <c r="F13" i="12"/>
  <c r="F14" i="12"/>
  <c r="F15" i="12"/>
  <c r="F16" i="12"/>
  <c r="F17" i="12"/>
  <c r="F18" i="12"/>
  <c r="F19" i="12"/>
  <c r="F20" i="12"/>
  <c r="F21" i="12"/>
  <c r="F22" i="12"/>
  <c r="F5" i="12"/>
  <c r="E5" i="12"/>
  <c r="E6" i="12"/>
  <c r="E7" i="12"/>
  <c r="E8" i="12"/>
  <c r="E9" i="12"/>
  <c r="E10" i="12"/>
  <c r="E11" i="12"/>
  <c r="E12" i="12"/>
  <c r="E13" i="12"/>
  <c r="E14" i="12"/>
  <c r="E15" i="12"/>
  <c r="E16" i="12"/>
  <c r="E17" i="12"/>
  <c r="E18" i="12"/>
  <c r="E19" i="12"/>
  <c r="E20" i="12"/>
  <c r="E21" i="12"/>
  <c r="E22" i="12"/>
  <c r="D23" i="12"/>
  <c r="C23" i="12"/>
  <c r="F23" i="12" l="1"/>
  <c r="E23" i="12"/>
  <c r="E23" i="5"/>
  <c r="E24" i="5"/>
  <c r="Q16" i="5"/>
  <c r="J24" i="5"/>
  <c r="G41" i="11" l="1"/>
  <c r="F41" i="11"/>
  <c r="D41" i="11"/>
  <c r="C41" i="11"/>
  <c r="I36" i="11"/>
  <c r="J36" i="11" s="1"/>
  <c r="I37" i="11"/>
  <c r="J37" i="11" s="1"/>
  <c r="I38" i="11"/>
  <c r="J38" i="11" s="1"/>
  <c r="I39" i="11"/>
  <c r="J39" i="11" s="1"/>
  <c r="I40" i="11"/>
  <c r="J40" i="11" s="1"/>
  <c r="I35" i="11"/>
  <c r="J35" i="11" s="1"/>
  <c r="H40" i="11"/>
  <c r="H39" i="11"/>
  <c r="H38" i="11"/>
  <c r="H37" i="11"/>
  <c r="H36" i="11"/>
  <c r="H35" i="11"/>
  <c r="E36" i="11"/>
  <c r="E37" i="11"/>
  <c r="E38" i="11"/>
  <c r="E39" i="11"/>
  <c r="E40" i="11"/>
  <c r="E35" i="11"/>
  <c r="E41" i="11" l="1"/>
  <c r="H41" i="11"/>
  <c r="I41" i="11"/>
  <c r="J41" i="11" s="1"/>
  <c r="G11" i="11"/>
  <c r="I11" i="11" s="1"/>
  <c r="J11" i="11" s="1"/>
  <c r="F11" i="11"/>
  <c r="F14" i="11" s="1"/>
  <c r="E9" i="11"/>
  <c r="E8" i="11"/>
  <c r="E13" i="11"/>
  <c r="E12" i="11"/>
  <c r="I12" i="11"/>
  <c r="J12" i="11" s="1"/>
  <c r="I13" i="11"/>
  <c r="J13" i="11" s="1"/>
  <c r="H13" i="11"/>
  <c r="H12" i="11"/>
  <c r="G22" i="11"/>
  <c r="F22" i="11"/>
  <c r="F25" i="11" s="1"/>
  <c r="C22" i="11"/>
  <c r="C25" i="11" s="1"/>
  <c r="D22" i="11"/>
  <c r="E22" i="11" s="1"/>
  <c r="D25" i="11"/>
  <c r="E23" i="11"/>
  <c r="E24" i="11"/>
  <c r="E21" i="11"/>
  <c r="H23" i="11"/>
  <c r="I23" i="11"/>
  <c r="J23" i="11" s="1"/>
  <c r="H24" i="11"/>
  <c r="I24" i="11"/>
  <c r="J24" i="11" s="1"/>
  <c r="I21" i="11"/>
  <c r="J21" i="11" s="1"/>
  <c r="H21" i="11"/>
  <c r="I7" i="11"/>
  <c r="J7" i="11" s="1"/>
  <c r="I10" i="11"/>
  <c r="J10" i="11" s="1"/>
  <c r="I6" i="11"/>
  <c r="J6" i="11" s="1"/>
  <c r="H7" i="11"/>
  <c r="H10" i="11"/>
  <c r="H6" i="11"/>
  <c r="E11" i="11"/>
  <c r="E7" i="11"/>
  <c r="E10" i="11"/>
  <c r="E6" i="11"/>
  <c r="E25" i="11" l="1"/>
  <c r="K14" i="11"/>
  <c r="G14" i="11"/>
  <c r="D29" i="16" s="1"/>
  <c r="H11" i="11"/>
  <c r="I22" i="11"/>
  <c r="J22" i="11" s="1"/>
  <c r="I14" i="11"/>
  <c r="J14" i="11" s="1"/>
  <c r="E14" i="11"/>
  <c r="G25" i="11"/>
  <c r="H25" i="11" s="1"/>
  <c r="H22" i="11"/>
  <c r="Q19" i="5"/>
  <c r="E29" i="16" l="1"/>
  <c r="F29" i="16"/>
  <c r="D28" i="16"/>
  <c r="H14" i="11"/>
  <c r="I25" i="11"/>
  <c r="J25" i="11" s="1"/>
  <c r="S18" i="5"/>
  <c r="R18" i="5"/>
  <c r="S15" i="5"/>
  <c r="R15" i="5"/>
  <c r="Q15" i="5"/>
  <c r="F28" i="16" l="1"/>
  <c r="E28" i="16"/>
  <c r="T15" i="5"/>
  <c r="S14" i="5"/>
  <c r="R14" i="5"/>
  <c r="I17" i="7"/>
  <c r="F7" i="7"/>
  <c r="D24" i="5"/>
  <c r="E15" i="5"/>
  <c r="H15" i="5"/>
  <c r="G15" i="5"/>
  <c r="D15" i="5"/>
  <c r="F22" i="5"/>
  <c r="E7" i="5"/>
  <c r="D8" i="5"/>
  <c r="D7" i="5"/>
  <c r="J10" i="5"/>
  <c r="R19" i="5" l="1"/>
  <c r="R16" i="5"/>
  <c r="R17" i="5" s="1"/>
  <c r="S19" i="5"/>
  <c r="S16" i="5"/>
  <c r="S17" i="5" s="1"/>
  <c r="H7" i="8" l="1"/>
  <c r="G7" i="8"/>
  <c r="E7" i="8"/>
  <c r="D7" i="8"/>
  <c r="H11" i="8"/>
  <c r="G11" i="8"/>
  <c r="E11" i="8"/>
  <c r="I11" i="8" l="1"/>
  <c r="J11" i="8"/>
  <c r="K11" i="8" s="1"/>
  <c r="D11" i="8"/>
  <c r="D14" i="8" s="1"/>
  <c r="J13" i="8"/>
  <c r="K13" i="8" s="1"/>
  <c r="I13" i="8"/>
  <c r="F13" i="8"/>
  <c r="J12" i="8"/>
  <c r="K12" i="8" s="1"/>
  <c r="I12" i="8"/>
  <c r="F12" i="8"/>
  <c r="J9" i="8"/>
  <c r="K9" i="8" s="1"/>
  <c r="I9" i="8"/>
  <c r="F9" i="8"/>
  <c r="J8" i="8"/>
  <c r="K8" i="8" s="1"/>
  <c r="I8" i="8"/>
  <c r="F8" i="8"/>
  <c r="H14" i="8"/>
  <c r="G14" i="8"/>
  <c r="E14" i="8"/>
  <c r="J17" i="7"/>
  <c r="F17" i="7"/>
  <c r="H19" i="7"/>
  <c r="G19" i="7"/>
  <c r="E19" i="7"/>
  <c r="D19" i="7"/>
  <c r="F11" i="8" l="1"/>
  <c r="I14" i="8"/>
  <c r="F14" i="8"/>
  <c r="J14" i="8"/>
  <c r="K14" i="8" s="1"/>
  <c r="I7" i="8"/>
  <c r="F7" i="8"/>
  <c r="J7" i="8"/>
  <c r="K7" i="8" s="1"/>
  <c r="I19" i="7"/>
  <c r="F19" i="7"/>
  <c r="J19" i="7"/>
  <c r="K19" i="7" s="1"/>
  <c r="J15" i="7" l="1"/>
  <c r="K15" i="7" s="1"/>
  <c r="I15" i="7"/>
  <c r="F15" i="7"/>
  <c r="J14" i="7"/>
  <c r="K14" i="7" s="1"/>
  <c r="I14" i="7"/>
  <c r="F14" i="7"/>
  <c r="J13" i="7"/>
  <c r="K13" i="7" s="1"/>
  <c r="I13" i="7"/>
  <c r="F13" i="7"/>
  <c r="J12" i="7"/>
  <c r="K12" i="7" s="1"/>
  <c r="I12" i="7"/>
  <c r="F12" i="7"/>
  <c r="J11" i="7"/>
  <c r="K11" i="7" s="1"/>
  <c r="I11" i="7"/>
  <c r="F11" i="7"/>
  <c r="J10" i="7"/>
  <c r="K10" i="7" s="1"/>
  <c r="I10" i="7"/>
  <c r="F10" i="7"/>
  <c r="H9" i="7"/>
  <c r="H23" i="7" s="1"/>
  <c r="G9" i="7"/>
  <c r="E9" i="7"/>
  <c r="E23" i="7" s="1"/>
  <c r="D9" i="7"/>
  <c r="D23" i="7" s="1"/>
  <c r="J22" i="7"/>
  <c r="K22" i="7" s="1"/>
  <c r="I22" i="7"/>
  <c r="F22" i="7"/>
  <c r="J21" i="7"/>
  <c r="K21" i="7" s="1"/>
  <c r="I21" i="7"/>
  <c r="F21" i="7"/>
  <c r="J20" i="7"/>
  <c r="K20" i="7" s="1"/>
  <c r="I20" i="7"/>
  <c r="F20" i="7"/>
  <c r="J7" i="7"/>
  <c r="K7" i="7" s="1"/>
  <c r="I7" i="7"/>
  <c r="G23" i="7" l="1"/>
  <c r="F9" i="7"/>
  <c r="J9" i="7"/>
  <c r="K9" i="7" s="1"/>
  <c r="I9" i="7"/>
  <c r="K17" i="7"/>
  <c r="J21" i="5"/>
  <c r="K21" i="5" s="1"/>
  <c r="I21" i="5"/>
  <c r="F21" i="5"/>
  <c r="I13" i="5"/>
  <c r="J13" i="5"/>
  <c r="I9" i="5"/>
  <c r="I10" i="5"/>
  <c r="I11" i="5"/>
  <c r="I12" i="5"/>
  <c r="H8" i="5"/>
  <c r="H7" i="5" s="1"/>
  <c r="G8" i="5"/>
  <c r="G7" i="5" s="1"/>
  <c r="F9" i="5"/>
  <c r="F10" i="5"/>
  <c r="F11" i="5"/>
  <c r="F13" i="5"/>
  <c r="F12" i="5"/>
  <c r="E8" i="5"/>
  <c r="F20" i="5"/>
  <c r="F19" i="5"/>
  <c r="F18" i="5"/>
  <c r="F17" i="5"/>
  <c r="F16" i="5"/>
  <c r="F7" i="5" l="1"/>
  <c r="F23" i="7"/>
  <c r="J23" i="7"/>
  <c r="K23" i="7" s="1"/>
  <c r="I23" i="7"/>
  <c r="F15" i="5"/>
  <c r="I15" i="5"/>
  <c r="G23" i="5"/>
  <c r="G24" i="5" s="1"/>
  <c r="Q18" i="5" s="1"/>
  <c r="T18" i="5" s="1"/>
  <c r="J15" i="5"/>
  <c r="K15" i="5" s="1"/>
  <c r="I8" i="5"/>
  <c r="I7" i="5"/>
  <c r="J7" i="5"/>
  <c r="K7" i="5" s="1"/>
  <c r="H23" i="5"/>
  <c r="H24" i="5" s="1"/>
  <c r="Q14" i="5" s="1"/>
  <c r="D23" i="5"/>
  <c r="F8" i="5"/>
  <c r="J17" i="5"/>
  <c r="K17" i="5" s="1"/>
  <c r="J18" i="5"/>
  <c r="K18" i="5" s="1"/>
  <c r="J19" i="5"/>
  <c r="K19" i="5" s="1"/>
  <c r="J20" i="5"/>
  <c r="K20" i="5" s="1"/>
  <c r="J16" i="5"/>
  <c r="K16" i="5" s="1"/>
  <c r="I17" i="5"/>
  <c r="I18" i="5"/>
  <c r="I19" i="5"/>
  <c r="I20" i="5"/>
  <c r="I16" i="5"/>
  <c r="J9" i="5"/>
  <c r="K9" i="5" s="1"/>
  <c r="K10" i="5"/>
  <c r="J11" i="5"/>
  <c r="K11" i="5" s="1"/>
  <c r="J12" i="5"/>
  <c r="K12" i="5" s="1"/>
  <c r="K13" i="5"/>
  <c r="J8" i="5"/>
  <c r="K8" i="5" s="1"/>
  <c r="Q17" i="5" l="1"/>
  <c r="T14" i="5"/>
  <c r="F23" i="5"/>
  <c r="F24" i="5"/>
  <c r="J23" i="5"/>
  <c r="K23" i="5" s="1"/>
  <c r="I23" i="5"/>
  <c r="T16" i="5" l="1"/>
  <c r="T17" i="5" s="1"/>
  <c r="T19" i="5"/>
  <c r="K24" i="5"/>
  <c r="I24" i="5"/>
</calcChain>
</file>

<file path=xl/sharedStrings.xml><?xml version="1.0" encoding="utf-8"?>
<sst xmlns="http://schemas.openxmlformats.org/spreadsheetml/2006/main" count="493" uniqueCount="336">
  <si>
    <t>Prévisions</t>
  </si>
  <si>
    <t>Nature des recettes budgétaires</t>
  </si>
  <si>
    <t>Ecarts</t>
  </si>
  <si>
    <t>Taux d’accroissement (%)</t>
  </si>
  <si>
    <t>Réalisations</t>
  </si>
  <si>
    <t>Taux (%)</t>
  </si>
  <si>
    <t>Direction Générale des Douanes et des Droits Indirects (DGDDI)</t>
  </si>
  <si>
    <t>Total DGDDI</t>
  </si>
  <si>
    <t>I- Recettes fiscales</t>
  </si>
  <si>
    <r>
      <t>1- Impôts et taxes intérieurs sur les biens et services (</t>
    </r>
    <r>
      <rPr>
        <sz val="8"/>
        <color rgb="FF000000"/>
        <rFont val="Segoe UI"/>
        <family val="2"/>
      </rPr>
      <t>taxes sur valeur ajoutée-TVA)</t>
    </r>
  </si>
  <si>
    <r>
      <t>4- Autres recettes fiscales (</t>
    </r>
    <r>
      <rPr>
        <sz val="8"/>
        <color rgb="FF000000"/>
        <rFont val="Segoe UI"/>
        <family val="2"/>
      </rPr>
      <t>Redevance d'aménagement urbain et de sécurisation de corridor, Taxe statistique, Taxe sur la pollution /éco taxe, Taxe spécifique ciment, etc.)</t>
    </r>
  </si>
  <si>
    <t>Direction Générale des Impôts (DGI)</t>
  </si>
  <si>
    <t>Total DGI</t>
  </si>
  <si>
    <t>1- Impôts sur les Revenus Non Salariaux</t>
  </si>
  <si>
    <t>Total recettes fiscales brutes</t>
  </si>
  <si>
    <t>2- Impôts sur les Revenus Salariaux</t>
  </si>
  <si>
    <t>3- Impôts sur les Biens et Services</t>
  </si>
  <si>
    <t>4- Impôts sur la Propriété</t>
  </si>
  <si>
    <t>5- Autres Recettes Fiscales</t>
  </si>
  <si>
    <t>6- Recettes fiscales diverses (majorations et pénalités)</t>
  </si>
  <si>
    <t>1- Revenu de l'Entreprise et du Domaine</t>
  </si>
  <si>
    <t>2- Droits et Frais Administratifs</t>
  </si>
  <si>
    <t>3- Amendes et Condamnations Pécuniaires</t>
  </si>
  <si>
    <t>4- Produits Financiers</t>
  </si>
  <si>
    <t>5- Autres Recettes Non Fiscales</t>
  </si>
  <si>
    <t>6- Recettes Exceptionnelles</t>
  </si>
  <si>
    <t>Direction Générale du Trésor et de la Comptabilité Publique (DGTCP)</t>
  </si>
  <si>
    <t>Agence Nationale du Domaine et du Foncier (ANDF)</t>
  </si>
  <si>
    <t>Fonds Nationale des Retraites du Bénin (FNRB) et autres organismes publics</t>
  </si>
  <si>
    <t>1- FNRB</t>
  </si>
  <si>
    <t>2- Fonds Routier (Ressources propres)</t>
  </si>
  <si>
    <t>3- Caisse Autonome d'Amortissement (CAA)</t>
  </si>
  <si>
    <t>Total recettes non fiscales</t>
  </si>
  <si>
    <t>Total FNRB+FR+CAA</t>
  </si>
  <si>
    <t>Total ANDF</t>
  </si>
  <si>
    <t>1- Opérations Militaires à l’Etranger (OME)</t>
  </si>
  <si>
    <t>2- Partenariat Mondial pour l’Education (PME)</t>
  </si>
  <si>
    <t>Total CAS</t>
  </si>
  <si>
    <t>Comptes d’Affectation Spéciale (CAS)</t>
  </si>
  <si>
    <t>1- Dons budgétaires</t>
  </si>
  <si>
    <t>3- Fonds de concours et recettes assimilées</t>
  </si>
  <si>
    <t>Autres ressources</t>
  </si>
  <si>
    <t>Total autres ressources</t>
  </si>
  <si>
    <t>Total autres recettes budgétaires</t>
  </si>
  <si>
    <t>Comptes</t>
  </si>
  <si>
    <t>Ecart</t>
  </si>
  <si>
    <t>Prév.</t>
  </si>
  <si>
    <t>Engag.</t>
  </si>
  <si>
    <t>Total</t>
  </si>
  <si>
    <t>Secteurs</t>
  </si>
  <si>
    <t xml:space="preserve">Prévisions </t>
  </si>
  <si>
    <t>Engagement</t>
  </si>
  <si>
    <t>Ministère de la Santé</t>
  </si>
  <si>
    <t>Ministère de la Justice et de la Législation</t>
  </si>
  <si>
    <t>Ministère des Enseignements Maternel et Primaire</t>
  </si>
  <si>
    <t>Ministère des Enseignements Secondaire, Technique et de la Formation Professionnelle</t>
  </si>
  <si>
    <t>Ministère du Cadre de Vie et du Développement Durable</t>
  </si>
  <si>
    <t>Ministère de l’Agriculture, de l’Elevage et de la Pêche </t>
  </si>
  <si>
    <t>Ministère de l’Energie</t>
  </si>
  <si>
    <t>Ministère du Travail et de la Fonction Publique</t>
  </si>
  <si>
    <t>Ministère de l’Intérieur et de la Sécurité Publique</t>
  </si>
  <si>
    <t>Ministère de la Culture, du Tourisme et des Sports </t>
  </si>
  <si>
    <t>Ministère des Infrastructures et des Transports </t>
  </si>
  <si>
    <t>Ministère du Plan et du Développement</t>
  </si>
  <si>
    <t>Ministère de l'Enseignement Supérieur et de la Recherche Scientifique</t>
  </si>
  <si>
    <t>Discussions narratives</t>
  </si>
  <si>
    <t>Recettes fiscales brutes</t>
  </si>
  <si>
    <t>Recettes non fiscales</t>
  </si>
  <si>
    <t>Autres recettes budgétaires</t>
  </si>
  <si>
    <t>3- Droits et taxes à l'exportation</t>
  </si>
  <si>
    <t xml:space="preserve">2- Droits et taxes à l'importation </t>
  </si>
  <si>
    <t xml:space="preserve">II-Recettes non fiscales </t>
  </si>
  <si>
    <t>7- Recettes Non Fiscales (Loyers d'Immeubles)</t>
  </si>
  <si>
    <t>Total recettes brutes (impôts et douanes)</t>
  </si>
  <si>
    <t>Variation %</t>
  </si>
  <si>
    <t>Taux de réal</t>
  </si>
  <si>
    <t>DEPENSES ORDINAIRES</t>
  </si>
  <si>
    <t>Dépenses de personnel</t>
  </si>
  <si>
    <t>Charges financières de la dette</t>
  </si>
  <si>
    <t>Dépenses d’acquisitions de biens et services</t>
  </si>
  <si>
    <t>Dépenses de transfert</t>
  </si>
  <si>
    <t>TOTAL GENERAL</t>
  </si>
  <si>
    <r>
      <t xml:space="preserve">DEPENSES </t>
    </r>
    <r>
      <rPr>
        <b/>
        <sz val="9"/>
        <color theme="1"/>
        <rFont val="Segoe UI"/>
        <family val="2"/>
      </rPr>
      <t>D’INVESTISSEMENT</t>
    </r>
  </si>
  <si>
    <t>Financement intérieur (contribution budgétaire + emprunt intérieur)</t>
  </si>
  <si>
    <t>Financement extérieur</t>
  </si>
  <si>
    <r>
      <t>·</t>
    </r>
    <r>
      <rPr>
        <sz val="7"/>
        <color rgb="FF000000"/>
        <rFont val="Times New Roman"/>
        <family val="1"/>
      </rPr>
      <t xml:space="preserve">         </t>
    </r>
    <r>
      <rPr>
        <i/>
        <sz val="9"/>
        <color rgb="FF000000"/>
        <rFont val="Segoe UI"/>
        <family val="2"/>
      </rPr>
      <t xml:space="preserve">Prêts </t>
    </r>
  </si>
  <si>
    <r>
      <t>·</t>
    </r>
    <r>
      <rPr>
        <sz val="7"/>
        <color rgb="FF000000"/>
        <rFont val="Times New Roman"/>
        <family val="1"/>
      </rPr>
      <t xml:space="preserve">         </t>
    </r>
    <r>
      <rPr>
        <i/>
        <sz val="9"/>
        <color rgb="FF000000"/>
        <rFont val="Segoe UI"/>
        <family val="2"/>
      </rPr>
      <t>Dons</t>
    </r>
  </si>
  <si>
    <t>TOTAL</t>
  </si>
  <si>
    <r>
      <t>·</t>
    </r>
    <r>
      <rPr>
        <sz val="7"/>
        <color rgb="FF000000"/>
        <rFont val="Times New Roman"/>
        <family val="1"/>
      </rPr>
      <t> </t>
    </r>
    <r>
      <rPr>
        <i/>
        <sz val="9"/>
        <color rgb="FF000000"/>
        <rFont val="Segoe UI"/>
        <family val="2"/>
      </rPr>
      <t xml:space="preserve">Subventions d'exploitation </t>
    </r>
  </si>
  <si>
    <r>
      <t>·</t>
    </r>
    <r>
      <rPr>
        <sz val="7"/>
        <color rgb="FF000000"/>
        <rFont val="Times New Roman"/>
        <family val="1"/>
      </rPr>
      <t> </t>
    </r>
    <r>
      <rPr>
        <i/>
        <sz val="9"/>
        <color rgb="FF000000"/>
        <rFont val="Segoe UI"/>
        <family val="2"/>
      </rPr>
      <t>Transferts courants</t>
    </r>
  </si>
  <si>
    <r>
      <t>·</t>
    </r>
    <r>
      <rPr>
        <i/>
        <sz val="9"/>
        <color rgb="FF000000"/>
        <rFont val="Segoe UI"/>
        <family val="2"/>
      </rPr>
      <t>Dette intérieure</t>
    </r>
  </si>
  <si>
    <r>
      <t>·</t>
    </r>
    <r>
      <rPr>
        <i/>
        <sz val="9"/>
        <color rgb="FF000000"/>
        <rFont val="Segoe UI"/>
        <family val="2"/>
      </rPr>
      <t>Dette extérieure</t>
    </r>
  </si>
  <si>
    <t>Opération Militaire à l'Extérieur</t>
  </si>
  <si>
    <t>Partenariat Mondial pour l'Education</t>
  </si>
  <si>
    <t>Compte Promotion de la Recherche Agricole</t>
  </si>
  <si>
    <t>Modernisation de l'Administration des Impôts</t>
  </si>
  <si>
    <t>Prévention et Gestion des Catastrophes</t>
  </si>
  <si>
    <t>Compte Opération RAMU</t>
  </si>
  <si>
    <t>Nature</t>
  </si>
  <si>
    <t>Exé.</t>
  </si>
  <si>
    <t>Prêts et avances</t>
  </si>
  <si>
    <t>Amortissement emprunts obligataires</t>
  </si>
  <si>
    <t>Amortissement tirages FMI</t>
  </si>
  <si>
    <t>Amortissement emprunts extérieurs</t>
  </si>
  <si>
    <t>Amortissement Bons du Trésor</t>
  </si>
  <si>
    <t>Indemnités de vacation des enseignants</t>
  </si>
  <si>
    <t>Amortissement dettes banques locales</t>
  </si>
  <si>
    <t>Variation des instances de paiement</t>
  </si>
  <si>
    <t>Variation des comptes des
 correspondants</t>
  </si>
  <si>
    <t>Remboursement prêts et avances</t>
  </si>
  <si>
    <t>Emission de dettes à moyen et long termes (emprunt obligataire)</t>
  </si>
  <si>
    <t xml:space="preserve">        Financement banques locales</t>
  </si>
  <si>
    <t>Tirage sur FMI</t>
  </si>
  <si>
    <t>Autres ressources de trésorerie</t>
  </si>
  <si>
    <t xml:space="preserve">        Obligations du trésor</t>
  </si>
  <si>
    <t xml:space="preserve">        Bons du trésor</t>
  </si>
  <si>
    <t>Tirage pour le reprofilage de la dette</t>
  </si>
  <si>
    <t>Dépôts des correspondants du Trésor</t>
  </si>
  <si>
    <t xml:space="preserve">        Emprunts extérieurs (prêts programmes)</t>
  </si>
  <si>
    <t xml:space="preserve">        Emprunts extérieurs (prêts projets)</t>
  </si>
  <si>
    <t>Obligation internationale</t>
  </si>
  <si>
    <t>Prévision (A)</t>
  </si>
  <si>
    <t>Réalisation/Exécution</t>
  </si>
  <si>
    <t>Ecart (B)-(A)</t>
  </si>
  <si>
    <t>Montant (B)</t>
  </si>
  <si>
    <t>Ressources</t>
  </si>
  <si>
    <t xml:space="preserve">       Budget de l’Etat</t>
  </si>
  <si>
    <t xml:space="preserve">       Ressources de trésorerie</t>
  </si>
  <si>
    <t>Charges</t>
  </si>
  <si>
    <t xml:space="preserve">       Charges de trésorerie</t>
  </si>
  <si>
    <t>Ministère de l’Economie et des Finances </t>
  </si>
  <si>
    <t>Ministère des Affaires Sociales et de la Microfinance</t>
  </si>
  <si>
    <t>Ministère des Petites et Moyennes Entreprises et de la Promotion de l’Emploi</t>
  </si>
  <si>
    <t>Ministère de la Décentralisation et de la Gouvernance Locale</t>
  </si>
  <si>
    <t>Ministère de l’Eau et des Mines</t>
  </si>
  <si>
    <t>Tout comme en 2018, l'engagement à 88,2% des dépenses sociales du secteur de la Santé en 2019 a servi, entre autres, à la couverture des charges des mesures telles que : la gratuité de la césarienne, le traitement gratuit du paludisme chez les enfants de 0 à 5 ans et des femmes enceintes, le dépistage et le traitement de l'ulcère de Buruli ; le renforcement des moyens financiers du centre de prise en charge médicale intégrée du nourrisson et de la femme enceinte atteints de la drépanocytose et du centre national de transfusion sanguine ; à l'acquisition des réactifs, des médicaments et des consommables médicaux au profit des centres de santé pour la prise en charge des personnes atteintes du VIH/SIDA ;  à la prise en charge des hémodialysés ; au paiement des frais d'évacuations sanitaires ; à la lutte contre les maladies comme la tuberculose, l'hépatite et les maladies transmissibles ou non ; au renforcement des plateaux techniques des formations sanitaires ; etc.</t>
  </si>
  <si>
    <t>En dépit de l'écart négatif d'exécution de près de 4 millions de FCFA, plusieurs réalisations sont enregistrées dont : 
• la réhabilitation et la mise en valeur du parc animalier de la Pendjari avec des impacts socio-économiques considérables, notamment : la création de 212 emplois permanents et 614 emplois saisonniers ; 
 la clôture du site de belvédère de BOPA ;
 la construction des ouvrages d’assainissement et confortatifs des voies d’accès du site de belvédère de BOPA ;
 l’aménagement partiel du site des chutes de Tanougou ;
 l’aménagement de la voie d’accès à l’embarcadère de Djassin ;
 la réfection des toitures des paillottes du site des chutes de Kota ;
 l’appui du Fonds des Arts et de la Culture  à la production, à la promotion et à la diffusion des produits et œuvres artistiques et culturelles sur le marché international  ;
 la promotion de talents sportifs.</t>
  </si>
  <si>
    <t xml:space="preserve">Tout en 2018, la politique sociale du Gouvernement dans le secteur est essentiellement axée sur les différentes mesures sociales décrétées (octroi de microcrédits aux plus pauvres, subventions directes aux personnes vulnérables, assistance aux handicapés,  etc). </t>
  </si>
  <si>
    <t>Le bon niveau de consommation (près de 95% de la prévision) est imputable aux activités : 
- la mise en stage de plusieurs jeunes dans le cadre du programme d'appui à l'emploi indépendant ;
- la formation de 500 filles dans les métiers d’homme;
- la mise en place des subventions au titre du second passage du Projet Emploi des Jeunes ;
- le suivi et l’accompagnement de 7 567 bénéficiaires de subvention au titre du premier passage après installation ;
- l’incubation de 500 jeunes porteurs d’idées de projets à l’entreprenariat à travers le partenariat FNPEEJ-centres d’incubation;
- le renforcement des capacités de 300 entreprises artisanales du bois et du bâtiment sur les normes de production.</t>
  </si>
  <si>
    <t>Agrégats macro-économiques</t>
  </si>
  <si>
    <t>(B)-(A)</t>
  </si>
  <si>
    <t>Appréciation de l’écart</t>
  </si>
  <si>
    <t>Prévisions initiales[1] (A)</t>
  </si>
  <si>
    <t>Prévisions actualisées[2]</t>
  </si>
  <si>
    <t>Estimations 2019[3] (B)</t>
  </si>
  <si>
    <t xml:space="preserve">Taux de croissance (%) </t>
  </si>
  <si>
    <t>Croissance secteur primaire (%)</t>
  </si>
  <si>
    <t>Croissance secteur secondaire (%)</t>
  </si>
  <si>
    <t>Croissance secteur tertiaire (%)</t>
  </si>
  <si>
    <r>
      <t>Taux d’inflation (%)</t>
    </r>
    <r>
      <rPr>
        <sz val="9"/>
        <color theme="1"/>
        <rFont val="Segoe UI"/>
        <family val="2"/>
      </rPr>
      <t xml:space="preserve"> </t>
    </r>
  </si>
  <si>
    <t xml:space="preserve">Performance </t>
  </si>
  <si>
    <t>Balance commerciale en % du PIB</t>
  </si>
  <si>
    <t>Balance courante en % du PIB (-=déficit)</t>
  </si>
  <si>
    <t>Balance globale en % du PIB</t>
  </si>
  <si>
    <t>Investissement en % du PIB</t>
  </si>
  <si>
    <t>Investissement public en % du PIB</t>
  </si>
  <si>
    <t>Encours de la dette publique en % du PIB</t>
  </si>
  <si>
    <t>Ratio du solde budgétaire global, dons compris (en % du PIB)</t>
  </si>
  <si>
    <t>Taux de pression fiscale</t>
  </si>
  <si>
    <t>[1] Document de Programmation Budgétaire et Economique Pluriannuelle (DPBEP) 2019-2021 (Annexe), septembre 2018</t>
  </si>
  <si>
    <t xml:space="preserve">https://budgetbenin.bj/wp-content/uploads/2019/01/Annexe-au-DPBEP-2019-2021.pdf </t>
  </si>
  <si>
    <t>[2] Document de Programmation Budgétaire et Economique Pluriannuelle (DPBEP) 2020-2022 (Annexe), mai 2019</t>
  </si>
  <si>
    <t xml:space="preserve">https://budgetbenin.bj/wp-content/uploads/2018/12/ANNEXES_DPBEP_2020-2022-_20_06_19_Final_01h08.pdf </t>
  </si>
  <si>
    <t>Ministères</t>
  </si>
  <si>
    <t>Lignes Budgétaires</t>
  </si>
  <si>
    <t>MEM</t>
  </si>
  <si>
    <t>Investissement</t>
  </si>
  <si>
    <t>MEMP</t>
  </si>
  <si>
    <t>Entretiens et Réparations</t>
  </si>
  <si>
    <t>M. Santé</t>
  </si>
  <si>
    <t>Santé Communautaire</t>
  </si>
  <si>
    <t>MESFTP</t>
  </si>
  <si>
    <t>MAEP</t>
  </si>
  <si>
    <t>MCVDD</t>
  </si>
  <si>
    <t>Investissement (Assainissement)</t>
  </si>
  <si>
    <t>MIT</t>
  </si>
  <si>
    <t>Investissement (Pistes rurales)</t>
  </si>
  <si>
    <t>MTCS</t>
  </si>
  <si>
    <t xml:space="preserve">Investissement (Culture) </t>
  </si>
  <si>
    <t>Fonctionnement (Sport)</t>
  </si>
  <si>
    <t>Ecart (%)</t>
  </si>
  <si>
    <t>Rubriques Budgétaires</t>
  </si>
  <si>
    <t>FADeC-non  affecté fonctionnement</t>
  </si>
  <si>
    <t>FADeC-non  affecté investissement sur ressources intérieures</t>
  </si>
  <si>
    <t>FADeC-non  affecté investissement sur ressources extérieures</t>
  </si>
  <si>
    <t>Total  FADeC-non  affecté</t>
  </si>
  <si>
    <t xml:space="preserve">Dépenses du FNRB </t>
  </si>
  <si>
    <t>FNRB</t>
  </si>
  <si>
    <t>[3] Document de Programmation Budgétaire et Economique Pluriannuelle (DPBEP) 2021-2023 (Annexe), mai 2020</t>
  </si>
  <si>
    <t>Contreperformance</t>
  </si>
  <si>
    <r>
      <t xml:space="preserve">Tableau n°1 : </t>
    </r>
    <r>
      <rPr>
        <sz val="11"/>
        <color theme="1"/>
        <rFont val="Segoe UI"/>
        <family val="2"/>
      </rPr>
      <t>Hypothèses macro-économiques de départ et résultats réels obtenus pour l’année 2019</t>
    </r>
  </si>
  <si>
    <r>
      <t xml:space="preserve">Tableau n°2 : </t>
    </r>
    <r>
      <rPr>
        <sz val="11"/>
        <color theme="1"/>
        <rFont val="Segoe UI"/>
        <family val="2"/>
      </rPr>
      <t>Réalisation des recettes fiscales entre 2018 et 2019 (en millions de FCFA)</t>
    </r>
  </si>
  <si>
    <r>
      <t xml:space="preserve">Tableau n°3 : </t>
    </r>
    <r>
      <rPr>
        <sz val="11"/>
        <color theme="1"/>
        <rFont val="Segoe UI"/>
        <family val="2"/>
      </rPr>
      <t>Réalisation des recettes non fiscales entre 2018 et 2019 (en millions de FCFA)</t>
    </r>
  </si>
  <si>
    <r>
      <t xml:space="preserve">Tableau n°4 : </t>
    </r>
    <r>
      <rPr>
        <sz val="11"/>
        <color theme="1"/>
        <rFont val="Segoe UI"/>
        <family val="2"/>
      </rPr>
      <t>Réalisation des autres recettes budgétaires</t>
    </r>
    <r>
      <rPr>
        <b/>
        <sz val="11"/>
        <color theme="1"/>
        <rFont val="Segoe UI"/>
        <family val="2"/>
      </rPr>
      <t xml:space="preserve"> </t>
    </r>
    <r>
      <rPr>
        <sz val="11"/>
        <color theme="1"/>
        <rFont val="Segoe UI"/>
        <family val="2"/>
      </rPr>
      <t>entre 2018 et 2019 (en millions de FCFA)</t>
    </r>
  </si>
  <si>
    <r>
      <t xml:space="preserve">Tableau n°5 : </t>
    </r>
    <r>
      <rPr>
        <sz val="11"/>
        <color theme="1"/>
        <rFont val="Segoe UI"/>
        <family val="2"/>
      </rPr>
      <t>Exécution des dépenses ordinaires entre 2018 et 2019 (en millions de FCFA)</t>
    </r>
  </si>
  <si>
    <r>
      <t xml:space="preserve">Tableau n°6 : </t>
    </r>
    <r>
      <rPr>
        <sz val="11"/>
        <color theme="1"/>
        <rFont val="Segoe UI"/>
        <family val="2"/>
      </rPr>
      <t>Exécution des dépenses d’investissement entre 2018 et 2019 (en millions de FCFA)</t>
    </r>
  </si>
  <si>
    <r>
      <t>Tableau n°7 :</t>
    </r>
    <r>
      <rPr>
        <sz val="11"/>
        <color theme="1"/>
        <rFont val="Segoe UI"/>
        <family val="2"/>
      </rPr>
      <t xml:space="preserve"> Exécution des dépenses des Comptes d’Affectation Spéciale entre 2018 et 2019 (en millions de FCFA)</t>
    </r>
  </si>
  <si>
    <r>
      <t xml:space="preserve">Tableau n°9 : </t>
    </r>
    <r>
      <rPr>
        <sz val="11"/>
        <color theme="1"/>
        <rFont val="Segoe UI"/>
        <family val="2"/>
      </rPr>
      <t>Niveau d’exécution des charges de trésorerie par nature en 2019 (en millions de FCFA)</t>
    </r>
  </si>
  <si>
    <r>
      <t>Tableau n°10 :</t>
    </r>
    <r>
      <rPr>
        <sz val="11"/>
        <color theme="1"/>
        <rFont val="Segoe UI"/>
        <family val="2"/>
      </rPr>
      <t xml:space="preserve"> Niveau de mobilisation des ressources de trésorerie (nouveaux emprunts) par nature en 2018 et 2019 (en millions de FCFA)</t>
    </r>
  </si>
  <si>
    <r>
      <t>Tableau n°11 :</t>
    </r>
    <r>
      <rPr>
        <sz val="11"/>
        <color theme="1"/>
        <rFont val="Segoe UI"/>
        <family val="2"/>
      </rPr>
      <t xml:space="preserve"> Synthèse de l’exécution de la loi de finances à fin décembre 2019 (en millions de FCFA)</t>
    </r>
  </si>
  <si>
    <r>
      <t xml:space="preserve">Tableau n°19 : </t>
    </r>
    <r>
      <rPr>
        <sz val="11"/>
        <color theme="1"/>
        <rFont val="Segoe UI"/>
        <family val="2"/>
      </rPr>
      <t>Exécution des dépenses pro-pauvres en 2019 (en millions de FCFA)</t>
    </r>
  </si>
  <si>
    <t>Total FADeC</t>
  </si>
  <si>
    <t>Part du FADeC non affecté</t>
  </si>
  <si>
    <t>L'engagement à 100% des crédits s'explique par la nature des desdites dépenses qui regroupement entre autres, les dépenses d'interventions publiques (aides économiques et sociales aux ménages, entreprises privées et autres entités du service public) et les charges liées à la prévention et la gestion des catastrophes pour le bien-être de la population, etc.</t>
  </si>
  <si>
    <t>Les crédits consommés pour 861,8 millions FCFA ont servi à la poursuite de la modernisation des services judiciaires, au renforcement des moyens d'action des centres régionaux et du Centre National de Sauvegarde de l'Enfance et de l'Adolescence, notamment pour la protection des mineurs.</t>
  </si>
  <si>
    <t>L'exécution des dépenses pro-pauvres au titre de l'année 2019 a permis : (i) l'achèvement et mise en exploitation du Centre de Gestion Intégrée des Ressources en Eau (CGIRE) ; (ii) l'accroissement des moyens de production des statistiques sociales (réalisation d'enquêtes, identification des plus pauvres, etc.) pour la prise de décision optimale en faveur des pauvres et (iii) la réalisation de plusieurs ouvrages (forages et retenues d’eau) dans des communes comme Avrankou, Savalou, etc.</t>
  </si>
  <si>
    <t>Engagées à hauteur de 68,2% des prévisions annuelles, les dépenses pro-pauvres pour l'année 2019 sont consacrées, entre autres : (i) à l'assainissement des villes à statut particulier ; (ii) à l'aménagement de la route des pêches; ; (ii) au renforcement de mesures de protection du Littoral contre l'érosion côtière (les zones concernées sont Cotonou-Siafato, Hilacondji-Bouche du Roy, Grand-Popo-Ouidah) aux fins de garantir l'activité économique des populations riveraines ; (iv) à la réhabilitation du lac Ahémé ; (v) à la réhabilitation de la ville d'Abomey ; (vi) à la mise en place d'infrastructures sociocommunautaires sous la tutelle des autres ministères ; (vii) à la subvention des ménages dans le cadre de la mise en œuvre du projet de substitution du bois énergie par le gaz domestique ; (viii) à l'adaptation des villes aux effets du changement climatique ; à la  sécurisation foncière des plantations communales et l'installation de 4ha de plantations dans 10 écoles ; etc.</t>
  </si>
  <si>
    <t>Pour l'année 2019, les dépenses du secteur sont engagées pour l'approvisionnement en carburant et lubrifiants des groupes électrogènes, des centrales thermiques de MRI, AGGREKO et APR ; à l'interconnexion électrique de 161 KV dans la zone de Bembèrèkè-Kandi-Malanville ; à l'électrification de plusieurs localités rurales du Bénin ; l'acquisition de panneaux scolaires au profit des centres de santé et des collèges des localités rurales ; à la restructuration et à l'extension des réseaux SBEE dans les communes ; à la construction d'une centrale thermique de 120 mégawatts à Maria-Gléta ;  etc.</t>
  </si>
  <si>
    <t>Le niveau d'engagement obtenu, bien qu'étant en-dessous de l'objectif, a permis la poursuite de la mise en œuvre du projet d'appui à la diversification agricole (amélioration de la productivité au champ et la valeur ajoutée post récolte des chaines de valeur ciblées) ; la mise en place des infrastructures agricoles et le soutien aux agriculteurs dans la vallée de  l'Ouémé ;  le développement des cultures maraîchères par le renforcement des capacités des acteurs ; la poursuite de l'exécution du projet de production agricole en Afrique de l'Ouest (diffusion des technologies pour l'amélioration de la productivité des chaînes de valeur telles que le maïs, le riz, le soja, les cultures maraîchères, l’ananas, l’anacarde, le poisson, les petits ruminants et la volaille).</t>
  </si>
  <si>
    <t>Les dépenses dans ce sous-secteur de l'éducation sont engagées pour le paiement des bourses et secours, l’attribution des allocations universitaires à 76 doctorants, le maintien de la gratuité des droits d’inscriptions qui couvre près de 70 % des étudiants (étudiants non boursiers, non secourus et non-salariés, soit 90 000 étudiants), etc.</t>
  </si>
  <si>
    <t>Les différents niveaux obtenus dans le sous-secteur de l'éducation ont permis la prise en charge des frais d'écolage dans les écoles publiques, la réalisation des infrastructures scolaires dans certaines communes, l'amélioration du niveau de rétention des écoliers à travers l'extension du programme cantines scolaires, le développement des programmes d'accès à l'éducation pour tous (notamment les filles), etc.</t>
  </si>
  <si>
    <t>L'engagement à hauteur de 95,8% des dépenses dans ce sous-secteur s'explique par l’accroissement des subventions dans les lycées et collèges, l'amélioration des soins au profit des élèves et lycéens, le paiement des allocations familiales, la réhabilitation et l'équipement des infrastructures éducatives, la promotion de l'alphabétisation, etc.</t>
  </si>
  <si>
    <t>L'engagement à près de 80% des dépenses allouées a permis, entre autres, la réalisation des travaux de construction du pont de Tovègbamè sur l'axe Akpro-Missérété-Kpédékpo, la réfection des routes et des pistes rurales dans le cadre des campagnes de commercialisation du coton-graines et du renforcement du réseau de pistes rurales, l'entretien du réseau routier, la sensibilisation sur les voies pour la réduction des accidents de route, etc.</t>
  </si>
  <si>
    <t>Les ancrages budgétaires pour l'année 2019 sont principalement la lutte contre les pires formes de travail des enfants, l'organisation des conférences débats sur le VIH/SIDA et les hépatites en milieu de travail, à la vérification des conditions de travail par rapport au code de travail, la mise en œuvre du plan d'actions de Ouagadougou sur la lutte contre la pauvreté, le renforcement des moyens d'action de la caisse mutuelle de prévoyance sociale, etc.</t>
  </si>
  <si>
    <t xml:space="preserve">L'engagement en dépassement des crédits (+7,1 points de pourcentage) en 2019 est porté par la volonté du Gouvernement de faire des espaces frontaliers, de véritables zones de développement local à travers la formation et l'équipement des groupement de femmes ; l'accroissement des moyens des Sapeurs-Pompiers pour des interventions rapides en matière de protection civile ; la lutte contre la transhumance transfrontalière qui cause assez de dégâts aux populations ; la construction et l'équipement des infrastructures au profit des forces de sécurité publique. </t>
  </si>
  <si>
    <t>L'exécution en cours d'année de plus de 9 milliards de FCFA en faveur des collectivités et administration locales, vise à accroître l’accès des populations pauvres et des zones reculées aux services sociaux essentiels et aux filets de protection sociale. L’année 2019 a connu également la poursuite des travaux de construction de 30 hangars de type C dans le marché principal de Dangbo et du type B avec deux modules de latrines et douches dans le marché principal d’Agbangnizoun, etc.</t>
  </si>
  <si>
    <t>Quoique les objectifs n'aient été atteints, l'Etat a consacré les 69,2% des prévisions à la mise en place des infrastructures hydrauliques multifonctions et de gestion durable en eau, au renforcement des systèmes d’alimentation et des villes secondaires et leurs environs, à la réalisation des Adductions d'Eau Villageoise et d'autres infrastructures d’approvisionnement en eau potable dans les zones rurales du Bénin, etc.</t>
  </si>
  <si>
    <t>Année</t>
  </si>
  <si>
    <t>OFFICES</t>
  </si>
  <si>
    <t>SOCIÉTÉS</t>
  </si>
  <si>
    <t xml:space="preserve">TOTAL PRODUITS </t>
  </si>
  <si>
    <t xml:space="preserve">TOTAL CHARGES </t>
  </si>
  <si>
    <t xml:space="preserve">RESULTAT NET </t>
  </si>
  <si>
    <r>
      <t>Tableau 22 :</t>
    </r>
    <r>
      <rPr>
        <sz val="11"/>
        <color theme="1"/>
        <rFont val="Segoe UI"/>
        <family val="2"/>
      </rPr>
      <t xml:space="preserve"> Quelques indicateurs financiers des sociétés et offices d’État de 2017 à 2019 (millions FCFA) </t>
    </r>
  </si>
  <si>
    <t>Subventions d’exploitation</t>
  </si>
  <si>
    <t>Subventions d’investissement</t>
  </si>
  <si>
    <r>
      <t>Source</t>
    </r>
    <r>
      <rPr>
        <u/>
        <sz val="10.5"/>
        <color theme="1"/>
        <rFont val="Segoe UI"/>
        <family val="2"/>
      </rPr>
      <t> </t>
    </r>
    <r>
      <rPr>
        <sz val="10.5"/>
        <color theme="1"/>
        <rFont val="Segoe UI"/>
        <family val="2"/>
      </rPr>
      <t>: DPBEP 2021-2023, mai 2020</t>
    </r>
  </si>
  <si>
    <t>Point sur les subventions accordées aux offices et société d’Etat sur la période 2017-2019</t>
  </si>
  <si>
    <t xml:space="preserve">  </t>
  </si>
  <si>
    <r>
      <t xml:space="preserve">Tableau 21 : </t>
    </r>
    <r>
      <rPr>
        <sz val="11"/>
        <color theme="1"/>
        <rFont val="Segoe UI"/>
        <family val="2"/>
      </rPr>
      <t>Exécution du FADeC-Affecté au titre de 2018 et de 2019 (en millions de FCFA)</t>
    </r>
  </si>
  <si>
    <r>
      <t xml:space="preserve">Tableau 20 : </t>
    </r>
    <r>
      <rPr>
        <sz val="11"/>
        <color theme="1"/>
        <rFont val="Segoe UI"/>
        <family val="2"/>
      </rPr>
      <t>Exécution du FADeC non Affecté au titre de 2018 et de 2019 (en millions de FCFA)</t>
    </r>
  </si>
  <si>
    <t xml:space="preserve">Dans la vision de l’amélioration des points de faiblesse relevés au cours de l’enquête sur le budget ouvert (EBO) de l’année 2019, nous soumettons à votre attention, les statistiques contenues dans le rapport de fin d’année 2019 en version Excel.
Ces tableaux proposés accompagnent le rapport et ne sont que des extraits de tableaux contenus dans le document pour répondre aux exigences de International Budget Partnership (IBP). </t>
  </si>
  <si>
    <t>Mai 2020</t>
  </si>
  <si>
    <t>PRESENTATION DES DONNES DU RAPPORT FIN D'ANNEE 2019 DANS UNE VERSION LISIBLE PAR MACHINE</t>
  </si>
  <si>
    <t>I- OPERATIONS BUDGETAIRES</t>
  </si>
  <si>
    <t>SECTEURS</t>
  </si>
  <si>
    <t>DEPENSES EN CAPITAL</t>
  </si>
  <si>
    <t>TOTAL EXECUTION (C)= (a+b)</t>
  </si>
  <si>
    <t>Prévision loi de finances (D)</t>
  </si>
  <si>
    <t>Taux d'exé. ( C)*100/(D)</t>
  </si>
  <si>
    <t>Dépenses d'acquisitions de biens et services</t>
  </si>
  <si>
    <t>Total dépenses ordinaires (a)</t>
  </si>
  <si>
    <t>Ressources Intérieures</t>
  </si>
  <si>
    <t>Ressources extérieures (dons)</t>
  </si>
  <si>
    <t>Ressources extérieures (prêts)</t>
  </si>
  <si>
    <t>Total dépenses en capital (b)</t>
  </si>
  <si>
    <t>1. Institutions</t>
  </si>
  <si>
    <t>Présidence de la République</t>
  </si>
  <si>
    <t>Assemblée Nationale</t>
  </si>
  <si>
    <t>Cour Constitutionnelle</t>
  </si>
  <si>
    <t>Cour Suprême</t>
  </si>
  <si>
    <t>Conseil Economique et Social</t>
  </si>
  <si>
    <t>Haute Autorité de l'Audiovisuel et de la Communication</t>
  </si>
  <si>
    <t>Haute Cour de Justice</t>
  </si>
  <si>
    <t>Médiateur de la République</t>
  </si>
  <si>
    <t>Commission Electorale Nationale Autonome</t>
  </si>
  <si>
    <t>Autorité de Protection des Données Personnelles (ex CNIL)</t>
  </si>
  <si>
    <t>2. Ministères</t>
  </si>
  <si>
    <t>Defense Nationale</t>
  </si>
  <si>
    <t>Economie &amp; Finances</t>
  </si>
  <si>
    <t>Justice &amp; Législation</t>
  </si>
  <si>
    <t>Plan et Développement</t>
  </si>
  <si>
    <t>Economie Numérique &amp; Communication</t>
  </si>
  <si>
    <t>Cadre de vie et Développement Durable</t>
  </si>
  <si>
    <t>Industrie et Commerce</t>
  </si>
  <si>
    <t>Santé</t>
  </si>
  <si>
    <t>Energie</t>
  </si>
  <si>
    <t>Agriculture, Elevage et Pêche</t>
  </si>
  <si>
    <t>Tourisme, Culture &amp; Sports</t>
  </si>
  <si>
    <t>Affaires Sociales &amp; Microfinance</t>
  </si>
  <si>
    <t>Enseignement supérieur</t>
  </si>
  <si>
    <t>PME &amp; Prom. Emploi</t>
  </si>
  <si>
    <t>Infrastructures &amp; Transports</t>
  </si>
  <si>
    <t>Fonction Publique</t>
  </si>
  <si>
    <t>Intérieur &amp; Sécurité Publique</t>
  </si>
  <si>
    <t>Décentralisation &amp; Gouv. Locale</t>
  </si>
  <si>
    <t>Enseignement Maternel &amp; Primaire</t>
  </si>
  <si>
    <t>Enseignement Secondaire, Tech &amp; Prof.</t>
  </si>
  <si>
    <t>Affaires étrangères &amp; Coopération</t>
  </si>
  <si>
    <t>Eau &amp; Mines</t>
  </si>
  <si>
    <t>Caisse Autonome d'Amortissement</t>
  </si>
  <si>
    <t>TOTAL MINISTERES ET INSTITUTIONS (3) = (1)+(2)</t>
  </si>
  <si>
    <t>Crédits globaux (4)</t>
  </si>
  <si>
    <t>Charges financières de la dette publique (5)</t>
  </si>
  <si>
    <t>TOTAL BUDGET GENERAL (3)+(4)+(5)</t>
  </si>
  <si>
    <t>Budget annexe du FNRB</t>
  </si>
  <si>
    <t>Dépenses communes</t>
  </si>
  <si>
    <t>Comptes d'affectation spéciale</t>
  </si>
  <si>
    <t>Dépenses diverses</t>
  </si>
  <si>
    <t>TOTAL BUDGET DE L'ETAT</t>
  </si>
  <si>
    <t>Exercice clos</t>
  </si>
  <si>
    <t>II- OPERATIONS DE TRESORERIE</t>
  </si>
  <si>
    <t>Dépenses fiscales</t>
  </si>
  <si>
    <t>Retrait des correspondants du Trésor</t>
  </si>
  <si>
    <t>Total exécution</t>
  </si>
  <si>
    <t>Prévision Loi de Finances</t>
  </si>
  <si>
    <t>Taux d'exé</t>
  </si>
  <si>
    <t>Dépenses d'interventions publiques</t>
  </si>
  <si>
    <t>TOTAL LOI DE FINANCES (I)+(II)</t>
  </si>
  <si>
    <t>-</t>
  </si>
  <si>
    <t>N°</t>
  </si>
  <si>
    <t>FONCTION</t>
  </si>
  <si>
    <t>Exécution</t>
  </si>
  <si>
    <t>Taux d'exéc.</t>
  </si>
  <si>
    <t>Poids d'exec</t>
  </si>
  <si>
    <t>Observations</t>
  </si>
  <si>
    <t>01</t>
  </si>
  <si>
    <t>Services Généraux de l'administration</t>
  </si>
  <si>
    <t>02</t>
  </si>
  <si>
    <t>Defense</t>
  </si>
  <si>
    <t>03</t>
  </si>
  <si>
    <t>Ordre et Sécurité Publique</t>
  </si>
  <si>
    <t>04</t>
  </si>
  <si>
    <t>Affaires économiques - Equipement</t>
  </si>
  <si>
    <t>05</t>
  </si>
  <si>
    <t>Protection de l'environnement</t>
  </si>
  <si>
    <t>06</t>
  </si>
  <si>
    <t>Logement et Equipements collectifs</t>
  </si>
  <si>
    <t>Retraitement en cours</t>
  </si>
  <si>
    <t>07</t>
  </si>
  <si>
    <t>08</t>
  </si>
  <si>
    <t>Loisirs, Culture et Cultes</t>
  </si>
  <si>
    <t>09</t>
  </si>
  <si>
    <t>Enseignement</t>
  </si>
  <si>
    <t>10</t>
  </si>
  <si>
    <t>Protection Sociale</t>
  </si>
  <si>
    <t>TOTAL FONCTIONS</t>
  </si>
  <si>
    <t>Compte</t>
  </si>
  <si>
    <t>Prévision</t>
  </si>
  <si>
    <t>Exécution 
31/12/2019</t>
  </si>
  <si>
    <t>OME</t>
  </si>
  <si>
    <t>PME</t>
  </si>
  <si>
    <t>Impôts</t>
  </si>
  <si>
    <t>RAMU</t>
  </si>
  <si>
    <t>Recherche agricole</t>
  </si>
  <si>
    <t>Prévention et gest. Des catastrophes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</si>
</sst>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000"/>
    <numFmt numFmtId="168" formatCode="#,##0.000000"/>
    <numFmt numFmtId="169" formatCode="_-* #,##0.00\ _€_-;\-* #,##0.00\ _€_-;_-* &quot;-&quot;??\ _€_-;_-@_-"/>
    <numFmt numFmtId="170" formatCode="_-* #,##0\ _€_-;\-* #,##0\ _€_-;_-* &quot;-&quot;??\ _€_-;_-@_-"/>
    <numFmt numFmtId="171" formatCode="_-* #,##0.0\ _€_-;\-* #,##0.0\ _€_-;_-* &quot;-&quot;??\ _€_-;_-@_-"/>
    <numFmt numFmtId="172" formatCode="_-* #,##0.0\ _€_-;\-* #,##0.0\ _€_-;_-* &quot;-&quot;?\ _€_-;_-@_-"/>
  </numFmts>
  <fonts count="52" x14ac:knownFonts="1">
    <font>
      <sz val="11"/>
      <color theme="1"/>
      <name val="Calibri"/>
      <family val="2"/>
      <scheme val="minor"/>
    </font>
    <font>
      <sz val="10"/>
      <color theme="1"/>
      <name val="Segoe UI"/>
      <family val="2"/>
    </font>
    <font>
      <b/>
      <sz val="8"/>
      <color rgb="FF000000"/>
      <name val="Segoe UI"/>
      <family val="2"/>
    </font>
    <font>
      <b/>
      <sz val="8"/>
      <color theme="1"/>
      <name val="Segoe UI"/>
      <family val="2"/>
    </font>
    <font>
      <sz val="8"/>
      <color rgb="FF000000"/>
      <name val="Segoe UI"/>
      <family val="2"/>
    </font>
    <font>
      <sz val="8"/>
      <color theme="1"/>
      <name val="Segoe UI"/>
      <family val="2"/>
    </font>
    <font>
      <b/>
      <sz val="9"/>
      <color theme="1"/>
      <name val="Segoe UI"/>
      <family val="2"/>
    </font>
    <font>
      <b/>
      <sz val="9"/>
      <color rgb="FF000000"/>
      <name val="Segoe UI"/>
      <family val="2"/>
    </font>
    <font>
      <sz val="9"/>
      <color theme="1"/>
      <name val="Segoe UI"/>
      <family val="2"/>
    </font>
    <font>
      <sz val="9"/>
      <color rgb="FF000000"/>
      <name val="Segoe UI"/>
      <family val="2"/>
    </font>
    <font>
      <sz val="11"/>
      <color theme="1"/>
      <name val="Calibri"/>
      <family val="2"/>
      <scheme val="minor"/>
    </font>
    <font>
      <sz val="11"/>
      <color rgb="FFFF0000"/>
      <name val="Calibri"/>
      <family val="2"/>
      <scheme val="minor"/>
    </font>
    <font>
      <sz val="9"/>
      <color rgb="FF000000"/>
      <name val="Symbol"/>
      <family val="1"/>
      <charset val="2"/>
    </font>
    <font>
      <sz val="7"/>
      <color rgb="FF000000"/>
      <name val="Times New Roman"/>
      <family val="1"/>
    </font>
    <font>
      <i/>
      <sz val="9"/>
      <color rgb="FF000000"/>
      <name val="Segoe UI"/>
      <family val="2"/>
    </font>
    <font>
      <i/>
      <sz val="9"/>
      <color rgb="FF000000"/>
      <name val="Symbol"/>
      <family val="1"/>
      <charset val="2"/>
    </font>
    <font>
      <sz val="8"/>
      <name val="Calibri"/>
      <family val="2"/>
      <scheme val="minor"/>
    </font>
    <font>
      <b/>
      <i/>
      <sz val="9"/>
      <color theme="1"/>
      <name val="Segoe UI"/>
      <family val="2"/>
    </font>
    <font>
      <b/>
      <i/>
      <sz val="9"/>
      <color rgb="FF000000"/>
      <name val="Segoe UI"/>
      <family val="2"/>
    </font>
    <font>
      <b/>
      <sz val="10"/>
      <color theme="1"/>
      <name val="Segoe UI"/>
      <family val="2"/>
    </font>
    <font>
      <b/>
      <sz val="10"/>
      <color rgb="FF000000"/>
      <name val="Segoe UI"/>
      <family val="2"/>
    </font>
    <font>
      <sz val="10"/>
      <color rgb="FF000000"/>
      <name val="Segoe UI"/>
      <family val="2"/>
    </font>
    <font>
      <sz val="7"/>
      <color rgb="FF000000"/>
      <name val="Segoe UI"/>
      <family val="2"/>
    </font>
    <font>
      <sz val="8"/>
      <color theme="1"/>
      <name val="Bookman Old Style"/>
      <family val="1"/>
    </font>
    <font>
      <b/>
      <sz val="10"/>
      <color rgb="FF0070C0"/>
      <name val="Segoe UI"/>
      <family val="2"/>
    </font>
    <font>
      <i/>
      <sz val="9"/>
      <color theme="1"/>
      <name val="Segoe UI"/>
      <family val="2"/>
    </font>
    <font>
      <u/>
      <sz val="11"/>
      <color theme="10"/>
      <name val="Calibri"/>
      <family val="2"/>
      <scheme val="minor"/>
    </font>
    <font>
      <b/>
      <sz val="9.5"/>
      <color theme="1"/>
      <name val="Segoe UI"/>
      <family val="2"/>
    </font>
    <font>
      <sz val="9.5"/>
      <color theme="1"/>
      <name val="Segoe UI"/>
      <family val="2"/>
    </font>
    <font>
      <b/>
      <sz val="8"/>
      <color rgb="FFFF0000"/>
      <name val="Segoe UI"/>
      <family val="2"/>
    </font>
    <font>
      <b/>
      <sz val="11"/>
      <color theme="1"/>
      <name val="Calibri"/>
      <family val="2"/>
      <scheme val="minor"/>
    </font>
    <font>
      <b/>
      <sz val="11"/>
      <color theme="1"/>
      <name val="Segoe UI"/>
      <family val="2"/>
    </font>
    <font>
      <sz val="11"/>
      <color theme="1"/>
      <name val="Segoe UI"/>
      <family val="2"/>
    </font>
    <font>
      <b/>
      <sz val="14"/>
      <color theme="1"/>
      <name val="Calibri"/>
      <family val="2"/>
      <scheme val="minor"/>
    </font>
    <font>
      <b/>
      <u/>
      <sz val="10.5"/>
      <color theme="1"/>
      <name val="Segoe UI"/>
      <family val="2"/>
    </font>
    <font>
      <u/>
      <sz val="10.5"/>
      <color theme="1"/>
      <name val="Segoe UI"/>
      <family val="2"/>
    </font>
    <font>
      <sz val="10.5"/>
      <color theme="1"/>
      <name val="Segoe UI"/>
      <family val="2"/>
    </font>
    <font>
      <b/>
      <sz val="16"/>
      <color theme="1"/>
      <name val="Segoe UI"/>
      <family val="2"/>
    </font>
    <font>
      <b/>
      <sz val="18"/>
      <color rgb="FFFF0000"/>
      <name val="Segoe UI"/>
      <family val="2"/>
    </font>
    <font>
      <b/>
      <sz val="22"/>
      <color theme="1"/>
      <name val="Segoe UI"/>
      <family val="2"/>
    </font>
    <font>
      <sz val="16"/>
      <color theme="1"/>
      <name val="Segoe UI"/>
      <family val="2"/>
    </font>
    <font>
      <b/>
      <sz val="10"/>
      <name val="Segoe UI"/>
      <family val="2"/>
    </font>
    <font>
      <b/>
      <sz val="12"/>
      <color theme="1"/>
      <name val="Segoe UI"/>
      <family val="2"/>
    </font>
    <font>
      <sz val="10"/>
      <name val="Segoe UI"/>
      <family val="2"/>
    </font>
    <font>
      <sz val="12"/>
      <color theme="1"/>
      <name val="Segoe UI"/>
      <family val="2"/>
    </font>
    <font>
      <b/>
      <sz val="9"/>
      <color theme="1"/>
      <name val="Book Antiqua"/>
      <family val="1"/>
    </font>
    <font>
      <b/>
      <sz val="12"/>
      <color rgb="FFFF0000"/>
      <name val="Segoe UI"/>
      <family val="2"/>
    </font>
    <font>
      <sz val="11"/>
      <color rgb="FF000000"/>
      <name val="Segoe UI"/>
      <family val="2"/>
    </font>
    <font>
      <b/>
      <sz val="11"/>
      <name val="Segoe UI"/>
      <family val="2"/>
    </font>
    <font>
      <sz val="11"/>
      <name val="Segoe UI"/>
      <family val="2"/>
    </font>
    <font>
      <sz val="12"/>
      <name val="Segoe UI"/>
      <family val="2"/>
    </font>
    <font>
      <b/>
      <sz val="11"/>
      <color rgb="FF000000"/>
      <name val="Segoe UI"/>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gray125">
        <bgColor theme="0"/>
      </patternFill>
    </fill>
    <fill>
      <patternFill patternType="solid">
        <fgColor theme="8" tint="0.79998168889431442"/>
        <bgColor indexed="64"/>
      </patternFill>
    </fill>
    <fill>
      <patternFill patternType="solid">
        <fgColor theme="3" tint="0.79998168889431442"/>
        <bgColor indexed="64"/>
      </patternFill>
    </fill>
  </fills>
  <borders count="38">
    <border>
      <left/>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auto="1"/>
      </top>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bottom/>
      <diagonal/>
    </border>
  </borders>
  <cellStyleXfs count="4">
    <xf numFmtId="0" fontId="0" fillId="0" borderId="0"/>
    <xf numFmtId="9" fontId="10" fillId="0" borderId="0" applyFont="0" applyFill="0" applyBorder="0" applyAlignment="0" applyProtection="0"/>
    <xf numFmtId="0" fontId="26" fillId="0" borderId="0" applyNumberFormat="0" applyFill="0" applyBorder="0" applyAlignment="0" applyProtection="0"/>
    <xf numFmtId="169" fontId="10" fillId="0" borderId="0" applyFont="0" applyFill="0" applyBorder="0" applyAlignment="0" applyProtection="0"/>
  </cellStyleXfs>
  <cellXfs count="305">
    <xf numFmtId="0" fontId="0" fillId="0" borderId="0" xfId="0"/>
    <xf numFmtId="4" fontId="0" fillId="0" borderId="0" xfId="0" applyNumberFormat="1"/>
    <xf numFmtId="164" fontId="0" fillId="0" borderId="0" xfId="0" applyNumberFormat="1"/>
    <xf numFmtId="0" fontId="0" fillId="2" borderId="0" xfId="0" applyFill="1"/>
    <xf numFmtId="166" fontId="0" fillId="0" borderId="0" xfId="1" applyNumberFormat="1" applyFont="1"/>
    <xf numFmtId="0" fontId="11" fillId="0" borderId="0" xfId="0" applyFont="1"/>
    <xf numFmtId="3" fontId="0" fillId="0" borderId="0" xfId="0" applyNumberFormat="1"/>
    <xf numFmtId="0" fontId="19" fillId="0" borderId="10" xfId="0" applyFont="1" applyBorder="1" applyAlignment="1">
      <alignment horizontal="justify" vertical="center" wrapText="1"/>
    </xf>
    <xf numFmtId="0" fontId="0" fillId="0" borderId="0" xfId="0" applyAlignment="1">
      <alignment vertical="center" wrapText="1"/>
    </xf>
    <xf numFmtId="0" fontId="22" fillId="0" borderId="0" xfId="0" applyFont="1" applyAlignment="1">
      <alignment horizontal="justify" vertical="center" wrapText="1"/>
    </xf>
    <xf numFmtId="0" fontId="23" fillId="0" borderId="0" xfId="0" applyFont="1"/>
    <xf numFmtId="0" fontId="24" fillId="0" borderId="14" xfId="0" applyFont="1" applyBorder="1" applyAlignment="1">
      <alignment horizontal="center" vertical="center" wrapText="1"/>
    </xf>
    <xf numFmtId="0" fontId="0" fillId="0" borderId="15" xfId="0" applyBorder="1" applyAlignment="1">
      <alignment vertical="top" wrapText="1"/>
    </xf>
    <xf numFmtId="0" fontId="24" fillId="0" borderId="11" xfId="0" applyFont="1" applyBorder="1" applyAlignment="1">
      <alignment horizontal="center" vertical="center" wrapText="1"/>
    </xf>
    <xf numFmtId="0" fontId="26" fillId="0" borderId="11" xfId="2" applyBorder="1" applyAlignment="1">
      <alignment horizontal="center" vertical="center"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25" fillId="0" borderId="10" xfId="0" applyFont="1" applyBorder="1" applyAlignment="1">
      <alignment horizontal="justify" vertical="center" wrapText="1"/>
    </xf>
    <xf numFmtId="0" fontId="25" fillId="0" borderId="11"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26" fillId="0" borderId="0" xfId="2"/>
    <xf numFmtId="0" fontId="27" fillId="0" borderId="9" xfId="0" applyFont="1" applyBorder="1" applyAlignment="1">
      <alignment horizontal="center" vertical="center" wrapText="1"/>
    </xf>
    <xf numFmtId="0" fontId="28" fillId="0" borderId="11" xfId="0" applyFont="1" applyBorder="1" applyAlignment="1">
      <alignment vertical="center" wrapText="1"/>
    </xf>
    <xf numFmtId="0" fontId="27" fillId="0" borderId="10" xfId="0" applyFont="1" applyBorder="1" applyAlignment="1">
      <alignment horizontal="justify" vertical="center" wrapText="1"/>
    </xf>
    <xf numFmtId="0" fontId="27" fillId="0" borderId="11" xfId="0" applyFont="1" applyBorder="1" applyAlignment="1">
      <alignment horizontal="center" vertical="center" wrapText="1"/>
    </xf>
    <xf numFmtId="3" fontId="28" fillId="0" borderId="11" xfId="0" applyNumberFormat="1" applyFont="1" applyBorder="1" applyAlignment="1">
      <alignment horizontal="center" vertical="center" wrapText="1"/>
    </xf>
    <xf numFmtId="3" fontId="27" fillId="0" borderId="11" xfId="0" applyNumberFormat="1" applyFont="1" applyBorder="1" applyAlignment="1">
      <alignment horizontal="center" vertical="center" wrapText="1"/>
    </xf>
    <xf numFmtId="164" fontId="28" fillId="0" borderId="11" xfId="0" applyNumberFormat="1" applyFont="1" applyBorder="1" applyAlignment="1">
      <alignment horizontal="center" vertical="center" wrapText="1"/>
    </xf>
    <xf numFmtId="164" fontId="27" fillId="0" borderId="11" xfId="0" applyNumberFormat="1" applyFont="1" applyBorder="1" applyAlignment="1">
      <alignment horizontal="center" vertical="center" wrapText="1"/>
    </xf>
    <xf numFmtId="0" fontId="8" fillId="0" borderId="10" xfId="0" applyFont="1" applyBorder="1" applyAlignment="1">
      <alignment vertical="center" wrapText="1"/>
    </xf>
    <xf numFmtId="0" fontId="27" fillId="0" borderId="12" xfId="0" applyFont="1" applyBorder="1" applyAlignment="1">
      <alignment vertical="center" wrapText="1"/>
    </xf>
    <xf numFmtId="3" fontId="28" fillId="0" borderId="11" xfId="0" applyNumberFormat="1" applyFont="1" applyFill="1" applyBorder="1" applyAlignment="1">
      <alignment horizontal="center" vertical="center" wrapText="1"/>
    </xf>
    <xf numFmtId="165" fontId="0" fillId="0" borderId="0" xfId="0" applyNumberFormat="1"/>
    <xf numFmtId="0" fontId="27" fillId="0" borderId="12"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9" xfId="0" applyFont="1" applyBorder="1" applyAlignment="1">
      <alignment horizontal="center" vertical="center" wrapText="1"/>
    </xf>
    <xf numFmtId="164" fontId="4" fillId="0" borderId="5" xfId="0" applyNumberFormat="1" applyFont="1" applyFill="1" applyBorder="1" applyAlignment="1">
      <alignment horizontal="center" vertical="center" wrapText="1"/>
    </xf>
    <xf numFmtId="0" fontId="30" fillId="0" borderId="0" xfId="0" applyFont="1" applyAlignment="1">
      <alignment wrapText="1"/>
    </xf>
    <xf numFmtId="0" fontId="2" fillId="0" borderId="5" xfId="0"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2" fillId="0" borderId="2" xfId="0" applyFont="1" applyFill="1" applyBorder="1" applyAlignment="1">
      <alignment horizontal="justify" vertical="center"/>
    </xf>
    <xf numFmtId="3" fontId="3" fillId="0" borderId="5"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164" fontId="4"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wrapText="1"/>
    </xf>
    <xf numFmtId="0" fontId="4" fillId="0" borderId="2" xfId="0" applyFont="1" applyFill="1" applyBorder="1" applyAlignment="1">
      <alignment horizontal="justify" vertical="center"/>
    </xf>
    <xf numFmtId="3" fontId="5" fillId="0" borderId="5" xfId="0" applyNumberFormat="1" applyFont="1" applyFill="1" applyBorder="1" applyAlignment="1">
      <alignment horizontal="center" vertical="center" wrapText="1"/>
    </xf>
    <xf numFmtId="3"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8" xfId="0" applyFont="1" applyFill="1" applyBorder="1" applyAlignment="1">
      <alignment horizontal="justify" vertical="center"/>
    </xf>
    <xf numFmtId="164" fontId="5" fillId="0" borderId="5" xfId="0" applyNumberFormat="1" applyFont="1" applyFill="1" applyBorder="1" applyAlignment="1">
      <alignment horizontal="center" vertical="center" wrapText="1"/>
    </xf>
    <xf numFmtId="0" fontId="0" fillId="0" borderId="0" xfId="0" applyFill="1"/>
    <xf numFmtId="164" fontId="4" fillId="0" borderId="0" xfId="0" applyNumberFormat="1" applyFont="1" applyFill="1" applyBorder="1" applyAlignment="1">
      <alignment horizontal="center" vertical="center" wrapText="1"/>
    </xf>
    <xf numFmtId="4" fontId="9" fillId="0" borderId="0" xfId="0" applyNumberFormat="1" applyFont="1" applyFill="1" applyAlignment="1">
      <alignment horizontal="center" vertical="center" wrapText="1"/>
    </xf>
    <xf numFmtId="164" fontId="0" fillId="0" borderId="0" xfId="0" applyNumberFormat="1" applyFill="1"/>
    <xf numFmtId="0" fontId="4" fillId="0" borderId="0" xfId="0"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4" fontId="4" fillId="0" borderId="0" xfId="0" applyNumberFormat="1" applyFont="1" applyFill="1" applyBorder="1" applyAlignment="1">
      <alignment horizontal="center" vertical="center" wrapText="1"/>
    </xf>
    <xf numFmtId="165" fontId="9" fillId="0" borderId="0" xfId="0" applyNumberFormat="1" applyFont="1" applyFill="1" applyBorder="1" applyAlignment="1">
      <alignment horizontal="center" vertical="center" wrapText="1"/>
    </xf>
    <xf numFmtId="164" fontId="9" fillId="0" borderId="0" xfId="0" applyNumberFormat="1" applyFont="1" applyFill="1" applyBorder="1" applyAlignment="1">
      <alignment horizontal="center" vertical="center" wrapText="1"/>
    </xf>
    <xf numFmtId="164" fontId="1" fillId="0" borderId="0" xfId="0" applyNumberFormat="1" applyFont="1" applyFill="1" applyAlignment="1">
      <alignment horizontal="center" vertical="center"/>
    </xf>
    <xf numFmtId="4" fontId="0" fillId="0" borderId="0" xfId="0" applyNumberFormat="1" applyFill="1"/>
    <xf numFmtId="0" fontId="6" fillId="0" borderId="8" xfId="0" applyFont="1" applyFill="1" applyBorder="1" applyAlignment="1">
      <alignment horizontal="center" vertical="center" wrapText="1"/>
    </xf>
    <xf numFmtId="0" fontId="7" fillId="0" borderId="8" xfId="0" applyFont="1" applyFill="1" applyBorder="1" applyAlignment="1">
      <alignment vertical="center" wrapText="1"/>
    </xf>
    <xf numFmtId="3" fontId="7" fillId="0" borderId="8" xfId="0"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5" fontId="9"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164" fontId="4" fillId="0" borderId="8" xfId="0" applyNumberFormat="1" applyFont="1" applyFill="1" applyBorder="1" applyAlignment="1">
      <alignment horizontal="center" vertical="center" wrapText="1"/>
    </xf>
    <xf numFmtId="0" fontId="12" fillId="0" borderId="8" xfId="0" applyFont="1" applyFill="1" applyBorder="1" applyAlignment="1">
      <alignment horizontal="left" vertical="center" wrapText="1" indent="6"/>
    </xf>
    <xf numFmtId="3" fontId="14" fillId="0" borderId="8" xfId="0" applyNumberFormat="1"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5" fontId="7" fillId="0" borderId="8" xfId="0" applyNumberFormat="1" applyFont="1" applyFill="1" applyBorder="1" applyAlignment="1">
      <alignment horizontal="center" vertical="center" wrapText="1"/>
    </xf>
    <xf numFmtId="0" fontId="0" fillId="0" borderId="8" xfId="0" applyFill="1" applyBorder="1"/>
    <xf numFmtId="0" fontId="4" fillId="0" borderId="8" xfId="0" applyFont="1" applyFill="1" applyBorder="1" applyAlignment="1">
      <alignment horizontal="center" vertical="center" wrapText="1"/>
    </xf>
    <xf numFmtId="3" fontId="4" fillId="0" borderId="8" xfId="0" applyNumberFormat="1" applyFont="1" applyFill="1" applyBorder="1" applyAlignment="1">
      <alignment horizontal="center" vertical="center" wrapText="1"/>
    </xf>
    <xf numFmtId="4" fontId="4" fillId="0" borderId="8" xfId="0" applyNumberFormat="1" applyFont="1" applyFill="1" applyBorder="1" applyAlignment="1">
      <alignment horizontal="center" vertical="center" wrapText="1"/>
    </xf>
    <xf numFmtId="0" fontId="9" fillId="0" borderId="8" xfId="0" applyFont="1" applyFill="1" applyBorder="1" applyAlignment="1">
      <alignment vertical="center" wrapText="1"/>
    </xf>
    <xf numFmtId="0" fontId="9" fillId="0" borderId="8" xfId="0" applyFont="1" applyFill="1" applyBorder="1" applyAlignment="1">
      <alignment horizontal="center" vertical="center" wrapText="1"/>
    </xf>
    <xf numFmtId="3" fontId="9" fillId="0" borderId="8" xfId="0" applyNumberFormat="1" applyFont="1" applyFill="1" applyBorder="1" applyAlignment="1">
      <alignment horizontal="center" vertical="center" wrapText="1"/>
    </xf>
    <xf numFmtId="0" fontId="15" fillId="0" borderId="8" xfId="0" applyFont="1" applyFill="1" applyBorder="1" applyAlignment="1">
      <alignment horizontal="left" vertical="center" wrapText="1" indent="1"/>
    </xf>
    <xf numFmtId="0" fontId="12" fillId="0" borderId="8" xfId="0" applyFont="1" applyFill="1" applyBorder="1" applyAlignment="1">
      <alignment horizontal="left" vertical="center" wrapText="1" indent="1"/>
    </xf>
    <xf numFmtId="0" fontId="7" fillId="0" borderId="8" xfId="0" applyFont="1" applyFill="1" applyBorder="1" applyAlignment="1">
      <alignment horizontal="center" vertical="center"/>
    </xf>
    <xf numFmtId="0" fontId="6" fillId="0" borderId="8" xfId="0" applyFont="1" applyFill="1" applyBorder="1" applyAlignment="1">
      <alignment vertical="center"/>
    </xf>
    <xf numFmtId="0" fontId="8" fillId="0" borderId="8" xfId="0" applyFont="1" applyFill="1" applyBorder="1" applyAlignment="1">
      <alignment horizontal="center" vertical="center"/>
    </xf>
    <xf numFmtId="0" fontId="7" fillId="0" borderId="8" xfId="0" applyFont="1" applyFill="1" applyBorder="1" applyAlignment="1">
      <alignment vertical="center"/>
    </xf>
    <xf numFmtId="3" fontId="9" fillId="0" borderId="8" xfId="0" applyNumberFormat="1" applyFont="1" applyFill="1" applyBorder="1" applyAlignment="1">
      <alignment horizontal="center" vertical="center"/>
    </xf>
    <xf numFmtId="164" fontId="9" fillId="0" borderId="8" xfId="0" applyNumberFormat="1" applyFont="1" applyFill="1" applyBorder="1" applyAlignment="1">
      <alignment horizontal="center" vertical="center"/>
    </xf>
    <xf numFmtId="3" fontId="8" fillId="0" borderId="8" xfId="0" applyNumberFormat="1" applyFont="1" applyFill="1" applyBorder="1" applyAlignment="1">
      <alignment horizontal="center" vertical="center"/>
    </xf>
    <xf numFmtId="164" fontId="8" fillId="0" borderId="8" xfId="0" applyNumberFormat="1" applyFont="1" applyFill="1" applyBorder="1" applyAlignment="1">
      <alignment horizontal="center" vertical="center"/>
    </xf>
    <xf numFmtId="0" fontId="6" fillId="0" borderId="8" xfId="0" applyFont="1" applyFill="1" applyBorder="1" applyAlignment="1">
      <alignment vertical="center" wrapText="1"/>
    </xf>
    <xf numFmtId="0" fontId="9" fillId="0" borderId="8" xfId="0" applyFont="1" applyFill="1" applyBorder="1" applyAlignment="1">
      <alignment horizontal="center" vertical="center"/>
    </xf>
    <xf numFmtId="0" fontId="20" fillId="0" borderId="8" xfId="0" applyFont="1" applyFill="1" applyBorder="1" applyAlignment="1">
      <alignment horizontal="center" vertical="center"/>
    </xf>
    <xf numFmtId="0" fontId="1" fillId="0" borderId="8" xfId="0" applyFont="1" applyFill="1" applyBorder="1" applyAlignment="1">
      <alignment vertical="center"/>
    </xf>
    <xf numFmtId="3" fontId="20" fillId="0" borderId="8" xfId="0" applyNumberFormat="1" applyFont="1" applyFill="1" applyBorder="1" applyAlignment="1">
      <alignment horizontal="center" vertical="center"/>
    </xf>
    <xf numFmtId="164" fontId="20" fillId="0" borderId="8" xfId="0" applyNumberFormat="1" applyFont="1" applyFill="1" applyBorder="1" applyAlignment="1">
      <alignment horizontal="center" vertical="center"/>
    </xf>
    <xf numFmtId="164" fontId="20" fillId="0" borderId="8" xfId="0" applyNumberFormat="1" applyFont="1" applyFill="1" applyBorder="1" applyAlignment="1">
      <alignment horizontal="center" vertical="center" wrapText="1"/>
    </xf>
    <xf numFmtId="0" fontId="20" fillId="0" borderId="8" xfId="0" applyFont="1" applyFill="1" applyBorder="1" applyAlignment="1">
      <alignment vertical="center"/>
    </xf>
    <xf numFmtId="3" fontId="21" fillId="0" borderId="8" xfId="0" applyNumberFormat="1" applyFont="1" applyFill="1" applyBorder="1" applyAlignment="1">
      <alignment horizontal="center" vertical="center"/>
    </xf>
    <xf numFmtId="164" fontId="21" fillId="0" borderId="8" xfId="0" applyNumberFormat="1" applyFont="1" applyFill="1" applyBorder="1" applyAlignment="1">
      <alignment horizontal="center" vertical="center"/>
    </xf>
    <xf numFmtId="0" fontId="19" fillId="0" borderId="8" xfId="0" applyFont="1" applyFill="1" applyBorder="1" applyAlignment="1">
      <alignment vertical="center"/>
    </xf>
    <xf numFmtId="3" fontId="1" fillId="0" borderId="8" xfId="0" applyNumberFormat="1" applyFont="1" applyFill="1" applyBorder="1" applyAlignment="1">
      <alignment horizontal="center" vertical="center"/>
    </xf>
    <xf numFmtId="164" fontId="1" fillId="0" borderId="8" xfId="0" applyNumberFormat="1" applyFont="1" applyFill="1" applyBorder="1" applyAlignment="1">
      <alignment horizontal="center" vertical="center"/>
    </xf>
    <xf numFmtId="0" fontId="21" fillId="0" borderId="8" xfId="0" applyFont="1" applyFill="1" applyBorder="1" applyAlignment="1">
      <alignment vertical="center"/>
    </xf>
    <xf numFmtId="0" fontId="17" fillId="0" borderId="8" xfId="0" applyFont="1" applyFill="1" applyBorder="1" applyAlignment="1">
      <alignment vertical="center" wrapText="1"/>
    </xf>
    <xf numFmtId="0" fontId="18" fillId="0" borderId="8" xfId="0" applyFont="1" applyFill="1" applyBorder="1" applyAlignment="1">
      <alignment vertical="center" wrapText="1"/>
    </xf>
    <xf numFmtId="0" fontId="19" fillId="0" borderId="8" xfId="0" applyFont="1" applyBorder="1" applyAlignment="1">
      <alignment horizontal="center" vertical="center" wrapText="1"/>
    </xf>
    <xf numFmtId="0" fontId="6" fillId="0" borderId="8" xfId="0" applyFont="1" applyBorder="1" applyAlignment="1">
      <alignment horizontal="center" vertical="center" wrapText="1"/>
    </xf>
    <xf numFmtId="0" fontId="1" fillId="0" borderId="8" xfId="0" applyFont="1" applyBorder="1" applyAlignment="1">
      <alignment horizontal="justify" vertical="center" wrapText="1"/>
    </xf>
    <xf numFmtId="164" fontId="1" fillId="0" borderId="8" xfId="0" applyNumberFormat="1" applyFont="1" applyBorder="1" applyAlignment="1">
      <alignment horizontal="center" vertical="center" wrapText="1"/>
    </xf>
    <xf numFmtId="0" fontId="8" fillId="0" borderId="8" xfId="0" applyFont="1" applyBorder="1" applyAlignment="1">
      <alignment horizontal="left" vertical="center" wrapText="1"/>
    </xf>
    <xf numFmtId="0" fontId="8" fillId="0" borderId="8" xfId="0" applyFont="1" applyBorder="1" applyAlignment="1">
      <alignment horizontal="justify" vertical="center" wrapText="1"/>
    </xf>
    <xf numFmtId="0" fontId="8" fillId="0" borderId="8" xfId="0" applyFont="1" applyBorder="1" applyAlignment="1">
      <alignment vertical="center" wrapText="1"/>
    </xf>
    <xf numFmtId="0" fontId="19" fillId="0" borderId="8" xfId="0" applyFont="1" applyBorder="1" applyAlignment="1">
      <alignment horizontal="justify" vertical="center" wrapText="1"/>
    </xf>
    <xf numFmtId="164" fontId="19" fillId="0" borderId="8" xfId="0" applyNumberFormat="1" applyFont="1" applyBorder="1" applyAlignment="1">
      <alignment horizontal="center" vertical="center" wrapText="1"/>
    </xf>
    <xf numFmtId="4" fontId="19" fillId="0" borderId="8" xfId="0" applyNumberFormat="1" applyFont="1" applyBorder="1" applyAlignment="1">
      <alignment horizontal="center" vertical="center" wrapText="1"/>
    </xf>
    <xf numFmtId="164" fontId="28" fillId="0" borderId="11" xfId="0"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 fillId="0" borderId="11" xfId="0" applyNumberFormat="1" applyFont="1" applyBorder="1" applyAlignment="1">
      <alignment horizontal="center" vertical="center" wrapText="1"/>
    </xf>
    <xf numFmtId="3" fontId="1" fillId="0" borderId="11" xfId="0" applyNumberFormat="1" applyFont="1" applyBorder="1" applyAlignment="1">
      <alignment horizontal="left" vertical="center" wrapText="1" indent="2"/>
    </xf>
    <xf numFmtId="3" fontId="1" fillId="0" borderId="11" xfId="0" applyNumberFormat="1" applyFont="1" applyBorder="1" applyAlignment="1">
      <alignment horizontal="left" vertical="center" wrapText="1" indent="1"/>
    </xf>
    <xf numFmtId="0" fontId="19" fillId="0" borderId="11" xfId="0" applyFont="1" applyBorder="1" applyAlignment="1">
      <alignment horizontal="center" vertical="center" wrapText="1"/>
    </xf>
    <xf numFmtId="0" fontId="31" fillId="0" borderId="0"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4" fillId="0" borderId="0" xfId="0" applyFont="1" applyAlignment="1">
      <alignment vertical="center"/>
    </xf>
    <xf numFmtId="0" fontId="32" fillId="0" borderId="0" xfId="0" applyFont="1" applyAlignment="1">
      <alignment horizontal="justify" vertical="center"/>
    </xf>
    <xf numFmtId="0" fontId="31" fillId="0" borderId="0" xfId="0" applyFont="1" applyAlignment="1">
      <alignment vertical="center"/>
    </xf>
    <xf numFmtId="0" fontId="40" fillId="0" borderId="0" xfId="0" applyFont="1" applyAlignment="1">
      <alignment vertical="center"/>
    </xf>
    <xf numFmtId="0" fontId="19" fillId="0" borderId="0" xfId="0" applyFont="1" applyAlignment="1">
      <alignment horizontal="center" vertical="center" wrapText="1"/>
    </xf>
    <xf numFmtId="0" fontId="1" fillId="4" borderId="24" xfId="0" applyFont="1" applyFill="1" applyBorder="1" applyAlignment="1">
      <alignment horizontal="center" vertical="center" wrapText="1"/>
    </xf>
    <xf numFmtId="0" fontId="19" fillId="7" borderId="24" xfId="0" applyFont="1" applyFill="1" applyBorder="1" applyAlignment="1">
      <alignment horizontal="center" vertical="center" wrapText="1"/>
    </xf>
    <xf numFmtId="0" fontId="41" fillId="8" borderId="24" xfId="0" applyFont="1" applyFill="1" applyBorder="1" applyAlignment="1">
      <alignment vertical="center" wrapText="1"/>
    </xf>
    <xf numFmtId="164" fontId="20" fillId="8" borderId="24" xfId="0" applyNumberFormat="1" applyFont="1" applyFill="1" applyBorder="1" applyAlignment="1">
      <alignment vertical="center"/>
    </xf>
    <xf numFmtId="164" fontId="20" fillId="7" borderId="24" xfId="0" applyNumberFormat="1" applyFont="1" applyFill="1" applyBorder="1" applyAlignment="1">
      <alignment vertical="center"/>
    </xf>
    <xf numFmtId="164" fontId="20" fillId="5" borderId="24" xfId="0" applyNumberFormat="1" applyFont="1" applyFill="1" applyBorder="1" applyAlignment="1">
      <alignment vertical="center"/>
    </xf>
    <xf numFmtId="166" fontId="20" fillId="8" borderId="24" xfId="1" applyNumberFormat="1" applyFont="1" applyFill="1" applyBorder="1" applyAlignment="1">
      <alignment horizontal="center" vertical="center"/>
    </xf>
    <xf numFmtId="0" fontId="42" fillId="0" borderId="0" xfId="0" applyFont="1" applyAlignment="1">
      <alignment vertical="center"/>
    </xf>
    <xf numFmtId="0" fontId="43" fillId="0" borderId="29" xfId="0" applyFont="1" applyBorder="1" applyAlignment="1">
      <alignment vertical="center" wrapText="1"/>
    </xf>
    <xf numFmtId="164" fontId="21" fillId="0" borderId="29" xfId="0" applyNumberFormat="1" applyFont="1" applyBorder="1" applyAlignment="1">
      <alignment vertical="center"/>
    </xf>
    <xf numFmtId="164" fontId="21" fillId="7" borderId="29" xfId="0" applyNumberFormat="1" applyFont="1" applyFill="1" applyBorder="1" applyAlignment="1">
      <alignment vertical="center"/>
    </xf>
    <xf numFmtId="164" fontId="20" fillId="7" borderId="30" xfId="0" applyNumberFormat="1" applyFont="1" applyFill="1" applyBorder="1" applyAlignment="1">
      <alignment vertical="center"/>
    </xf>
    <xf numFmtId="164" fontId="20" fillId="5" borderId="30" xfId="0" applyNumberFormat="1" applyFont="1" applyFill="1" applyBorder="1" applyAlignment="1">
      <alignment vertical="center"/>
    </xf>
    <xf numFmtId="166" fontId="21" fillId="0" borderId="29" xfId="1" applyNumberFormat="1" applyFont="1" applyBorder="1" applyAlignment="1">
      <alignment horizontal="center" vertical="center"/>
    </xf>
    <xf numFmtId="0" fontId="44" fillId="0" borderId="0" xfId="0" applyFont="1" applyAlignment="1">
      <alignment vertical="center"/>
    </xf>
    <xf numFmtId="165" fontId="44" fillId="0" borderId="0" xfId="0" applyNumberFormat="1" applyFont="1" applyAlignment="1">
      <alignment vertical="center"/>
    </xf>
    <xf numFmtId="3" fontId="21" fillId="0" borderId="29" xfId="0" applyNumberFormat="1" applyFont="1" applyBorder="1" applyAlignment="1">
      <alignment vertical="center"/>
    </xf>
    <xf numFmtId="164" fontId="20" fillId="7" borderId="29" xfId="0" applyNumberFormat="1" applyFont="1" applyFill="1" applyBorder="1" applyAlignment="1">
      <alignment vertical="center"/>
    </xf>
    <xf numFmtId="164" fontId="20" fillId="5" borderId="29" xfId="0" applyNumberFormat="1" applyFont="1" applyFill="1" applyBorder="1" applyAlignment="1">
      <alignment vertical="center"/>
    </xf>
    <xf numFmtId="164" fontId="44" fillId="0" borderId="0" xfId="0" applyNumberFormat="1" applyFont="1" applyAlignment="1">
      <alignment vertical="center"/>
    </xf>
    <xf numFmtId="164" fontId="20" fillId="7" borderId="31" xfId="0" applyNumberFormat="1" applyFont="1" applyFill="1" applyBorder="1" applyAlignment="1">
      <alignment vertical="center"/>
    </xf>
    <xf numFmtId="164" fontId="20" fillId="5" borderId="31" xfId="0" applyNumberFormat="1" applyFont="1" applyFill="1" applyBorder="1" applyAlignment="1">
      <alignment vertical="center"/>
    </xf>
    <xf numFmtId="0" fontId="45" fillId="9" borderId="0" xfId="0" applyFont="1" applyFill="1" applyAlignment="1">
      <alignment vertical="center" wrapText="1"/>
    </xf>
    <xf numFmtId="164" fontId="45" fillId="9" borderId="0" xfId="0" applyNumberFormat="1" applyFont="1" applyFill="1" applyAlignment="1">
      <alignment vertical="center" wrapText="1"/>
    </xf>
    <xf numFmtId="164" fontId="21" fillId="0" borderId="32" xfId="0" applyNumberFormat="1" applyFont="1" applyBorder="1" applyAlignment="1">
      <alignment vertical="center"/>
    </xf>
    <xf numFmtId="164" fontId="21" fillId="7" borderId="32" xfId="0" applyNumberFormat="1" applyFont="1" applyFill="1" applyBorder="1" applyAlignment="1">
      <alignment vertical="center"/>
    </xf>
    <xf numFmtId="3" fontId="21" fillId="0" borderId="32" xfId="0" applyNumberFormat="1" applyFont="1" applyBorder="1" applyAlignment="1">
      <alignment vertical="center"/>
    </xf>
    <xf numFmtId="166" fontId="21" fillId="0" borderId="32" xfId="1" applyNumberFormat="1" applyFont="1" applyBorder="1" applyAlignment="1">
      <alignment horizontal="center" vertical="center"/>
    </xf>
    <xf numFmtId="164" fontId="43" fillId="0" borderId="32" xfId="0" applyNumberFormat="1" applyFont="1" applyBorder="1" applyAlignment="1">
      <alignment vertical="center"/>
    </xf>
    <xf numFmtId="164" fontId="42" fillId="0" borderId="0" xfId="0" applyNumberFormat="1" applyFont="1" applyAlignment="1">
      <alignment vertical="center"/>
    </xf>
    <xf numFmtId="4" fontId="44" fillId="0" borderId="0" xfId="0" applyNumberFormat="1" applyFont="1" applyAlignment="1">
      <alignment vertical="center"/>
    </xf>
    <xf numFmtId="164" fontId="20" fillId="7" borderId="33" xfId="0" applyNumberFormat="1" applyFont="1" applyFill="1" applyBorder="1" applyAlignment="1">
      <alignment vertical="center"/>
    </xf>
    <xf numFmtId="164" fontId="20" fillId="5" borderId="33" xfId="0" applyNumberFormat="1" applyFont="1" applyFill="1" applyBorder="1" applyAlignment="1">
      <alignment vertical="center"/>
    </xf>
    <xf numFmtId="164" fontId="20" fillId="0" borderId="24" xfId="0" applyNumberFormat="1" applyFont="1" applyBorder="1" applyAlignment="1">
      <alignment vertical="center"/>
    </xf>
    <xf numFmtId="0" fontId="8" fillId="4" borderId="24" xfId="0" applyFont="1" applyFill="1" applyBorder="1" applyAlignment="1">
      <alignment horizontal="center" vertical="center" wrapText="1"/>
    </xf>
    <xf numFmtId="164" fontId="20" fillId="7" borderId="34" xfId="0" applyNumberFormat="1" applyFont="1" applyFill="1" applyBorder="1" applyAlignment="1">
      <alignment vertical="center"/>
    </xf>
    <xf numFmtId="164" fontId="20" fillId="5" borderId="34" xfId="0" applyNumberFormat="1" applyFont="1" applyFill="1" applyBorder="1" applyAlignment="1">
      <alignment vertical="center"/>
    </xf>
    <xf numFmtId="0" fontId="41" fillId="0" borderId="24" xfId="0" applyFont="1" applyBorder="1" applyAlignment="1">
      <alignment vertical="center" wrapText="1"/>
    </xf>
    <xf numFmtId="0" fontId="6" fillId="0" borderId="0" xfId="0" applyFont="1" applyAlignment="1">
      <alignment horizontal="center" vertical="center" wrapText="1"/>
    </xf>
    <xf numFmtId="167" fontId="44" fillId="0" borderId="0" xfId="0" applyNumberFormat="1" applyFont="1" applyAlignment="1">
      <alignment vertical="center"/>
    </xf>
    <xf numFmtId="167" fontId="42" fillId="0" borderId="0" xfId="0" applyNumberFormat="1" applyFont="1" applyAlignment="1">
      <alignment vertical="center"/>
    </xf>
    <xf numFmtId="0" fontId="41" fillId="10" borderId="24" xfId="0" applyFont="1" applyFill="1" applyBorder="1" applyAlignment="1">
      <alignment vertical="center" wrapText="1"/>
    </xf>
    <xf numFmtId="164" fontId="20" fillId="10" borderId="24" xfId="0" applyNumberFormat="1" applyFont="1" applyFill="1" applyBorder="1" applyAlignment="1">
      <alignment vertical="center"/>
    </xf>
    <xf numFmtId="164" fontId="20" fillId="7" borderId="28" xfId="0" applyNumberFormat="1" applyFont="1" applyFill="1" applyBorder="1" applyAlignment="1">
      <alignment vertical="center"/>
    </xf>
    <xf numFmtId="164" fontId="20" fillId="5" borderId="28" xfId="0" applyNumberFormat="1" applyFont="1" applyFill="1" applyBorder="1" applyAlignment="1">
      <alignment vertical="center"/>
    </xf>
    <xf numFmtId="166" fontId="20" fillId="10" borderId="24" xfId="1" applyNumberFormat="1" applyFont="1" applyFill="1" applyBorder="1" applyAlignment="1">
      <alignment horizontal="center" vertical="center"/>
    </xf>
    <xf numFmtId="167" fontId="40" fillId="0" borderId="0" xfId="0" applyNumberFormat="1" applyFont="1" applyAlignment="1">
      <alignment vertical="center"/>
    </xf>
    <xf numFmtId="0" fontId="6" fillId="4" borderId="24" xfId="0" applyFont="1" applyFill="1" applyBorder="1" applyAlignment="1">
      <alignment horizontal="center" vertical="center" wrapText="1"/>
    </xf>
    <xf numFmtId="167" fontId="6" fillId="0" borderId="0" xfId="0" applyNumberFormat="1" applyFont="1" applyAlignment="1">
      <alignment horizontal="center" vertical="center" wrapText="1"/>
    </xf>
    <xf numFmtId="164" fontId="21" fillId="0" borderId="24" xfId="0" applyNumberFormat="1" applyFont="1" applyBorder="1" applyAlignment="1">
      <alignment vertical="center"/>
    </xf>
    <xf numFmtId="166" fontId="20" fillId="0" borderId="24" xfId="1" applyNumberFormat="1" applyFont="1" applyBorder="1" applyAlignment="1">
      <alignment horizontal="center" vertical="center"/>
    </xf>
    <xf numFmtId="0" fontId="41" fillId="11" borderId="24" xfId="0" applyFont="1" applyFill="1" applyBorder="1" applyAlignment="1">
      <alignment vertical="center" wrapText="1"/>
    </xf>
    <xf numFmtId="164" fontId="20" fillId="11" borderId="24" xfId="0" quotePrefix="1" applyNumberFormat="1" applyFont="1" applyFill="1" applyBorder="1" applyAlignment="1">
      <alignment horizontal="center" vertical="center"/>
    </xf>
    <xf numFmtId="164" fontId="20" fillId="11" borderId="24" xfId="0" applyNumberFormat="1" applyFont="1" applyFill="1" applyBorder="1" applyAlignment="1">
      <alignment vertical="center"/>
    </xf>
    <xf numFmtId="166" fontId="20" fillId="11" borderId="24" xfId="1" applyNumberFormat="1" applyFont="1" applyFill="1" applyBorder="1" applyAlignment="1">
      <alignment horizontal="center" vertical="center"/>
    </xf>
    <xf numFmtId="168" fontId="6" fillId="0" borderId="0" xfId="0" applyNumberFormat="1" applyFont="1" applyAlignment="1">
      <alignment horizontal="center" vertical="center" wrapText="1"/>
    </xf>
    <xf numFmtId="0" fontId="44" fillId="0" borderId="0" xfId="0" applyFont="1" applyAlignment="1">
      <alignment horizontal="center" vertical="center" wrapText="1"/>
    </xf>
    <xf numFmtId="0" fontId="42" fillId="0" borderId="0" xfId="0" applyFont="1" applyAlignment="1">
      <alignment horizontal="center" vertical="center"/>
    </xf>
    <xf numFmtId="0" fontId="44" fillId="0" borderId="0" xfId="0" applyFont="1" applyAlignment="1">
      <alignment horizontal="center" vertical="center"/>
    </xf>
    <xf numFmtId="164" fontId="46" fillId="0" borderId="0" xfId="0" applyNumberFormat="1" applyFont="1" applyAlignment="1">
      <alignment horizontal="center" vertical="center"/>
    </xf>
    <xf numFmtId="164" fontId="32" fillId="0" borderId="0" xfId="0" applyNumberFormat="1" applyFont="1" applyAlignment="1">
      <alignment horizontal="center" vertical="center"/>
    </xf>
    <xf numFmtId="170" fontId="44" fillId="0" borderId="0" xfId="3" applyNumberFormat="1" applyFont="1" applyAlignment="1">
      <alignment horizontal="center" vertical="center" wrapText="1"/>
    </xf>
    <xf numFmtId="0" fontId="32" fillId="0" borderId="0" xfId="0" applyFont="1" applyAlignment="1">
      <alignment vertical="center"/>
    </xf>
    <xf numFmtId="0" fontId="32" fillId="0" borderId="0" xfId="0" applyFont="1" applyAlignment="1">
      <alignment horizontal="center" vertical="center"/>
    </xf>
    <xf numFmtId="170" fontId="32" fillId="0" borderId="0" xfId="3" applyNumberFormat="1" applyFont="1" applyAlignment="1">
      <alignment vertical="center"/>
    </xf>
    <xf numFmtId="0" fontId="31" fillId="4" borderId="24" xfId="0" applyFont="1" applyFill="1" applyBorder="1" applyAlignment="1">
      <alignment horizontal="center" vertical="center" wrapText="1"/>
    </xf>
    <xf numFmtId="0" fontId="31" fillId="0" borderId="0" xfId="0" applyFont="1" applyAlignment="1">
      <alignment horizontal="center" vertical="center" wrapText="1"/>
    </xf>
    <xf numFmtId="170" fontId="31" fillId="0" borderId="0" xfId="3" applyNumberFormat="1" applyFont="1" applyAlignment="1">
      <alignment horizontal="center" vertical="center" wrapText="1"/>
    </xf>
    <xf numFmtId="0" fontId="32" fillId="0" borderId="29" xfId="0" quotePrefix="1" applyFont="1" applyBorder="1" applyAlignment="1">
      <alignment horizontal="center" vertical="center"/>
    </xf>
    <xf numFmtId="0" fontId="47" fillId="0" borderId="35" xfId="0" applyFont="1" applyBorder="1" applyAlignment="1">
      <alignment vertical="center" wrapText="1"/>
    </xf>
    <xf numFmtId="164" fontId="47" fillId="0" borderId="29" xfId="0" applyNumberFormat="1" applyFont="1" applyBorder="1" applyAlignment="1">
      <alignment vertical="center"/>
    </xf>
    <xf numFmtId="166" fontId="47" fillId="0" borderId="29" xfId="1" applyNumberFormat="1" applyFont="1" applyBorder="1" applyAlignment="1">
      <alignment horizontal="center" vertical="center"/>
    </xf>
    <xf numFmtId="164" fontId="21" fillId="0" borderId="29" xfId="0" applyNumberFormat="1" applyFont="1" applyBorder="1" applyAlignment="1">
      <alignment vertical="center" wrapText="1"/>
    </xf>
    <xf numFmtId="164" fontId="47" fillId="0" borderId="29" xfId="0" quotePrefix="1" applyNumberFormat="1" applyFont="1" applyBorder="1" applyAlignment="1">
      <alignment horizontal="center" vertical="center"/>
    </xf>
    <xf numFmtId="0" fontId="31" fillId="9" borderId="0" xfId="0" applyFont="1" applyFill="1" applyAlignment="1">
      <alignment vertical="center" wrapText="1"/>
    </xf>
    <xf numFmtId="0" fontId="31" fillId="0" borderId="0" xfId="0" applyFont="1" applyAlignment="1">
      <alignment vertical="center" wrapText="1"/>
    </xf>
    <xf numFmtId="170" fontId="31" fillId="0" borderId="0" xfId="3" applyNumberFormat="1" applyFont="1" applyAlignment="1">
      <alignment vertical="center" wrapText="1"/>
    </xf>
    <xf numFmtId="164" fontId="31" fillId="4" borderId="24" xfId="0" applyNumberFormat="1" applyFont="1" applyFill="1" applyBorder="1" applyAlignment="1">
      <alignment vertical="center"/>
    </xf>
    <xf numFmtId="166" fontId="31" fillId="4" borderId="24" xfId="1" applyNumberFormat="1" applyFont="1" applyFill="1" applyBorder="1" applyAlignment="1">
      <alignment horizontal="center" vertical="center"/>
    </xf>
    <xf numFmtId="9" fontId="31" fillId="4" borderId="24" xfId="1" applyFont="1" applyFill="1" applyBorder="1" applyAlignment="1">
      <alignment horizontal="center" vertical="center"/>
    </xf>
    <xf numFmtId="170" fontId="31" fillId="0" borderId="0" xfId="3" applyNumberFormat="1" applyFont="1" applyAlignment="1">
      <alignment vertical="center"/>
    </xf>
    <xf numFmtId="164" fontId="32" fillId="0" borderId="0" xfId="0" applyNumberFormat="1" applyFont="1" applyAlignment="1">
      <alignment vertical="center"/>
    </xf>
    <xf numFmtId="0" fontId="48" fillId="0" borderId="36" xfId="0" applyFont="1" applyBorder="1" applyAlignment="1">
      <alignment horizontal="center" vertical="center" wrapText="1"/>
    </xf>
    <xf numFmtId="164" fontId="48" fillId="0" borderId="36" xfId="0" applyNumberFormat="1" applyFont="1" applyBorder="1" applyAlignment="1">
      <alignment horizontal="center" vertical="center"/>
    </xf>
    <xf numFmtId="164" fontId="48" fillId="0" borderId="35" xfId="0" applyNumberFormat="1" applyFont="1" applyBorder="1" applyAlignment="1">
      <alignment horizontal="center" vertical="center"/>
    </xf>
    <xf numFmtId="0" fontId="49" fillId="0" borderId="36" xfId="0" applyFont="1" applyBorder="1" applyAlignment="1">
      <alignment vertical="center" wrapText="1"/>
    </xf>
    <xf numFmtId="164" fontId="50" fillId="0" borderId="36" xfId="0" applyNumberFormat="1" applyFont="1" applyBorder="1" applyAlignment="1">
      <alignment vertical="center"/>
    </xf>
    <xf numFmtId="164" fontId="49" fillId="0" borderId="35" xfId="0" applyNumberFormat="1" applyFont="1" applyBorder="1" applyAlignment="1">
      <alignment horizontal="center" vertical="center"/>
    </xf>
    <xf numFmtId="164" fontId="49" fillId="0" borderId="36" xfId="0" applyNumberFormat="1" applyFont="1" applyBorder="1" applyAlignment="1">
      <alignment vertical="center"/>
    </xf>
    <xf numFmtId="164" fontId="49" fillId="0" borderId="35" xfId="0" applyNumberFormat="1" applyFont="1" applyBorder="1" applyAlignment="1">
      <alignment vertical="center"/>
    </xf>
    <xf numFmtId="164" fontId="49" fillId="0" borderId="0" xfId="0" applyNumberFormat="1" applyFont="1" applyAlignment="1">
      <alignment vertical="center"/>
    </xf>
    <xf numFmtId="0" fontId="49" fillId="0" borderId="0" xfId="0" applyFont="1" applyAlignment="1">
      <alignment vertical="center" wrapText="1"/>
    </xf>
    <xf numFmtId="164" fontId="49" fillId="0" borderId="37" xfId="0" applyNumberFormat="1" applyFont="1" applyBorder="1" applyAlignment="1">
      <alignment vertical="center"/>
    </xf>
    <xf numFmtId="164" fontId="51" fillId="0" borderId="0" xfId="0" applyNumberFormat="1" applyFont="1" applyAlignment="1">
      <alignment vertical="center"/>
    </xf>
    <xf numFmtId="171" fontId="19" fillId="0" borderId="0" xfId="3" applyNumberFormat="1" applyFont="1" applyBorder="1" applyAlignment="1">
      <alignment vertical="center"/>
    </xf>
    <xf numFmtId="172" fontId="32" fillId="0" borderId="0" xfId="0" applyNumberFormat="1" applyFont="1" applyAlignment="1">
      <alignment vertical="center"/>
    </xf>
    <xf numFmtId="171" fontId="32" fillId="0" borderId="0" xfId="3" applyNumberFormat="1" applyFont="1" applyAlignment="1">
      <alignment vertical="center"/>
    </xf>
    <xf numFmtId="169" fontId="32" fillId="0" borderId="0" xfId="3" applyFont="1" applyAlignment="1">
      <alignment vertical="center"/>
    </xf>
    <xf numFmtId="170" fontId="32" fillId="0" borderId="0" xfId="3" applyNumberFormat="1" applyFont="1" applyBorder="1" applyAlignment="1">
      <alignment vertical="center"/>
    </xf>
    <xf numFmtId="171" fontId="32" fillId="0" borderId="0" xfId="3" applyNumberFormat="1" applyFont="1" applyBorder="1" applyAlignment="1">
      <alignment vertical="center"/>
    </xf>
    <xf numFmtId="171" fontId="31" fillId="0" borderId="0" xfId="3" applyNumberFormat="1" applyFont="1" applyAlignment="1">
      <alignment vertical="center"/>
    </xf>
    <xf numFmtId="169" fontId="31" fillId="0" borderId="0" xfId="3" applyFont="1" applyAlignment="1">
      <alignment vertical="center"/>
    </xf>
    <xf numFmtId="49" fontId="39" fillId="0" borderId="0" xfId="0" applyNumberFormat="1" applyFont="1" applyAlignment="1">
      <alignment horizontal="center" vertical="center"/>
    </xf>
    <xf numFmtId="0" fontId="37" fillId="0" borderId="0" xfId="0" applyFont="1" applyAlignment="1">
      <alignment horizontal="left" vertical="center" wrapText="1"/>
    </xf>
    <xf numFmtId="0" fontId="38" fillId="0" borderId="0" xfId="0" applyFont="1" applyAlignment="1">
      <alignment horizontal="center" vertical="center" wrapText="1"/>
    </xf>
    <xf numFmtId="0" fontId="31" fillId="3" borderId="0" xfId="0" applyFont="1" applyFill="1" applyAlignment="1">
      <alignment horizontal="center" vertical="center"/>
    </xf>
    <xf numFmtId="0" fontId="26" fillId="0" borderId="0" xfId="2" applyAlignment="1">
      <alignment horizontal="left" vertic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4"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1" xfId="0" applyFont="1" applyBorder="1" applyAlignment="1">
      <alignment horizontal="center" vertical="center" wrapText="1"/>
    </xf>
    <xf numFmtId="0" fontId="19" fillId="0" borderId="6"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37" fillId="0" borderId="23" xfId="0" applyFont="1" applyBorder="1" applyAlignment="1">
      <alignment horizontal="center" vertical="center" wrapText="1"/>
    </xf>
    <xf numFmtId="0" fontId="19" fillId="4" borderId="24" xfId="0" applyFont="1" applyFill="1" applyBorder="1" applyAlignment="1">
      <alignment horizontal="center" vertical="center" wrapText="1"/>
    </xf>
    <xf numFmtId="0" fontId="19" fillId="4" borderId="25" xfId="0" applyFont="1" applyFill="1" applyBorder="1" applyAlignment="1">
      <alignment horizontal="center" vertical="center" wrapText="1"/>
    </xf>
    <xf numFmtId="0" fontId="19" fillId="4" borderId="26" xfId="0" applyFont="1" applyFill="1" applyBorder="1" applyAlignment="1">
      <alignment horizontal="center" vertical="center" wrapText="1"/>
    </xf>
    <xf numFmtId="0" fontId="19" fillId="5" borderId="27" xfId="0" applyFont="1" applyFill="1" applyBorder="1" applyAlignment="1">
      <alignment horizontal="center" vertical="center" wrapText="1"/>
    </xf>
    <xf numFmtId="0" fontId="19" fillId="5" borderId="28"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31" fillId="0" borderId="0" xfId="0" applyFont="1" applyAlignment="1">
      <alignment horizontal="center" vertical="center"/>
    </xf>
    <xf numFmtId="0" fontId="31" fillId="4" borderId="2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8" xfId="0" applyFont="1" applyFill="1" applyBorder="1" applyAlignment="1">
      <alignment horizontal="center" vertical="center" wrapText="1"/>
    </xf>
    <xf numFmtId="0" fontId="31" fillId="3" borderId="0" xfId="0" applyFont="1" applyFill="1" applyAlignment="1">
      <alignment horizontal="center" vertical="center" wrapText="1"/>
    </xf>
    <xf numFmtId="0" fontId="19" fillId="0" borderId="8" xfId="0" applyFont="1" applyFill="1" applyBorder="1" applyAlignment="1">
      <alignment horizontal="center" vertical="center"/>
    </xf>
    <xf numFmtId="0" fontId="19" fillId="0" borderId="8" xfId="0" applyFont="1" applyFill="1" applyBorder="1" applyAlignment="1">
      <alignment horizontal="center" vertical="center" wrapText="1"/>
    </xf>
    <xf numFmtId="0" fontId="33" fillId="0" borderId="0" xfId="0" applyFont="1" applyAlignment="1">
      <alignment horizontal="center"/>
    </xf>
    <xf numFmtId="0" fontId="0" fillId="0" borderId="0" xfId="0" applyAlignment="1">
      <alignment horizontal="center"/>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2" xfId="0" applyFont="1" applyBorder="1" applyAlignment="1">
      <alignment vertical="center" wrapText="1"/>
    </xf>
    <xf numFmtId="0" fontId="27" fillId="0" borderId="10" xfId="0" applyFont="1" applyBorder="1" applyAlignment="1">
      <alignment vertical="center" wrapText="1"/>
    </xf>
    <xf numFmtId="0" fontId="27" fillId="0" borderId="13" xfId="0" applyFont="1" applyBorder="1" applyAlignment="1">
      <alignment vertical="center" wrapText="1"/>
    </xf>
    <xf numFmtId="0" fontId="27" fillId="0" borderId="20" xfId="0" applyFont="1" applyBorder="1" applyAlignment="1">
      <alignment vertical="center" wrapText="1"/>
    </xf>
    <xf numFmtId="0" fontId="27" fillId="0" borderId="9" xfId="0" applyFont="1" applyBorder="1" applyAlignment="1">
      <alignment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9" xfId="0" applyFont="1" applyBorder="1" applyAlignment="1">
      <alignment horizontal="center" vertical="center" wrapText="1"/>
    </xf>
    <xf numFmtId="0" fontId="31" fillId="3" borderId="0"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9" xfId="0" applyFont="1" applyBorder="1" applyAlignment="1">
      <alignment horizontal="center" vertical="center" wrapText="1"/>
    </xf>
  </cellXfs>
  <cellStyles count="4">
    <cellStyle name="Lien hypertexte" xfId="2" builtinId="8"/>
    <cellStyle name="Milliers 2" xfId="3" xr:uid="{5DAF6406-33A2-40D0-AEB2-2A1B6CF6C7A5}"/>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8E-49F3-8062-9EC243C45ED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D8E-49F3-8062-9EC243C45ED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8E-49F3-8062-9EC243C45ED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D8E-49F3-8062-9EC243C45ED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FD8E-49F3-8062-9EC243C45ED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D8E-49F3-8062-9EC243C45ED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'Recettes fiscales'!$Q$24:$S$24</c:f>
              <c:strCache>
                <c:ptCount val="3"/>
                <c:pt idx="0">
                  <c:v>Recettes fiscales brutes</c:v>
                </c:pt>
                <c:pt idx="1">
                  <c:v>Recettes non fiscales</c:v>
                </c:pt>
                <c:pt idx="2">
                  <c:v>Autres recettes budgétaires</c:v>
                </c:pt>
              </c:strCache>
            </c:strRef>
          </c:cat>
          <c:val>
            <c:numRef>
              <c:f>'Recettes fiscales'!$Q$25:$S$25</c:f>
              <c:numCache>
                <c:formatCode>#\ ##0.0</c:formatCode>
                <c:ptCount val="3"/>
                <c:pt idx="0">
                  <c:v>921455.9</c:v>
                </c:pt>
                <c:pt idx="1">
                  <c:v>194698.6</c:v>
                </c:pt>
                <c:pt idx="2">
                  <c:v>105477.59999999999</c:v>
                </c:pt>
              </c:numCache>
            </c:numRef>
          </c:val>
          <c:extLst>
            <c:ext xmlns:c16="http://schemas.microsoft.com/office/drawing/2014/chart" uri="{C3380CC4-5D6E-409C-BE32-E72D297353CC}">
              <c16:uniqueId val="{00000000-FD8E-49F3-8062-9EC243C45ED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492125</xdr:colOff>
      <xdr:row>3</xdr:row>
      <xdr:rowOff>127000</xdr:rowOff>
    </xdr:from>
    <xdr:to>
      <xdr:col>7</xdr:col>
      <xdr:colOff>717550</xdr:colOff>
      <xdr:row>8</xdr:row>
      <xdr:rowOff>149860</xdr:rowOff>
    </xdr:to>
    <xdr:pic>
      <xdr:nvPicPr>
        <xdr:cNvPr id="2" name="Picture 7">
          <a:extLst>
            <a:ext uri="{FF2B5EF4-FFF2-40B4-BE49-F238E27FC236}">
              <a16:creationId xmlns:a16="http://schemas.microsoft.com/office/drawing/2014/main" id="{AB366784-895D-4455-B5C2-2A2EE4121666}"/>
            </a:ext>
          </a:extLst>
        </xdr:cNvPr>
        <xdr:cNvPicPr/>
      </xdr:nvPicPr>
      <xdr:blipFill>
        <a:blip xmlns:r="http://schemas.openxmlformats.org/officeDocument/2006/relationships" r:embed="rId1"/>
        <a:stretch>
          <a:fillRect/>
        </a:stretch>
      </xdr:blipFill>
      <xdr:spPr>
        <a:xfrm>
          <a:off x="2778125" y="698500"/>
          <a:ext cx="3273425" cy="975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27</xdr:row>
      <xdr:rowOff>23812</xdr:rowOff>
    </xdr:from>
    <xdr:to>
      <xdr:col>20</xdr:col>
      <xdr:colOff>438150</xdr:colOff>
      <xdr:row>41</xdr:row>
      <xdr:rowOff>100012</xdr:rowOff>
    </xdr:to>
    <xdr:graphicFrame macro="">
      <xdr:nvGraphicFramePr>
        <xdr:cNvPr id="2" name="Graphique 1">
          <a:extLst>
            <a:ext uri="{FF2B5EF4-FFF2-40B4-BE49-F238E27FC236}">
              <a16:creationId xmlns:a16="http://schemas.microsoft.com/office/drawing/2014/main" id="{6CC8FF62-3B72-4CDF-B0C6-2CBFDFBAF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exe%20RAPEX%2031-12-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cap par administration"/>
      <sheetName val="Détail par administration"/>
      <sheetName val="Regroupement par fonction"/>
      <sheetName val="Graphes"/>
      <sheetName val="Regroupement par Programme"/>
    </sheetNames>
    <sheetDataSet>
      <sheetData sheetId="0"/>
      <sheetData sheetId="1">
        <row r="4">
          <cell r="J4">
            <v>45238.346018000004</v>
          </cell>
        </row>
        <row r="17">
          <cell r="J17">
            <v>44735.180061999999</v>
          </cell>
        </row>
        <row r="18">
          <cell r="J18">
            <v>44702.045767999996</v>
          </cell>
        </row>
        <row r="19">
          <cell r="J19">
            <v>13507.530394000001</v>
          </cell>
        </row>
        <row r="20">
          <cell r="J20">
            <v>7268.0809750000008</v>
          </cell>
        </row>
        <row r="21">
          <cell r="J21">
            <v>17647.556686</v>
          </cell>
        </row>
        <row r="22">
          <cell r="J22">
            <v>54342.871984000005</v>
          </cell>
        </row>
        <row r="23">
          <cell r="J23">
            <v>2775.347957</v>
          </cell>
        </row>
        <row r="24">
          <cell r="J24">
            <v>54456.291811000003</v>
          </cell>
        </row>
        <row r="25">
          <cell r="J25">
            <v>62399.190129000002</v>
          </cell>
        </row>
        <row r="26">
          <cell r="J26">
            <v>39366.651155</v>
          </cell>
        </row>
        <row r="27">
          <cell r="J27">
            <v>28918.898432999998</v>
          </cell>
        </row>
        <row r="28">
          <cell r="J28">
            <v>3699.5868710000004</v>
          </cell>
        </row>
        <row r="29">
          <cell r="J29">
            <v>45847.968934999997</v>
          </cell>
        </row>
        <row r="30">
          <cell r="J30">
            <v>7837.0895</v>
          </cell>
        </row>
        <row r="31">
          <cell r="J31">
            <v>37994.152406999994</v>
          </cell>
        </row>
        <row r="32">
          <cell r="J32">
            <v>7659.3744769999994</v>
          </cell>
        </row>
        <row r="33">
          <cell r="J33">
            <v>38712.132070000007</v>
          </cell>
        </row>
        <row r="34">
          <cell r="J34">
            <v>33403.271852999998</v>
          </cell>
        </row>
        <row r="35">
          <cell r="J35">
            <v>111589.614111</v>
          </cell>
        </row>
        <row r="36">
          <cell r="J36">
            <v>71866.483577000006</v>
          </cell>
        </row>
        <row r="37">
          <cell r="J37">
            <v>24583.132942999997</v>
          </cell>
        </row>
        <row r="38">
          <cell r="J38">
            <v>33967.335571999996</v>
          </cell>
        </row>
        <row r="39">
          <cell r="J39">
            <v>2254.5753380000001</v>
          </cell>
        </row>
        <row r="43">
          <cell r="J43">
            <v>151370.46419600002</v>
          </cell>
        </row>
        <row r="44">
          <cell r="J44">
            <v>139372.70000000001</v>
          </cell>
        </row>
        <row r="48">
          <cell r="J48">
            <v>88359.218708999993</v>
          </cell>
        </row>
      </sheetData>
      <sheetData sheetId="2"/>
      <sheetData sheetId="3"/>
      <sheetData sheetId="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budgetbenin.bj/wp-content/uploads/2018/12/ANNEXES_DPBEP_2020-2022-_20_06_19_Final_01h08.pdf" TargetMode="External"/><Relationship Id="rId1" Type="http://schemas.openxmlformats.org/officeDocument/2006/relationships/hyperlink" Target="https://budgetbenin.bj/wp-content/uploads/2019/01/Annexe-au-DPBEP-2019-2021.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55EB3-1E87-4C39-815D-65BF21A1A36B}">
  <dimension ref="B14:M41"/>
  <sheetViews>
    <sheetView showGridLines="0" tabSelected="1" view="pageBreakPreview" topLeftCell="A4" zoomScaleNormal="100" zoomScaleSheetLayoutView="100" workbookViewId="0">
      <selection activeCell="B14" sqref="B14:L15"/>
    </sheetView>
  </sheetViews>
  <sheetFormatPr baseColWidth="10" defaultRowHeight="15" x14ac:dyDescent="0.25"/>
  <sheetData>
    <row r="14" spans="2:13" ht="35.25" customHeight="1" x14ac:dyDescent="0.25">
      <c r="B14" s="239" t="s">
        <v>233</v>
      </c>
      <c r="C14" s="239"/>
      <c r="D14" s="239"/>
      <c r="E14" s="239"/>
      <c r="F14" s="239"/>
      <c r="G14" s="239"/>
      <c r="H14" s="239"/>
      <c r="I14" s="239"/>
      <c r="J14" s="239"/>
      <c r="K14" s="239"/>
      <c r="L14" s="239"/>
      <c r="M14" s="132"/>
    </row>
    <row r="15" spans="2:13" x14ac:dyDescent="0.25">
      <c r="B15" s="239"/>
      <c r="C15" s="239"/>
      <c r="D15" s="239"/>
      <c r="E15" s="239"/>
      <c r="F15" s="239"/>
      <c r="G15" s="239"/>
      <c r="H15" s="239"/>
      <c r="I15" s="239"/>
      <c r="J15" s="239"/>
      <c r="K15" s="239"/>
      <c r="L15" s="239"/>
    </row>
    <row r="16" spans="2:13" ht="16.5" x14ac:dyDescent="0.25">
      <c r="D16" s="131"/>
    </row>
    <row r="21" spans="2:13" ht="86.25" customHeight="1" x14ac:dyDescent="0.25">
      <c r="B21" s="238" t="s">
        <v>231</v>
      </c>
      <c r="C21" s="238"/>
      <c r="D21" s="238"/>
      <c r="E21" s="238"/>
      <c r="F21" s="238"/>
      <c r="G21" s="238"/>
      <c r="H21" s="238"/>
      <c r="I21" s="238"/>
      <c r="J21" s="238"/>
      <c r="K21" s="238"/>
      <c r="L21" s="238"/>
      <c r="M21" s="132"/>
    </row>
    <row r="22" spans="2:13" x14ac:dyDescent="0.25">
      <c r="B22" s="238"/>
      <c r="C22" s="238"/>
      <c r="D22" s="238"/>
      <c r="E22" s="238"/>
      <c r="F22" s="238"/>
      <c r="G22" s="238"/>
      <c r="H22" s="238"/>
      <c r="I22" s="238"/>
      <c r="J22" s="238"/>
      <c r="K22" s="238"/>
      <c r="L22" s="238"/>
    </row>
    <row r="23" spans="2:13" x14ac:dyDescent="0.25">
      <c r="B23" s="238"/>
      <c r="C23" s="238"/>
      <c r="D23" s="238"/>
      <c r="E23" s="238"/>
      <c r="F23" s="238"/>
      <c r="G23" s="238"/>
      <c r="H23" s="238"/>
      <c r="I23" s="238"/>
      <c r="J23" s="238"/>
      <c r="K23" s="238"/>
      <c r="L23" s="238"/>
    </row>
    <row r="24" spans="2:13" x14ac:dyDescent="0.25">
      <c r="B24" s="238"/>
      <c r="C24" s="238"/>
      <c r="D24" s="238"/>
      <c r="E24" s="238"/>
      <c r="F24" s="238"/>
      <c r="G24" s="238"/>
      <c r="H24" s="238"/>
      <c r="I24" s="238"/>
      <c r="J24" s="238"/>
      <c r="K24" s="238"/>
      <c r="L24" s="238"/>
    </row>
    <row r="25" spans="2:13" x14ac:dyDescent="0.25">
      <c r="B25" s="238"/>
      <c r="C25" s="238"/>
      <c r="D25" s="238"/>
      <c r="E25" s="238"/>
      <c r="F25" s="238"/>
      <c r="G25" s="238"/>
      <c r="H25" s="238"/>
      <c r="I25" s="238"/>
      <c r="J25" s="238"/>
      <c r="K25" s="238"/>
      <c r="L25" s="238"/>
    </row>
    <row r="26" spans="2:13" x14ac:dyDescent="0.25">
      <c r="B26" s="238"/>
      <c r="C26" s="238"/>
      <c r="D26" s="238"/>
      <c r="E26" s="238"/>
      <c r="F26" s="238"/>
      <c r="G26" s="238"/>
      <c r="H26" s="238"/>
      <c r="I26" s="238"/>
      <c r="J26" s="238"/>
      <c r="K26" s="238"/>
      <c r="L26" s="238"/>
    </row>
    <row r="27" spans="2:13" x14ac:dyDescent="0.25">
      <c r="B27" s="238"/>
      <c r="C27" s="238"/>
      <c r="D27" s="238"/>
      <c r="E27" s="238"/>
      <c r="F27" s="238"/>
      <c r="G27" s="238"/>
      <c r="H27" s="238"/>
      <c r="I27" s="238"/>
      <c r="J27" s="238"/>
      <c r="K27" s="238"/>
      <c r="L27" s="238"/>
    </row>
    <row r="28" spans="2:13" x14ac:dyDescent="0.25">
      <c r="B28" s="238"/>
      <c r="C28" s="238"/>
      <c r="D28" s="238"/>
      <c r="E28" s="238"/>
      <c r="F28" s="238"/>
      <c r="G28" s="238"/>
      <c r="H28" s="238"/>
      <c r="I28" s="238"/>
      <c r="J28" s="238"/>
      <c r="K28" s="238"/>
      <c r="L28" s="238"/>
    </row>
    <row r="29" spans="2:13" x14ac:dyDescent="0.25">
      <c r="B29" s="238"/>
      <c r="C29" s="238"/>
      <c r="D29" s="238"/>
      <c r="E29" s="238"/>
      <c r="F29" s="238"/>
      <c r="G29" s="238"/>
      <c r="H29" s="238"/>
      <c r="I29" s="238"/>
      <c r="J29" s="238"/>
      <c r="K29" s="238"/>
      <c r="L29" s="238"/>
    </row>
    <row r="40" spans="8:10" x14ac:dyDescent="0.25">
      <c r="H40" s="237" t="s">
        <v>232</v>
      </c>
      <c r="I40" s="237"/>
      <c r="J40" s="237"/>
    </row>
    <row r="41" spans="8:10" x14ac:dyDescent="0.25">
      <c r="H41" s="237"/>
      <c r="I41" s="237"/>
      <c r="J41" s="237"/>
    </row>
  </sheetData>
  <sheetProtection algorithmName="SHA-512" hashValue="IsJSZn9NdEZExN7H28Fr/8xnwpjbCcDGxV0oq1qo82mGOBYeE387ut7o2fSnshS1OULDikMZ3+kRv03lHN845g==" saltValue="Os1JPQsSIA7Ge8/t9NZtAA==" spinCount="100000" sheet="1" objects="1" scenarios="1" insertColumns="0" insertRows="0" deleteColumns="0" deleteRows="0"/>
  <mergeCells count="3">
    <mergeCell ref="H40:J41"/>
    <mergeCell ref="B21:L29"/>
    <mergeCell ref="B14:L15"/>
  </mergeCells>
  <pageMargins left="0.7" right="0.7" top="0.75" bottom="0.75" header="0.3" footer="0.3"/>
  <pageSetup paperSize="9" scale="5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52C3-C8A8-4BEE-A425-226D4051BAA6}">
  <dimension ref="B2:K32"/>
  <sheetViews>
    <sheetView showGridLines="0" workbookViewId="0">
      <selection activeCell="I27" sqref="I27"/>
    </sheetView>
  </sheetViews>
  <sheetFormatPr baseColWidth="10" defaultRowHeight="15" x14ac:dyDescent="0.25"/>
  <cols>
    <col min="1" max="1" width="11.42578125" style="56"/>
    <col min="2" max="2" width="26.85546875" style="56" customWidth="1"/>
    <col min="3" max="3" width="14.28515625" style="56" customWidth="1"/>
    <col min="4" max="5" width="11.42578125" style="56"/>
    <col min="6" max="6" width="12.85546875" style="56" customWidth="1"/>
    <col min="7" max="9" width="11.42578125" style="56"/>
    <col min="10" max="10" width="14.7109375" style="56" customWidth="1"/>
    <col min="11" max="16384" width="11.42578125" style="56"/>
  </cols>
  <sheetData>
    <row r="2" spans="2:11" ht="16.5" x14ac:dyDescent="0.25">
      <c r="B2" s="281" t="s">
        <v>198</v>
      </c>
      <c r="C2" s="281"/>
      <c r="D2" s="281"/>
      <c r="E2" s="281"/>
      <c r="F2" s="281"/>
      <c r="G2" s="281"/>
      <c r="H2" s="281"/>
      <c r="I2" s="281"/>
      <c r="J2" s="281"/>
    </row>
    <row r="3" spans="2:11" ht="15.75" thickBot="1" x14ac:dyDescent="0.3"/>
    <row r="4" spans="2:11" ht="16.5" thickTop="1" thickBot="1" x14ac:dyDescent="0.3">
      <c r="B4" s="279" t="s">
        <v>98</v>
      </c>
      <c r="C4" s="280">
        <v>2018</v>
      </c>
      <c r="D4" s="280"/>
      <c r="E4" s="280"/>
      <c r="F4" s="279">
        <v>2019</v>
      </c>
      <c r="G4" s="279"/>
      <c r="H4" s="279"/>
      <c r="I4" s="268" t="s">
        <v>45</v>
      </c>
      <c r="J4" s="268" t="s">
        <v>5</v>
      </c>
    </row>
    <row r="5" spans="2:11" ht="16.5" thickTop="1" thickBot="1" x14ac:dyDescent="0.3">
      <c r="B5" s="279"/>
      <c r="C5" s="77" t="s">
        <v>46</v>
      </c>
      <c r="D5" s="77" t="s">
        <v>99</v>
      </c>
      <c r="E5" s="77" t="s">
        <v>5</v>
      </c>
      <c r="F5" s="88" t="s">
        <v>46</v>
      </c>
      <c r="G5" s="88" t="s">
        <v>99</v>
      </c>
      <c r="H5" s="88" t="s">
        <v>5</v>
      </c>
      <c r="I5" s="268"/>
      <c r="J5" s="268"/>
    </row>
    <row r="6" spans="2:11" ht="25.5" thickTop="1" thickBot="1" x14ac:dyDescent="0.3">
      <c r="B6" s="96" t="s">
        <v>109</v>
      </c>
      <c r="C6" s="90">
        <v>200</v>
      </c>
      <c r="D6" s="90">
        <v>497</v>
      </c>
      <c r="E6" s="71">
        <f>D6/C6*100</f>
        <v>248.5</v>
      </c>
      <c r="F6" s="90">
        <v>137</v>
      </c>
      <c r="G6" s="90">
        <v>38.6</v>
      </c>
      <c r="H6" s="71">
        <f>G6/F6*100</f>
        <v>28.175182481751825</v>
      </c>
      <c r="I6" s="70">
        <f t="shared" ref="I6:I14" si="0">G6-D6</f>
        <v>-458.4</v>
      </c>
      <c r="J6" s="71">
        <f>I6/D6*100</f>
        <v>-92.233400402414475</v>
      </c>
    </row>
    <row r="7" spans="2:11" ht="37.5" thickTop="1" thickBot="1" x14ac:dyDescent="0.3">
      <c r="B7" s="68" t="s">
        <v>110</v>
      </c>
      <c r="C7" s="92">
        <f>C8+C9+C10</f>
        <v>279600</v>
      </c>
      <c r="D7" s="93">
        <f>D8+D9+D10</f>
        <v>173990.8</v>
      </c>
      <c r="E7" s="71">
        <f t="shared" ref="E7:E18" si="1">D7/C7*100</f>
        <v>62.228469241773951</v>
      </c>
      <c r="F7" s="92">
        <f>F8+F9+F10</f>
        <v>243209</v>
      </c>
      <c r="G7" s="93">
        <f>G8+G9+G10</f>
        <v>93741.799999999988</v>
      </c>
      <c r="H7" s="71">
        <f t="shared" ref="H7:H18" si="2">G7/F7*100</f>
        <v>38.54372165503743</v>
      </c>
      <c r="I7" s="70">
        <f t="shared" si="0"/>
        <v>-80249</v>
      </c>
      <c r="J7" s="71">
        <f t="shared" ref="J7:J17" si="3">I7/D7*100</f>
        <v>-46.122553606282636</v>
      </c>
      <c r="K7" s="59"/>
    </row>
    <row r="8" spans="2:11" ht="25.5" thickTop="1" thickBot="1" x14ac:dyDescent="0.3">
      <c r="B8" s="110" t="s">
        <v>119</v>
      </c>
      <c r="C8" s="94">
        <v>39600</v>
      </c>
      <c r="D8" s="95">
        <v>10196.299999999999</v>
      </c>
      <c r="E8" s="71">
        <f t="shared" si="1"/>
        <v>25.748232323232322</v>
      </c>
      <c r="F8" s="94">
        <v>45131</v>
      </c>
      <c r="G8" s="95">
        <v>33345.5</v>
      </c>
      <c r="H8" s="71">
        <f t="shared" si="2"/>
        <v>73.886020695309213</v>
      </c>
      <c r="I8" s="70">
        <f t="shared" si="0"/>
        <v>23149.200000000001</v>
      </c>
      <c r="J8" s="71">
        <f t="shared" si="3"/>
        <v>227.03529711758188</v>
      </c>
    </row>
    <row r="9" spans="2:11" ht="25.5" thickTop="1" thickBot="1" x14ac:dyDescent="0.3">
      <c r="B9" s="110" t="s">
        <v>118</v>
      </c>
      <c r="C9" s="94">
        <v>160000</v>
      </c>
      <c r="D9" s="95">
        <v>135302.9</v>
      </c>
      <c r="E9" s="71">
        <f t="shared" si="1"/>
        <v>84.5643125</v>
      </c>
      <c r="F9" s="94">
        <v>163478</v>
      </c>
      <c r="G9" s="95">
        <v>35223.699999999997</v>
      </c>
      <c r="H9" s="71">
        <f t="shared" si="2"/>
        <v>21.546446616670131</v>
      </c>
      <c r="I9" s="70">
        <f t="shared" si="0"/>
        <v>-100079.2</v>
      </c>
      <c r="J9" s="71">
        <f t="shared" si="3"/>
        <v>-73.966781199811678</v>
      </c>
    </row>
    <row r="10" spans="2:11" ht="25.5" thickTop="1" thickBot="1" x14ac:dyDescent="0.3">
      <c r="B10" s="111" t="s">
        <v>111</v>
      </c>
      <c r="C10" s="92">
        <v>80000</v>
      </c>
      <c r="D10" s="93">
        <v>28491.599999999999</v>
      </c>
      <c r="E10" s="71">
        <f t="shared" si="1"/>
        <v>35.6145</v>
      </c>
      <c r="F10" s="92">
        <v>34600</v>
      </c>
      <c r="G10" s="93">
        <v>25172.6</v>
      </c>
      <c r="H10" s="71">
        <f t="shared" si="2"/>
        <v>72.753179190751439</v>
      </c>
      <c r="I10" s="70">
        <f t="shared" si="0"/>
        <v>-3319</v>
      </c>
      <c r="J10" s="71">
        <f t="shared" si="3"/>
        <v>-11.64904743854329</v>
      </c>
    </row>
    <row r="11" spans="2:11" ht="16.5" thickTop="1" thickBot="1" x14ac:dyDescent="0.3">
      <c r="B11" s="96" t="s">
        <v>112</v>
      </c>
      <c r="C11" s="94">
        <v>26700</v>
      </c>
      <c r="D11" s="95">
        <v>25279.4</v>
      </c>
      <c r="E11" s="71">
        <f t="shared" si="1"/>
        <v>94.679400749063674</v>
      </c>
      <c r="F11" s="94">
        <v>24400</v>
      </c>
      <c r="G11" s="95">
        <v>25747.8</v>
      </c>
      <c r="H11" s="71">
        <f t="shared" si="2"/>
        <v>105.52377049180328</v>
      </c>
      <c r="I11" s="70">
        <f t="shared" si="0"/>
        <v>468.39999999999782</v>
      </c>
      <c r="J11" s="71">
        <f t="shared" si="3"/>
        <v>1.8528920781347571</v>
      </c>
    </row>
    <row r="12" spans="2:11" ht="16.5" thickTop="1" thickBot="1" x14ac:dyDescent="0.3">
      <c r="B12" s="68" t="s">
        <v>113</v>
      </c>
      <c r="C12" s="92">
        <f>SUM(C13:C14)</f>
        <v>420809</v>
      </c>
      <c r="D12" s="93">
        <f>SUM(D13:D14)</f>
        <v>464816.9</v>
      </c>
      <c r="E12" s="71">
        <f t="shared" si="1"/>
        <v>110.45792746828134</v>
      </c>
      <c r="F12" s="92">
        <f>SUM(F13:F14)</f>
        <v>397895</v>
      </c>
      <c r="G12" s="93">
        <f>SUM(G13:G14)</f>
        <v>191413</v>
      </c>
      <c r="H12" s="71">
        <f t="shared" si="2"/>
        <v>48.10640998253308</v>
      </c>
      <c r="I12" s="70">
        <f t="shared" si="0"/>
        <v>-273403.90000000002</v>
      </c>
      <c r="J12" s="71">
        <f t="shared" si="3"/>
        <v>-58.819698681351738</v>
      </c>
    </row>
    <row r="13" spans="2:11" ht="16.5" thickTop="1" thickBot="1" x14ac:dyDescent="0.3">
      <c r="B13" s="110" t="s">
        <v>114</v>
      </c>
      <c r="C13" s="94">
        <v>100000</v>
      </c>
      <c r="D13" s="95">
        <v>182112</v>
      </c>
      <c r="E13" s="71">
        <f t="shared" si="1"/>
        <v>182.11199999999999</v>
      </c>
      <c r="F13" s="94">
        <v>347895</v>
      </c>
      <c r="G13" s="95">
        <v>90320</v>
      </c>
      <c r="H13" s="71">
        <f t="shared" si="2"/>
        <v>25.961856307219133</v>
      </c>
      <c r="I13" s="70">
        <f t="shared" si="0"/>
        <v>-91792</v>
      </c>
      <c r="J13" s="71">
        <f t="shared" si="3"/>
        <v>-50.404146898611849</v>
      </c>
    </row>
    <row r="14" spans="2:11" ht="16.5" thickTop="1" thickBot="1" x14ac:dyDescent="0.3">
      <c r="B14" s="111" t="s">
        <v>115</v>
      </c>
      <c r="C14" s="92">
        <v>320809</v>
      </c>
      <c r="D14" s="93">
        <v>282704.90000000002</v>
      </c>
      <c r="E14" s="71">
        <f t="shared" si="1"/>
        <v>88.122496563375719</v>
      </c>
      <c r="F14" s="94">
        <v>50000</v>
      </c>
      <c r="G14" s="95">
        <v>101093</v>
      </c>
      <c r="H14" s="71">
        <f t="shared" si="2"/>
        <v>202.18600000000004</v>
      </c>
      <c r="I14" s="70">
        <f t="shared" si="0"/>
        <v>-181611.90000000002</v>
      </c>
      <c r="J14" s="71">
        <f t="shared" si="3"/>
        <v>-64.240803749775836</v>
      </c>
    </row>
    <row r="15" spans="2:11" ht="25.5" thickTop="1" thickBot="1" x14ac:dyDescent="0.3">
      <c r="B15" s="96" t="s">
        <v>116</v>
      </c>
      <c r="C15" s="92"/>
      <c r="D15" s="93"/>
      <c r="E15" s="71"/>
      <c r="F15" s="92"/>
      <c r="G15" s="93"/>
      <c r="H15" s="71"/>
      <c r="I15" s="70"/>
      <c r="J15" s="71"/>
    </row>
    <row r="16" spans="2:11" ht="25.5" thickTop="1" thickBot="1" x14ac:dyDescent="0.3">
      <c r="B16" s="68" t="s">
        <v>117</v>
      </c>
      <c r="C16" s="94">
        <v>0</v>
      </c>
      <c r="D16" s="95">
        <v>166700.9</v>
      </c>
      <c r="E16" s="71" t="e">
        <f t="shared" si="1"/>
        <v>#DIV/0!</v>
      </c>
      <c r="F16" s="94">
        <v>0</v>
      </c>
      <c r="G16" s="95">
        <v>0</v>
      </c>
      <c r="H16" s="71" t="e">
        <f t="shared" si="2"/>
        <v>#DIV/0!</v>
      </c>
      <c r="I16" s="70">
        <f>G16-D16</f>
        <v>-166700.9</v>
      </c>
      <c r="J16" s="71">
        <f t="shared" si="3"/>
        <v>-100</v>
      </c>
    </row>
    <row r="17" spans="2:10" ht="16.5" thickTop="1" thickBot="1" x14ac:dyDescent="0.3">
      <c r="B17" s="68" t="s">
        <v>120</v>
      </c>
      <c r="C17" s="94"/>
      <c r="D17" s="95">
        <v>170548.8</v>
      </c>
      <c r="E17" s="71"/>
      <c r="F17" s="94"/>
      <c r="G17" s="95">
        <v>325000</v>
      </c>
      <c r="H17" s="71"/>
      <c r="I17" s="70">
        <f>G17-D17</f>
        <v>154451.20000000001</v>
      </c>
      <c r="J17" s="71">
        <f t="shared" si="3"/>
        <v>90.561293893595277</v>
      </c>
    </row>
    <row r="18" spans="2:10" ht="16.5" thickTop="1" thickBot="1" x14ac:dyDescent="0.3">
      <c r="B18" s="88" t="s">
        <v>48</v>
      </c>
      <c r="C18" s="69">
        <f>SUM(C6:C7,C11:C12,C15:C17)</f>
        <v>727309</v>
      </c>
      <c r="D18" s="70">
        <f>SUM(D6:D7,D11:D12,D15:D17)</f>
        <v>1001833.8</v>
      </c>
      <c r="E18" s="70">
        <f t="shared" si="1"/>
        <v>137.74527745428696</v>
      </c>
      <c r="F18" s="69">
        <f>SUM(F6:F7,F11:F12,F15:F17)</f>
        <v>665641</v>
      </c>
      <c r="G18" s="70">
        <f>SUM(G6:G7,G11:G12,G15:G17)</f>
        <v>635941.19999999995</v>
      </c>
      <c r="H18" s="70">
        <f t="shared" si="2"/>
        <v>95.538165467571858</v>
      </c>
      <c r="I18" s="70">
        <f>SUM(I6:I17)</f>
        <v>-719545.5</v>
      </c>
      <c r="J18" s="70">
        <f>I18/D18*100</f>
        <v>-71.822841273672339</v>
      </c>
    </row>
    <row r="19" spans="2:10" ht="15.75" thickTop="1" x14ac:dyDescent="0.25"/>
    <row r="21" spans="2:10" ht="16.5" x14ac:dyDescent="0.25">
      <c r="B21" s="281" t="s">
        <v>199</v>
      </c>
      <c r="C21" s="281"/>
      <c r="D21" s="281"/>
      <c r="E21" s="281"/>
      <c r="F21" s="281"/>
      <c r="G21" s="281"/>
      <c r="H21" s="281"/>
      <c r="I21" s="281"/>
      <c r="J21" s="281"/>
    </row>
    <row r="22" spans="2:10" ht="15.75" thickBot="1" x14ac:dyDescent="0.3"/>
    <row r="23" spans="2:10" ht="16.5" thickTop="1" thickBot="1" x14ac:dyDescent="0.3">
      <c r="B23" s="282" t="s">
        <v>98</v>
      </c>
      <c r="C23" s="282" t="s">
        <v>121</v>
      </c>
      <c r="D23" s="282" t="s">
        <v>122</v>
      </c>
      <c r="E23" s="282"/>
      <c r="F23" s="283" t="s">
        <v>123</v>
      </c>
    </row>
    <row r="24" spans="2:10" ht="16.5" thickTop="1" thickBot="1" x14ac:dyDescent="0.3">
      <c r="B24" s="282"/>
      <c r="C24" s="282"/>
      <c r="D24" s="98" t="s">
        <v>124</v>
      </c>
      <c r="E24" s="98" t="s">
        <v>5</v>
      </c>
      <c r="F24" s="283"/>
    </row>
    <row r="25" spans="2:10" ht="16.5" thickTop="1" thickBot="1" x14ac:dyDescent="0.3">
      <c r="B25" s="99" t="s">
        <v>125</v>
      </c>
      <c r="C25" s="100">
        <f>SUM(C26:C27)</f>
        <v>1877543</v>
      </c>
      <c r="D25" s="101">
        <f>SUM(D26:D27)</f>
        <v>1857573.3</v>
      </c>
      <c r="E25" s="70">
        <f t="shared" ref="E25:E30" si="4">D25/C25*100</f>
        <v>98.936391869587013</v>
      </c>
      <c r="F25" s="102">
        <f>D25-C25</f>
        <v>-19969.699999999953</v>
      </c>
    </row>
    <row r="26" spans="2:10" ht="16.5" thickTop="1" thickBot="1" x14ac:dyDescent="0.3">
      <c r="B26" s="103" t="s">
        <v>126</v>
      </c>
      <c r="C26" s="104">
        <v>1211902</v>
      </c>
      <c r="D26" s="105">
        <f>'Recettes fiscales'!T14</f>
        <v>1221632.1000000001</v>
      </c>
      <c r="E26" s="72">
        <f t="shared" si="4"/>
        <v>100.80287845056779</v>
      </c>
      <c r="F26" s="102">
        <f t="shared" ref="F26:F30" si="5">D26-C26</f>
        <v>9730.1000000000931</v>
      </c>
    </row>
    <row r="27" spans="2:10" ht="16.5" thickTop="1" thickBot="1" x14ac:dyDescent="0.3">
      <c r="B27" s="106" t="s">
        <v>127</v>
      </c>
      <c r="C27" s="107">
        <v>665641</v>
      </c>
      <c r="D27" s="108">
        <f>G18</f>
        <v>635941.19999999995</v>
      </c>
      <c r="E27" s="72">
        <f t="shared" si="4"/>
        <v>95.538165467571858</v>
      </c>
      <c r="F27" s="102">
        <f t="shared" si="5"/>
        <v>-29699.800000000047</v>
      </c>
      <c r="H27" s="56" t="s">
        <v>228</v>
      </c>
    </row>
    <row r="28" spans="2:10" ht="16.5" thickTop="1" thickBot="1" x14ac:dyDescent="0.3">
      <c r="B28" s="109" t="s">
        <v>128</v>
      </c>
      <c r="C28" s="100">
        <f>SUM(C29:C30)</f>
        <v>1877543</v>
      </c>
      <c r="D28" s="101">
        <f>SUM(D29:D30)</f>
        <v>1768685.3099999998</v>
      </c>
      <c r="E28" s="70">
        <f t="shared" si="4"/>
        <v>94.202120004708263</v>
      </c>
      <c r="F28" s="102">
        <f t="shared" si="5"/>
        <v>-108857.69000000018</v>
      </c>
    </row>
    <row r="29" spans="2:10" ht="16.5" thickTop="1" thickBot="1" x14ac:dyDescent="0.3">
      <c r="B29" s="106" t="s">
        <v>126</v>
      </c>
      <c r="C29" s="107">
        <v>1373041</v>
      </c>
      <c r="D29" s="108">
        <f>'Dépenses budgétaires'!G14+'Dépenses budgétaires'!G25+'Dépenses budgétaires'!G28+'Dépenses budgétaires'!G41</f>
        <v>1220964.6099999999</v>
      </c>
      <c r="E29" s="72">
        <f t="shared" si="4"/>
        <v>88.924118799074463</v>
      </c>
      <c r="F29" s="102">
        <f t="shared" si="5"/>
        <v>-152076.39000000013</v>
      </c>
      <c r="H29" s="65"/>
    </row>
    <row r="30" spans="2:10" ht="16.5" thickTop="1" thickBot="1" x14ac:dyDescent="0.3">
      <c r="B30" s="103" t="s">
        <v>129</v>
      </c>
      <c r="C30" s="104">
        <v>504502</v>
      </c>
      <c r="D30" s="105">
        <f>'Rembousements de la dette'!G16</f>
        <v>547720.69999999995</v>
      </c>
      <c r="E30" s="72">
        <f t="shared" si="4"/>
        <v>108.56660627708115</v>
      </c>
      <c r="F30" s="102">
        <f t="shared" si="5"/>
        <v>43218.699999999953</v>
      </c>
      <c r="H30" s="59"/>
    </row>
    <row r="31" spans="2:10" ht="15.75" thickTop="1" x14ac:dyDescent="0.25"/>
    <row r="32" spans="2:10" x14ac:dyDescent="0.25">
      <c r="D32" s="66"/>
    </row>
  </sheetData>
  <sheetProtection algorithmName="SHA-512" hashValue="h1vEAsw1sN3L56gg0E23oa83GsWRZnh6Gly0yYO66mcXroFQbtjCnuPgPgqdPkW5hKcLso68jzEONDOBqCvoUA==" saltValue="aWZu18TqelII9/+JZ0GWTA==" spinCount="100000" sheet="1" objects="1" scenarios="1"/>
  <mergeCells count="11">
    <mergeCell ref="B23:B24"/>
    <mergeCell ref="C23:C24"/>
    <mergeCell ref="D23:E23"/>
    <mergeCell ref="F23:F24"/>
    <mergeCell ref="B21:J21"/>
    <mergeCell ref="B2:J2"/>
    <mergeCell ref="B4:B5"/>
    <mergeCell ref="C4:E4"/>
    <mergeCell ref="F4:H4"/>
    <mergeCell ref="I4:I5"/>
    <mergeCell ref="J4:J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D0E0-0244-4A1D-82D2-13362EF1FD8F}">
  <dimension ref="B2:M24"/>
  <sheetViews>
    <sheetView showGridLines="0" workbookViewId="0">
      <selection activeCell="L7" sqref="L7"/>
    </sheetView>
  </sheetViews>
  <sheetFormatPr baseColWidth="10" defaultRowHeight="15" x14ac:dyDescent="0.25"/>
  <cols>
    <col min="2" max="2" width="29.140625" customWidth="1"/>
    <col min="4" max="4" width="13.5703125" customWidth="1"/>
    <col min="7" max="7" width="57.85546875" customWidth="1"/>
    <col min="13" max="13" width="31.7109375" customWidth="1"/>
  </cols>
  <sheetData>
    <row r="2" spans="2:13" ht="16.5" x14ac:dyDescent="0.25">
      <c r="B2" s="240" t="s">
        <v>200</v>
      </c>
      <c r="C2" s="240"/>
      <c r="D2" s="240"/>
      <c r="E2" s="240"/>
      <c r="F2" s="240"/>
      <c r="G2" s="240"/>
    </row>
    <row r="3" spans="2:13" ht="15.75" thickBot="1" x14ac:dyDescent="0.3"/>
    <row r="4" spans="2:13" ht="16.5" thickTop="1" thickBot="1" x14ac:dyDescent="0.3">
      <c r="B4" s="112" t="s">
        <v>49</v>
      </c>
      <c r="C4" s="112" t="s">
        <v>50</v>
      </c>
      <c r="D4" s="112" t="s">
        <v>51</v>
      </c>
      <c r="E4" s="112" t="s">
        <v>5</v>
      </c>
      <c r="F4" s="112" t="s">
        <v>2</v>
      </c>
      <c r="G4" s="113" t="s">
        <v>65</v>
      </c>
    </row>
    <row r="5" spans="2:13" ht="73.5" thickTop="1" thickBot="1" x14ac:dyDescent="0.3">
      <c r="B5" s="114" t="s">
        <v>130</v>
      </c>
      <c r="C5" s="115">
        <v>3330.9937129999998</v>
      </c>
      <c r="D5" s="115">
        <v>3330.9937129999998</v>
      </c>
      <c r="E5" s="115">
        <f t="shared" ref="E5:E21" si="0">D5/C5*100</f>
        <v>100</v>
      </c>
      <c r="F5" s="115">
        <f>D5-C5</f>
        <v>0</v>
      </c>
      <c r="G5" s="116" t="s">
        <v>203</v>
      </c>
    </row>
    <row r="6" spans="2:13" ht="61.5" thickTop="1" thickBot="1" x14ac:dyDescent="0.3">
      <c r="B6" s="114" t="s">
        <v>53</v>
      </c>
      <c r="C6" s="115">
        <v>1720.64</v>
      </c>
      <c r="D6" s="115">
        <v>861.77977099999998</v>
      </c>
      <c r="E6" s="115">
        <f t="shared" si="0"/>
        <v>50.084838839036635</v>
      </c>
      <c r="F6" s="115">
        <f t="shared" ref="F6:F22" si="1">D6-C6</f>
        <v>-858.86022900000012</v>
      </c>
      <c r="G6" s="116" t="s">
        <v>204</v>
      </c>
    </row>
    <row r="7" spans="2:13" ht="85.5" thickTop="1" thickBot="1" x14ac:dyDescent="0.3">
      <c r="B7" s="114" t="s">
        <v>63</v>
      </c>
      <c r="C7" s="115">
        <v>3620</v>
      </c>
      <c r="D7" s="115">
        <v>1167.7145</v>
      </c>
      <c r="E7" s="115">
        <f t="shared" si="0"/>
        <v>32.257306629834254</v>
      </c>
      <c r="F7" s="115">
        <f t="shared" si="1"/>
        <v>-2452.2855</v>
      </c>
      <c r="G7" s="117" t="s">
        <v>205</v>
      </c>
      <c r="J7" s="9"/>
    </row>
    <row r="8" spans="2:13" ht="178.5" customHeight="1" thickTop="1" thickBot="1" x14ac:dyDescent="0.3">
      <c r="B8" s="114" t="s">
        <v>56</v>
      </c>
      <c r="C8" s="115">
        <v>31478.441999999999</v>
      </c>
      <c r="D8" s="115">
        <v>21461.686025999999</v>
      </c>
      <c r="E8" s="115">
        <f t="shared" si="0"/>
        <v>68.178996997373631</v>
      </c>
      <c r="F8" s="115">
        <f t="shared" si="1"/>
        <v>-10016.755974</v>
      </c>
      <c r="G8" s="117" t="s">
        <v>206</v>
      </c>
    </row>
    <row r="9" spans="2:13" ht="189.75" customHeight="1" thickTop="1" thickBot="1" x14ac:dyDescent="0.3">
      <c r="B9" s="114" t="s">
        <v>52</v>
      </c>
      <c r="C9" s="115">
        <v>23586.486000000001</v>
      </c>
      <c r="D9" s="115">
        <v>20803.965635</v>
      </c>
      <c r="E9" s="115">
        <f t="shared" si="0"/>
        <v>88.202904133324481</v>
      </c>
      <c r="F9" s="115">
        <f t="shared" si="1"/>
        <v>-2782.5203650000003</v>
      </c>
      <c r="G9" s="117" t="s">
        <v>135</v>
      </c>
      <c r="M9" s="8"/>
    </row>
    <row r="10" spans="2:13" ht="111.75" customHeight="1" thickTop="1" thickBot="1" x14ac:dyDescent="0.3">
      <c r="B10" s="114" t="s">
        <v>58</v>
      </c>
      <c r="C10" s="115">
        <v>62018.264000000003</v>
      </c>
      <c r="D10" s="115">
        <v>57193.489984</v>
      </c>
      <c r="E10" s="115">
        <f t="shared" si="0"/>
        <v>92.220398145939726</v>
      </c>
      <c r="F10" s="115">
        <f t="shared" si="1"/>
        <v>-4824.774016000003</v>
      </c>
      <c r="G10" s="117" t="s">
        <v>207</v>
      </c>
    </row>
    <row r="11" spans="2:13" ht="133.5" thickTop="1" thickBot="1" x14ac:dyDescent="0.3">
      <c r="B11" s="114" t="s">
        <v>57</v>
      </c>
      <c r="C11" s="115">
        <v>26848.36706</v>
      </c>
      <c r="D11" s="115">
        <v>15416.608423</v>
      </c>
      <c r="E11" s="115">
        <f t="shared" si="0"/>
        <v>57.421028208335287</v>
      </c>
      <c r="F11" s="115">
        <f t="shared" si="1"/>
        <v>-11431.758637000001</v>
      </c>
      <c r="G11" s="117" t="s">
        <v>208</v>
      </c>
    </row>
    <row r="12" spans="2:13" ht="184.5" customHeight="1" thickTop="1" thickBot="1" x14ac:dyDescent="0.3">
      <c r="B12" s="114" t="s">
        <v>61</v>
      </c>
      <c r="C12" s="115">
        <v>13056.115</v>
      </c>
      <c r="D12" s="115">
        <v>9061.1872210000001</v>
      </c>
      <c r="E12" s="115">
        <f t="shared" si="0"/>
        <v>69.401864344791704</v>
      </c>
      <c r="F12" s="115">
        <f t="shared" si="1"/>
        <v>-3994.9277789999996</v>
      </c>
      <c r="G12" s="117" t="s">
        <v>136</v>
      </c>
    </row>
    <row r="13" spans="2:13" ht="90" customHeight="1" thickTop="1" thickBot="1" x14ac:dyDescent="0.3">
      <c r="B13" s="114" t="s">
        <v>131</v>
      </c>
      <c r="C13" s="115">
        <v>1981.0719999999999</v>
      </c>
      <c r="D13" s="115">
        <v>1641.859156</v>
      </c>
      <c r="E13" s="115">
        <f t="shared" si="0"/>
        <v>82.877308649054655</v>
      </c>
      <c r="F13" s="115">
        <f t="shared" si="1"/>
        <v>-339.2128439999999</v>
      </c>
      <c r="G13" s="117" t="s">
        <v>137</v>
      </c>
      <c r="M13" s="8"/>
    </row>
    <row r="14" spans="2:13" ht="63" customHeight="1" thickTop="1" thickBot="1" x14ac:dyDescent="0.3">
      <c r="B14" s="114" t="s">
        <v>64</v>
      </c>
      <c r="C14" s="115">
        <v>25095.809000000001</v>
      </c>
      <c r="D14" s="115">
        <v>16165.91439</v>
      </c>
      <c r="E14" s="115">
        <f t="shared" si="0"/>
        <v>64.416789233612676</v>
      </c>
      <c r="F14" s="115">
        <f t="shared" si="1"/>
        <v>-8929.8946100000012</v>
      </c>
      <c r="G14" s="117" t="s">
        <v>209</v>
      </c>
    </row>
    <row r="15" spans="2:13" ht="86.25" customHeight="1" thickTop="1" thickBot="1" x14ac:dyDescent="0.3">
      <c r="B15" s="114" t="s">
        <v>54</v>
      </c>
      <c r="C15" s="115">
        <v>18699.75</v>
      </c>
      <c r="D15" s="115">
        <v>16243.245249</v>
      </c>
      <c r="E15" s="115">
        <f t="shared" si="0"/>
        <v>86.863435334696987</v>
      </c>
      <c r="F15" s="115">
        <f t="shared" si="1"/>
        <v>-2456.5047510000004</v>
      </c>
      <c r="G15" s="117" t="s">
        <v>210</v>
      </c>
    </row>
    <row r="16" spans="2:13" ht="60.75" customHeight="1" thickTop="1" thickBot="1" x14ac:dyDescent="0.3">
      <c r="B16" s="114" t="s">
        <v>55</v>
      </c>
      <c r="C16" s="115">
        <v>8468.2199999999993</v>
      </c>
      <c r="D16" s="115">
        <v>8114.563416</v>
      </c>
      <c r="E16" s="115">
        <f t="shared" si="0"/>
        <v>95.823719931697582</v>
      </c>
      <c r="F16" s="115">
        <f t="shared" si="1"/>
        <v>-353.65658399999938</v>
      </c>
      <c r="G16" s="117" t="s">
        <v>211</v>
      </c>
    </row>
    <row r="17" spans="2:9" ht="156" customHeight="1" thickTop="1" thickBot="1" x14ac:dyDescent="0.3">
      <c r="B17" s="114" t="s">
        <v>132</v>
      </c>
      <c r="C17" s="115">
        <v>8420.5905660000008</v>
      </c>
      <c r="D17" s="115">
        <v>7966.6376129999999</v>
      </c>
      <c r="E17" s="115">
        <f t="shared" si="0"/>
        <v>94.609012878111699</v>
      </c>
      <c r="F17" s="115">
        <f t="shared" si="1"/>
        <v>-453.95295300000089</v>
      </c>
      <c r="G17" s="118" t="s">
        <v>138</v>
      </c>
    </row>
    <row r="18" spans="2:9" ht="74.25" customHeight="1" thickTop="1" thickBot="1" x14ac:dyDescent="0.3">
      <c r="B18" s="114" t="s">
        <v>62</v>
      </c>
      <c r="C18" s="115">
        <v>14451.017</v>
      </c>
      <c r="D18" s="115">
        <v>11453.096376</v>
      </c>
      <c r="E18" s="115">
        <f t="shared" si="0"/>
        <v>79.254604544441392</v>
      </c>
      <c r="F18" s="115">
        <f t="shared" si="1"/>
        <v>-2997.9206240000003</v>
      </c>
      <c r="G18" s="117" t="s">
        <v>212</v>
      </c>
    </row>
    <row r="19" spans="2:9" ht="85.5" thickTop="1" thickBot="1" x14ac:dyDescent="0.3">
      <c r="B19" s="114" t="s">
        <v>59</v>
      </c>
      <c r="C19" s="115">
        <v>1069.5709999999999</v>
      </c>
      <c r="D19" s="115">
        <v>849.277244</v>
      </c>
      <c r="E19" s="115">
        <f t="shared" si="0"/>
        <v>79.403540671914257</v>
      </c>
      <c r="F19" s="115">
        <f t="shared" si="1"/>
        <v>-220.29375599999992</v>
      </c>
      <c r="G19" s="117" t="s">
        <v>213</v>
      </c>
    </row>
    <row r="20" spans="2:9" ht="114.75" customHeight="1" thickTop="1" thickBot="1" x14ac:dyDescent="0.3">
      <c r="B20" s="114" t="s">
        <v>60</v>
      </c>
      <c r="C20" s="115">
        <v>1306.6849999999999</v>
      </c>
      <c r="D20" s="115">
        <v>1399.6625670000001</v>
      </c>
      <c r="E20" s="115">
        <f t="shared" si="0"/>
        <v>107.11553029230458</v>
      </c>
      <c r="F20" s="115">
        <f t="shared" si="1"/>
        <v>92.977567000000136</v>
      </c>
      <c r="G20" s="117" t="s">
        <v>214</v>
      </c>
      <c r="I20" s="10"/>
    </row>
    <row r="21" spans="2:9" ht="91.5" customHeight="1" thickTop="1" thickBot="1" x14ac:dyDescent="0.3">
      <c r="B21" s="114" t="s">
        <v>133</v>
      </c>
      <c r="C21" s="115">
        <v>0</v>
      </c>
      <c r="D21" s="115">
        <v>9106.5677259999993</v>
      </c>
      <c r="E21" s="115" t="e">
        <f t="shared" si="0"/>
        <v>#DIV/0!</v>
      </c>
      <c r="F21" s="115">
        <f t="shared" si="1"/>
        <v>9106.5677259999993</v>
      </c>
      <c r="G21" s="117" t="s">
        <v>215</v>
      </c>
    </row>
    <row r="22" spans="2:9" ht="77.25" customHeight="1" thickTop="1" thickBot="1" x14ac:dyDescent="0.3">
      <c r="B22" s="114" t="s">
        <v>134</v>
      </c>
      <c r="C22" s="115">
        <v>25655.606</v>
      </c>
      <c r="D22" s="115">
        <v>17756.557936000001</v>
      </c>
      <c r="E22" s="115">
        <f>D22/C22*100</f>
        <v>69.211220097471099</v>
      </c>
      <c r="F22" s="115">
        <f t="shared" si="1"/>
        <v>-7899.0480639999987</v>
      </c>
      <c r="G22" s="117" t="s">
        <v>216</v>
      </c>
    </row>
    <row r="23" spans="2:9" ht="16.5" thickTop="1" thickBot="1" x14ac:dyDescent="0.3">
      <c r="B23" s="119" t="s">
        <v>48</v>
      </c>
      <c r="C23" s="120">
        <f>SUM(C5:C22)</f>
        <v>270807.62833899993</v>
      </c>
      <c r="D23" s="120">
        <f>SUM(D5:D22)</f>
        <v>219994.806946</v>
      </c>
      <c r="E23" s="120">
        <f>D23/C23*100</f>
        <v>81.236562018337281</v>
      </c>
      <c r="F23" s="121">
        <f>SUM(F5:F22)</f>
        <v>-50812.821392999991</v>
      </c>
      <c r="G23" s="117"/>
    </row>
    <row r="24" spans="2:9" ht="15.75" thickTop="1" x14ac:dyDescent="0.25"/>
  </sheetData>
  <sheetProtection algorithmName="SHA-512" hashValue="g9E77aAFp1juWKTJXEKnkACl0Q8yGOJkyMWykZ3sH7XnBgvfO0w9iwWktVMcfNGTPvWir1CaM8rjRy0s2W9faQ==" saltValue="UeXAd/4dHSLWzCVK5adGag==" spinCount="100000" sheet="1" objects="1" scenarios="1"/>
  <mergeCells count="1">
    <mergeCell ref="B2:G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317B-B8FB-4A7A-9168-B1E07C8B37E7}">
  <dimension ref="B2:K33"/>
  <sheetViews>
    <sheetView showGridLines="0" zoomScaleNormal="100" workbookViewId="0">
      <selection activeCell="M5" sqref="M5"/>
    </sheetView>
  </sheetViews>
  <sheetFormatPr baseColWidth="10" defaultRowHeight="15" x14ac:dyDescent="0.25"/>
  <cols>
    <col min="3" max="3" width="23.140625" customWidth="1"/>
  </cols>
  <sheetData>
    <row r="2" spans="2:11" ht="16.5" x14ac:dyDescent="0.25">
      <c r="B2" s="240" t="s">
        <v>230</v>
      </c>
      <c r="C2" s="240"/>
      <c r="D2" s="240"/>
      <c r="E2" s="240"/>
      <c r="F2" s="240"/>
      <c r="G2" s="240"/>
      <c r="H2" s="240"/>
      <c r="I2" s="240"/>
      <c r="J2" s="240"/>
      <c r="K2" s="240"/>
    </row>
    <row r="3" spans="2:11" ht="15.75" thickBot="1" x14ac:dyDescent="0.3"/>
    <row r="4" spans="2:11" ht="15.75" thickBot="1" x14ac:dyDescent="0.3">
      <c r="C4" s="286" t="s">
        <v>181</v>
      </c>
      <c r="D4" s="36">
        <v>2018</v>
      </c>
      <c r="E4" s="37"/>
      <c r="F4" s="38"/>
      <c r="G4" s="36">
        <v>2019</v>
      </c>
      <c r="H4" s="37"/>
      <c r="I4" s="38"/>
      <c r="J4" s="34" t="s">
        <v>45</v>
      </c>
      <c r="K4" s="34" t="s">
        <v>180</v>
      </c>
    </row>
    <row r="5" spans="2:11" ht="15.75" thickBot="1" x14ac:dyDescent="0.3">
      <c r="C5" s="287"/>
      <c r="D5" s="38" t="s">
        <v>46</v>
      </c>
      <c r="E5" s="25" t="s">
        <v>99</v>
      </c>
      <c r="F5" s="25" t="s">
        <v>5</v>
      </c>
      <c r="G5" s="38" t="s">
        <v>46</v>
      </c>
      <c r="H5" s="25" t="s">
        <v>99</v>
      </c>
      <c r="I5" s="25" t="s">
        <v>5</v>
      </c>
      <c r="J5" s="35"/>
      <c r="K5" s="35"/>
    </row>
    <row r="6" spans="2:11" ht="24.75" thickBot="1" x14ac:dyDescent="0.3">
      <c r="C6" s="30" t="s">
        <v>182</v>
      </c>
      <c r="D6" s="26">
        <v>2789.8</v>
      </c>
      <c r="E6" s="28">
        <v>2789.8</v>
      </c>
      <c r="F6" s="28">
        <f>E6/D6*100</f>
        <v>100</v>
      </c>
      <c r="G6" s="26">
        <v>2820</v>
      </c>
      <c r="H6" s="28">
        <v>2820</v>
      </c>
      <c r="I6" s="28">
        <f>H6/G6*100</f>
        <v>100</v>
      </c>
      <c r="J6" s="28">
        <f>H6-E6</f>
        <v>30.199999999999818</v>
      </c>
      <c r="K6" s="28">
        <f>J6/E6*100</f>
        <v>1.0825148756183174</v>
      </c>
    </row>
    <row r="7" spans="2:11" ht="36.75" thickBot="1" x14ac:dyDescent="0.3">
      <c r="C7" s="30" t="s">
        <v>183</v>
      </c>
      <c r="D7" s="26">
        <v>10730.2</v>
      </c>
      <c r="E7" s="28">
        <v>10730</v>
      </c>
      <c r="F7" s="28">
        <f t="shared" ref="F7:F9" si="0">E7/D7*100</f>
        <v>99.9981361018434</v>
      </c>
      <c r="G7" s="26">
        <v>11500</v>
      </c>
      <c r="H7" s="28">
        <v>11499.999964000001</v>
      </c>
      <c r="I7" s="28">
        <f t="shared" ref="I7:I9" si="1">H7/G7*100</f>
        <v>99.999999686956528</v>
      </c>
      <c r="J7" s="28">
        <f t="shared" ref="J7:J8" si="2">H7-E7</f>
        <v>769.99996400000055</v>
      </c>
      <c r="K7" s="28">
        <f t="shared" ref="K7:K9" si="3">J7/E7*100</f>
        <v>7.176141323392363</v>
      </c>
    </row>
    <row r="8" spans="2:11" ht="36.75" thickBot="1" x14ac:dyDescent="0.3">
      <c r="C8" s="30" t="s">
        <v>184</v>
      </c>
      <c r="D8" s="26">
        <v>16000</v>
      </c>
      <c r="E8" s="28">
        <v>16489.400000000001</v>
      </c>
      <c r="F8" s="28">
        <f t="shared" si="0"/>
        <v>103.05875</v>
      </c>
      <c r="G8" s="26">
        <v>19145</v>
      </c>
      <c r="H8" s="122">
        <v>20099.127916000001</v>
      </c>
      <c r="I8" s="28">
        <f t="shared" si="1"/>
        <v>104.98369243144425</v>
      </c>
      <c r="J8" s="28">
        <f t="shared" si="2"/>
        <v>3609.7279159999998</v>
      </c>
      <c r="K8" s="28">
        <f t="shared" si="3"/>
        <v>21.891202323917181</v>
      </c>
    </row>
    <row r="9" spans="2:11" ht="15.75" thickBot="1" x14ac:dyDescent="0.3">
      <c r="C9" s="30" t="s">
        <v>185</v>
      </c>
      <c r="D9" s="27">
        <f>SUM(D6:D8)</f>
        <v>29520</v>
      </c>
      <c r="E9" s="29">
        <f>SUM(E6:E8)</f>
        <v>30009.200000000001</v>
      </c>
      <c r="F9" s="29">
        <f t="shared" si="0"/>
        <v>101.65718157181571</v>
      </c>
      <c r="G9" s="27">
        <f>SUM(G6:G8)</f>
        <v>33465</v>
      </c>
      <c r="H9" s="29">
        <f>SUM(H6:H8)</f>
        <v>34419.12788</v>
      </c>
      <c r="I9" s="29">
        <f t="shared" si="1"/>
        <v>102.85112170924846</v>
      </c>
      <c r="J9" s="29">
        <f>SUM(J6:J8)</f>
        <v>4409.9278800000002</v>
      </c>
      <c r="K9" s="29">
        <f t="shared" si="3"/>
        <v>14.695253055729577</v>
      </c>
    </row>
    <row r="12" spans="2:11" ht="16.5" x14ac:dyDescent="0.25">
      <c r="B12" s="240" t="s">
        <v>229</v>
      </c>
      <c r="C12" s="240"/>
      <c r="D12" s="240"/>
      <c r="E12" s="240"/>
      <c r="F12" s="240"/>
      <c r="G12" s="240"/>
      <c r="H12" s="240"/>
      <c r="I12" s="240"/>
      <c r="J12" s="240"/>
      <c r="K12" s="240"/>
    </row>
    <row r="13" spans="2:11" ht="15.75" thickBot="1" x14ac:dyDescent="0.3"/>
    <row r="14" spans="2:11" ht="15.75" thickBot="1" x14ac:dyDescent="0.3">
      <c r="B14" s="288" t="s">
        <v>163</v>
      </c>
      <c r="C14" s="288" t="s">
        <v>164</v>
      </c>
      <c r="D14" s="295">
        <v>2018</v>
      </c>
      <c r="E14" s="296"/>
      <c r="F14" s="297"/>
      <c r="G14" s="295">
        <v>2019</v>
      </c>
      <c r="H14" s="296"/>
      <c r="I14" s="297"/>
      <c r="J14" s="288" t="s">
        <v>45</v>
      </c>
      <c r="K14" s="288" t="s">
        <v>180</v>
      </c>
    </row>
    <row r="15" spans="2:11" ht="15.75" thickBot="1" x14ac:dyDescent="0.3">
      <c r="B15" s="289"/>
      <c r="C15" s="289"/>
      <c r="D15" s="22" t="s">
        <v>46</v>
      </c>
      <c r="E15" s="25" t="s">
        <v>99</v>
      </c>
      <c r="F15" s="25" t="s">
        <v>5</v>
      </c>
      <c r="G15" s="22" t="s">
        <v>46</v>
      </c>
      <c r="H15" s="25" t="s">
        <v>99</v>
      </c>
      <c r="I15" s="25" t="s">
        <v>5</v>
      </c>
      <c r="J15" s="289"/>
      <c r="K15" s="289"/>
    </row>
    <row r="16" spans="2:11" ht="15.75" thickBot="1" x14ac:dyDescent="0.3">
      <c r="B16" s="31" t="s">
        <v>165</v>
      </c>
      <c r="C16" s="23" t="s">
        <v>166</v>
      </c>
      <c r="D16" s="26">
        <v>2000</v>
      </c>
      <c r="E16" s="28">
        <v>101.3</v>
      </c>
      <c r="F16" s="28">
        <f>E16/D16*100</f>
        <v>5.0650000000000004</v>
      </c>
      <c r="G16" s="26">
        <v>0</v>
      </c>
      <c r="H16" s="28"/>
      <c r="I16" s="28" t="e">
        <f>H16/G16*100</f>
        <v>#DIV/0!</v>
      </c>
      <c r="J16" s="28">
        <f>H16-E16</f>
        <v>-101.3</v>
      </c>
      <c r="K16" s="28">
        <f>J16/E16*100</f>
        <v>-100</v>
      </c>
    </row>
    <row r="17" spans="2:11" ht="15.75" thickBot="1" x14ac:dyDescent="0.3">
      <c r="B17" s="290" t="s">
        <v>167</v>
      </c>
      <c r="C17" s="23" t="s">
        <v>168</v>
      </c>
      <c r="D17" s="26">
        <v>500</v>
      </c>
      <c r="E17" s="28">
        <v>500</v>
      </c>
      <c r="F17" s="28">
        <f t="shared" ref="F17:F28" si="4">E17/D17*100</f>
        <v>100</v>
      </c>
      <c r="G17" s="26">
        <v>0</v>
      </c>
      <c r="H17" s="28"/>
      <c r="I17" s="28" t="e">
        <f t="shared" ref="I17:I28" si="5">H17/G17*100</f>
        <v>#DIV/0!</v>
      </c>
      <c r="J17" s="28">
        <f t="shared" ref="J17:J28" si="6">H17-E17</f>
        <v>-500</v>
      </c>
      <c r="K17" s="28">
        <f t="shared" ref="K17:K28" si="7">J17/E17*100</f>
        <v>-100</v>
      </c>
    </row>
    <row r="18" spans="2:11" ht="15.75" thickBot="1" x14ac:dyDescent="0.3">
      <c r="B18" s="291"/>
      <c r="C18" s="23" t="s">
        <v>166</v>
      </c>
      <c r="D18" s="26">
        <v>3000</v>
      </c>
      <c r="E18" s="28">
        <v>3000</v>
      </c>
      <c r="F18" s="28">
        <f t="shared" si="4"/>
        <v>100</v>
      </c>
      <c r="G18" s="26">
        <v>3000</v>
      </c>
      <c r="H18" s="28">
        <v>3000</v>
      </c>
      <c r="I18" s="28">
        <f t="shared" si="5"/>
        <v>100</v>
      </c>
      <c r="J18" s="28">
        <f t="shared" si="6"/>
        <v>0</v>
      </c>
      <c r="K18" s="28">
        <f t="shared" si="7"/>
        <v>0</v>
      </c>
    </row>
    <row r="19" spans="2:11" ht="15.75" thickBot="1" x14ac:dyDescent="0.3">
      <c r="B19" s="290" t="s">
        <v>169</v>
      </c>
      <c r="C19" s="23" t="s">
        <v>168</v>
      </c>
      <c r="D19" s="26">
        <v>2100</v>
      </c>
      <c r="E19" s="28">
        <v>2100</v>
      </c>
      <c r="F19" s="28">
        <f t="shared" si="4"/>
        <v>100</v>
      </c>
      <c r="G19" s="26">
        <v>1100</v>
      </c>
      <c r="H19" s="28">
        <v>0</v>
      </c>
      <c r="I19" s="28">
        <f t="shared" si="5"/>
        <v>0</v>
      </c>
      <c r="J19" s="28">
        <f t="shared" si="6"/>
        <v>-2100</v>
      </c>
      <c r="K19" s="28">
        <f t="shared" si="7"/>
        <v>-100</v>
      </c>
    </row>
    <row r="20" spans="2:11" ht="15.75" thickBot="1" x14ac:dyDescent="0.3">
      <c r="B20" s="292"/>
      <c r="C20" s="23" t="s">
        <v>166</v>
      </c>
      <c r="D20" s="26">
        <v>1000</v>
      </c>
      <c r="E20" s="28">
        <v>1000</v>
      </c>
      <c r="F20" s="28">
        <f t="shared" si="4"/>
        <v>100</v>
      </c>
      <c r="G20" s="26">
        <v>500</v>
      </c>
      <c r="H20" s="28">
        <v>500</v>
      </c>
      <c r="I20" s="28">
        <f t="shared" si="5"/>
        <v>100</v>
      </c>
      <c r="J20" s="28">
        <f t="shared" si="6"/>
        <v>-500</v>
      </c>
      <c r="K20" s="28">
        <f t="shared" si="7"/>
        <v>-50</v>
      </c>
    </row>
    <row r="21" spans="2:11" ht="15.75" thickBot="1" x14ac:dyDescent="0.3">
      <c r="B21" s="291"/>
      <c r="C21" s="23" t="s">
        <v>170</v>
      </c>
      <c r="D21" s="26">
        <v>0</v>
      </c>
      <c r="E21" s="28">
        <v>0</v>
      </c>
      <c r="F21" s="28" t="e">
        <f t="shared" si="4"/>
        <v>#DIV/0!</v>
      </c>
      <c r="G21" s="26">
        <v>1500</v>
      </c>
      <c r="H21" s="28">
        <v>1500</v>
      </c>
      <c r="I21" s="28">
        <f t="shared" si="5"/>
        <v>100</v>
      </c>
      <c r="J21" s="28">
        <f t="shared" si="6"/>
        <v>1500</v>
      </c>
      <c r="K21" s="28" t="e">
        <f t="shared" si="7"/>
        <v>#DIV/0!</v>
      </c>
    </row>
    <row r="22" spans="2:11" ht="15.75" thickBot="1" x14ac:dyDescent="0.3">
      <c r="B22" s="24" t="s">
        <v>171</v>
      </c>
      <c r="C22" s="23" t="s">
        <v>166</v>
      </c>
      <c r="D22" s="26">
        <v>85</v>
      </c>
      <c r="E22" s="28">
        <v>85</v>
      </c>
      <c r="F22" s="28">
        <f t="shared" si="4"/>
        <v>100</v>
      </c>
      <c r="G22" s="26">
        <v>85</v>
      </c>
      <c r="H22" s="28">
        <v>85</v>
      </c>
      <c r="I22" s="28">
        <f t="shared" si="5"/>
        <v>100</v>
      </c>
      <c r="J22" s="28">
        <f t="shared" si="6"/>
        <v>0</v>
      </c>
      <c r="K22" s="28">
        <f t="shared" si="7"/>
        <v>0</v>
      </c>
    </row>
    <row r="23" spans="2:11" ht="15.75" thickBot="1" x14ac:dyDescent="0.3">
      <c r="B23" s="24" t="s">
        <v>172</v>
      </c>
      <c r="C23" s="23" t="s">
        <v>166</v>
      </c>
      <c r="D23" s="26">
        <v>1300</v>
      </c>
      <c r="E23" s="28">
        <v>1300</v>
      </c>
      <c r="F23" s="28">
        <f t="shared" si="4"/>
        <v>100</v>
      </c>
      <c r="G23" s="26">
        <v>1300</v>
      </c>
      <c r="H23" s="28">
        <v>1300</v>
      </c>
      <c r="I23" s="28">
        <f t="shared" si="5"/>
        <v>100</v>
      </c>
      <c r="J23" s="28">
        <f t="shared" si="6"/>
        <v>0</v>
      </c>
      <c r="K23" s="28">
        <f t="shared" si="7"/>
        <v>0</v>
      </c>
    </row>
    <row r="24" spans="2:11" ht="29.25" thickBot="1" x14ac:dyDescent="0.3">
      <c r="B24" s="24" t="s">
        <v>173</v>
      </c>
      <c r="C24" s="23" t="s">
        <v>174</v>
      </c>
      <c r="D24" s="26">
        <v>3400</v>
      </c>
      <c r="E24" s="28">
        <v>1555.2</v>
      </c>
      <c r="F24" s="28">
        <f t="shared" si="4"/>
        <v>45.741176470588236</v>
      </c>
      <c r="G24" s="32">
        <v>1960</v>
      </c>
      <c r="H24" s="28">
        <v>1906.9318920000001</v>
      </c>
      <c r="I24" s="28">
        <f t="shared" si="5"/>
        <v>97.292443469387763</v>
      </c>
      <c r="J24" s="28">
        <f t="shared" si="6"/>
        <v>351.73189200000002</v>
      </c>
      <c r="K24" s="28">
        <f t="shared" si="7"/>
        <v>22.616505401234569</v>
      </c>
    </row>
    <row r="25" spans="2:11" ht="29.25" thickBot="1" x14ac:dyDescent="0.3">
      <c r="B25" s="24" t="s">
        <v>175</v>
      </c>
      <c r="C25" s="23" t="s">
        <v>176</v>
      </c>
      <c r="D25" s="26">
        <v>2434</v>
      </c>
      <c r="E25" s="28">
        <v>2434</v>
      </c>
      <c r="F25" s="28">
        <f t="shared" si="4"/>
        <v>100</v>
      </c>
      <c r="G25" s="26">
        <v>2434</v>
      </c>
      <c r="H25" s="28">
        <v>2434</v>
      </c>
      <c r="I25" s="28">
        <f t="shared" si="5"/>
        <v>100</v>
      </c>
      <c r="J25" s="28">
        <f t="shared" si="6"/>
        <v>0</v>
      </c>
      <c r="K25" s="28">
        <f t="shared" si="7"/>
        <v>0</v>
      </c>
    </row>
    <row r="26" spans="2:11" ht="15.75" thickBot="1" x14ac:dyDescent="0.3">
      <c r="B26" s="290" t="s">
        <v>177</v>
      </c>
      <c r="C26" s="23" t="s">
        <v>178</v>
      </c>
      <c r="D26" s="26">
        <v>60</v>
      </c>
      <c r="E26" s="28">
        <v>60</v>
      </c>
      <c r="F26" s="28">
        <f t="shared" si="4"/>
        <v>100</v>
      </c>
      <c r="G26" s="26">
        <v>250</v>
      </c>
      <c r="H26" s="28">
        <v>250</v>
      </c>
      <c r="I26" s="28">
        <f t="shared" si="5"/>
        <v>100</v>
      </c>
      <c r="J26" s="28">
        <f t="shared" si="6"/>
        <v>190</v>
      </c>
      <c r="K26" s="28">
        <f t="shared" si="7"/>
        <v>316.66666666666663</v>
      </c>
    </row>
    <row r="27" spans="2:11" ht="15.75" thickBot="1" x14ac:dyDescent="0.3">
      <c r="B27" s="291"/>
      <c r="C27" s="23" t="s">
        <v>179</v>
      </c>
      <c r="D27" s="26">
        <v>250</v>
      </c>
      <c r="E27" s="28">
        <v>250</v>
      </c>
      <c r="F27" s="28">
        <f t="shared" si="4"/>
        <v>100</v>
      </c>
      <c r="G27" s="32">
        <v>77</v>
      </c>
      <c r="H27" s="28">
        <v>77</v>
      </c>
      <c r="I27" s="28">
        <f t="shared" si="5"/>
        <v>100</v>
      </c>
      <c r="J27" s="28">
        <f t="shared" si="6"/>
        <v>-173</v>
      </c>
      <c r="K27" s="28">
        <f t="shared" si="7"/>
        <v>-69.199999999999989</v>
      </c>
    </row>
    <row r="28" spans="2:11" ht="15.75" thickBot="1" x14ac:dyDescent="0.3">
      <c r="B28" s="293" t="s">
        <v>81</v>
      </c>
      <c r="C28" s="294"/>
      <c r="D28" s="27">
        <f>SUM(D16:D27)</f>
        <v>16129</v>
      </c>
      <c r="E28" s="29">
        <f>SUM(E16:E27)</f>
        <v>12385.5</v>
      </c>
      <c r="F28" s="29">
        <f t="shared" si="4"/>
        <v>76.790253580507155</v>
      </c>
      <c r="G28" s="27">
        <f>SUM(G16:G27)</f>
        <v>12206</v>
      </c>
      <c r="H28" s="29">
        <f>SUM(H16:H27)</f>
        <v>11052.931892000001</v>
      </c>
      <c r="I28" s="29">
        <f t="shared" si="5"/>
        <v>90.553267999344584</v>
      </c>
      <c r="J28" s="29">
        <f t="shared" si="6"/>
        <v>-1332.5681079999995</v>
      </c>
      <c r="K28" s="29">
        <f t="shared" si="7"/>
        <v>-10.759098203544463</v>
      </c>
    </row>
    <row r="30" spans="2:11" x14ac:dyDescent="0.25">
      <c r="H30" s="2"/>
    </row>
    <row r="32" spans="2:11" ht="18.75" x14ac:dyDescent="0.3">
      <c r="B32" s="284" t="s">
        <v>201</v>
      </c>
      <c r="C32" s="284"/>
      <c r="D32" s="2">
        <f>D9+D28</f>
        <v>45649</v>
      </c>
      <c r="E32" s="2">
        <f>E9+E28</f>
        <v>42394.7</v>
      </c>
      <c r="F32" s="33">
        <f>E32/D32*100</f>
        <v>92.871037700716329</v>
      </c>
      <c r="G32" s="2">
        <f>G9+G28</f>
        <v>45671</v>
      </c>
      <c r="H32" s="2">
        <f>H9+H28</f>
        <v>45472.059772000001</v>
      </c>
      <c r="I32" s="33">
        <f>H32/G32*100</f>
        <v>99.564405797989977</v>
      </c>
      <c r="J32" s="2">
        <f>H32-E32</f>
        <v>3077.3597720000034</v>
      </c>
      <c r="K32" s="33">
        <f>J32/E32*100</f>
        <v>7.2588313444841068</v>
      </c>
    </row>
    <row r="33" spans="5:8" x14ac:dyDescent="0.25">
      <c r="E33" s="285" t="s">
        <v>202</v>
      </c>
      <c r="F33" s="285"/>
      <c r="G33" s="285"/>
      <c r="H33" s="33">
        <f>H9/H32*100</f>
        <v>75.692915721389895</v>
      </c>
    </row>
  </sheetData>
  <sheetProtection algorithmName="SHA-512" hashValue="SutDEM8s9vzs478CJ4dWG5zYJjLsmzAdvQaJa4rHaxo++4POsSdUAsQmE7SyQrjWCjpP4rUOSB103mAch/suQw==" saltValue="BQf0QKaSklZh9IGt7vNXzw==" spinCount="100000" sheet="1" objects="1" scenarios="1"/>
  <mergeCells count="15">
    <mergeCell ref="B32:C32"/>
    <mergeCell ref="E33:G33"/>
    <mergeCell ref="B2:K2"/>
    <mergeCell ref="C4:C5"/>
    <mergeCell ref="B12:K12"/>
    <mergeCell ref="J14:J15"/>
    <mergeCell ref="K14:K15"/>
    <mergeCell ref="C14:C15"/>
    <mergeCell ref="B14:B15"/>
    <mergeCell ref="B17:B18"/>
    <mergeCell ref="B19:B21"/>
    <mergeCell ref="B26:B27"/>
    <mergeCell ref="B28:C28"/>
    <mergeCell ref="D14:F14"/>
    <mergeCell ref="G14:I14"/>
  </mergeCells>
  <phoneticPr fontId="16" type="noConversion"/>
  <pageMargins left="0.70866141732283472" right="0.70866141732283472" top="0.74803149606299213" bottom="0.74803149606299213" header="0.31496062992125984" footer="0.31496062992125984"/>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4BAF-EF98-42BF-9B6B-1B40C57059F2}">
  <dimension ref="A2:I19"/>
  <sheetViews>
    <sheetView workbookViewId="0">
      <selection activeCell="K18" sqref="K18"/>
    </sheetView>
  </sheetViews>
  <sheetFormatPr baseColWidth="10" defaultRowHeight="15" x14ac:dyDescent="0.25"/>
  <cols>
    <col min="3" max="3" width="13.28515625" customWidth="1"/>
    <col min="4" max="4" width="16.28515625" customWidth="1"/>
    <col min="5" max="5" width="14.28515625" customWidth="1"/>
    <col min="6" max="6" width="17.28515625" customWidth="1"/>
    <col min="7" max="7" width="12.5703125" customWidth="1"/>
    <col min="8" max="8" width="16.85546875" customWidth="1"/>
  </cols>
  <sheetData>
    <row r="2" spans="1:9" ht="16.5" x14ac:dyDescent="0.25">
      <c r="B2" s="298" t="s">
        <v>223</v>
      </c>
      <c r="C2" s="298"/>
      <c r="D2" s="298"/>
      <c r="E2" s="298"/>
      <c r="F2" s="298"/>
      <c r="G2" s="298"/>
      <c r="H2" s="298"/>
    </row>
    <row r="3" spans="1:9" ht="17.25" thickBot="1" x14ac:dyDescent="0.3">
      <c r="A3" s="56"/>
      <c r="B3" s="128"/>
      <c r="C3" s="129"/>
      <c r="D3" s="129"/>
      <c r="E3" s="129"/>
      <c r="F3" s="129"/>
      <c r="G3" s="129"/>
      <c r="H3" s="129"/>
      <c r="I3" s="56"/>
    </row>
    <row r="4" spans="1:9" ht="15.75" thickBot="1" x14ac:dyDescent="0.3">
      <c r="B4" s="299" t="s">
        <v>217</v>
      </c>
      <c r="C4" s="301" t="s">
        <v>218</v>
      </c>
      <c r="D4" s="302"/>
      <c r="E4" s="304"/>
      <c r="F4" s="301" t="s">
        <v>219</v>
      </c>
      <c r="G4" s="302"/>
      <c r="H4" s="304"/>
    </row>
    <row r="5" spans="1:9" ht="29.25" thickBot="1" x14ac:dyDescent="0.3">
      <c r="B5" s="300"/>
      <c r="C5" s="127" t="s">
        <v>220</v>
      </c>
      <c r="D5" s="127" t="s">
        <v>221</v>
      </c>
      <c r="E5" s="127" t="s">
        <v>222</v>
      </c>
      <c r="F5" s="127" t="s">
        <v>220</v>
      </c>
      <c r="G5" s="127" t="s">
        <v>221</v>
      </c>
      <c r="H5" s="127" t="s">
        <v>222</v>
      </c>
    </row>
    <row r="6" spans="1:9" ht="15.75" thickBot="1" x14ac:dyDescent="0.3">
      <c r="B6" s="123">
        <v>2017</v>
      </c>
      <c r="C6" s="124">
        <v>286600</v>
      </c>
      <c r="D6" s="125">
        <v>197100</v>
      </c>
      <c r="E6" s="125">
        <f>C6-D6</f>
        <v>89500</v>
      </c>
      <c r="F6" s="126">
        <v>314100</v>
      </c>
      <c r="G6" s="124">
        <v>291500</v>
      </c>
      <c r="H6" s="125">
        <f>F6-G6</f>
        <v>22600</v>
      </c>
    </row>
    <row r="7" spans="1:9" ht="15.75" thickBot="1" x14ac:dyDescent="0.3">
      <c r="B7" s="123">
        <v>2018</v>
      </c>
      <c r="C7" s="124">
        <v>303400</v>
      </c>
      <c r="D7" s="125">
        <v>189400</v>
      </c>
      <c r="E7" s="125">
        <f t="shared" ref="E7:E8" si="0">C7-D7</f>
        <v>114000</v>
      </c>
      <c r="F7" s="126">
        <v>345300</v>
      </c>
      <c r="G7" s="124">
        <v>322700</v>
      </c>
      <c r="H7" s="125">
        <f t="shared" ref="H7:H8" si="1">F7-G7</f>
        <v>22600</v>
      </c>
    </row>
    <row r="8" spans="1:9" ht="15.75" thickBot="1" x14ac:dyDescent="0.3">
      <c r="B8" s="123">
        <v>2019</v>
      </c>
      <c r="C8" s="124">
        <v>277900</v>
      </c>
      <c r="D8" s="125">
        <v>153000</v>
      </c>
      <c r="E8" s="125">
        <f t="shared" si="0"/>
        <v>124900</v>
      </c>
      <c r="F8" s="126">
        <v>386000</v>
      </c>
      <c r="G8" s="124">
        <v>325600</v>
      </c>
      <c r="H8" s="125">
        <f t="shared" si="1"/>
        <v>60400</v>
      </c>
    </row>
    <row r="9" spans="1:9" ht="15.75" x14ac:dyDescent="0.25">
      <c r="B9" s="130" t="s">
        <v>226</v>
      </c>
    </row>
    <row r="12" spans="1:9" ht="16.5" x14ac:dyDescent="0.25">
      <c r="B12" s="298" t="s">
        <v>227</v>
      </c>
      <c r="C12" s="298"/>
      <c r="D12" s="298"/>
      <c r="E12" s="298"/>
      <c r="F12" s="298"/>
      <c r="G12" s="298"/>
      <c r="H12" s="298"/>
    </row>
    <row r="13" spans="1:9" ht="15.75" thickBot="1" x14ac:dyDescent="0.3"/>
    <row r="14" spans="1:9" ht="15.75" thickBot="1" x14ac:dyDescent="0.3">
      <c r="B14" s="299" t="s">
        <v>217</v>
      </c>
      <c r="C14" s="301" t="s">
        <v>218</v>
      </c>
      <c r="D14" s="302"/>
      <c r="E14" s="301" t="s">
        <v>219</v>
      </c>
      <c r="F14" s="303"/>
    </row>
    <row r="15" spans="1:9" ht="43.5" thickBot="1" x14ac:dyDescent="0.3">
      <c r="B15" s="300"/>
      <c r="C15" s="127" t="s">
        <v>224</v>
      </c>
      <c r="D15" s="127" t="s">
        <v>225</v>
      </c>
      <c r="E15" s="127" t="s">
        <v>224</v>
      </c>
      <c r="F15" s="127" t="s">
        <v>225</v>
      </c>
    </row>
    <row r="16" spans="1:9" ht="15.75" thickBot="1" x14ac:dyDescent="0.3">
      <c r="B16" s="123">
        <v>2017</v>
      </c>
      <c r="C16" s="124">
        <v>74500</v>
      </c>
      <c r="D16" s="125">
        <v>39000</v>
      </c>
      <c r="E16" s="126">
        <v>7900</v>
      </c>
      <c r="F16" s="125">
        <v>128200</v>
      </c>
    </row>
    <row r="17" spans="2:6" ht="15.75" thickBot="1" x14ac:dyDescent="0.3">
      <c r="B17" s="123">
        <v>2018</v>
      </c>
      <c r="C17" s="124">
        <v>75400</v>
      </c>
      <c r="D17" s="125">
        <v>77100</v>
      </c>
      <c r="E17" s="126">
        <v>8300</v>
      </c>
      <c r="F17" s="124">
        <v>139800</v>
      </c>
    </row>
    <row r="18" spans="2:6" ht="15.75" thickBot="1" x14ac:dyDescent="0.3">
      <c r="B18" s="123">
        <v>2019</v>
      </c>
      <c r="C18" s="124">
        <v>86200</v>
      </c>
      <c r="D18" s="125">
        <v>104700</v>
      </c>
      <c r="E18" s="126">
        <v>10700</v>
      </c>
      <c r="F18" s="124">
        <v>139700</v>
      </c>
    </row>
    <row r="19" spans="2:6" ht="15.75" x14ac:dyDescent="0.25">
      <c r="B19" s="130" t="s">
        <v>226</v>
      </c>
    </row>
  </sheetData>
  <sheetProtection algorithmName="SHA-512" hashValue="oNqY9v7Fopx5khJtAgpoyFjnHkW1eutXp+75yM7nF3/04zQb1KeErdmn/ei4/cNbI9dfUnB6p5NC3RmhFZAoeg==" saltValue="5zXIr9JNsmY2PGb9+nraIw==" spinCount="100000" sheet="1" objects="1" scenarios="1"/>
  <mergeCells count="8">
    <mergeCell ref="B2:H2"/>
    <mergeCell ref="B14:B15"/>
    <mergeCell ref="C14:D14"/>
    <mergeCell ref="E14:F14"/>
    <mergeCell ref="B12:H12"/>
    <mergeCell ref="B4:B5"/>
    <mergeCell ref="C4:E4"/>
    <mergeCell ref="F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FC-C79A-48D7-BB82-BFBD03CD96EA}">
  <dimension ref="A2:I32"/>
  <sheetViews>
    <sheetView showGridLines="0" workbookViewId="0">
      <selection activeCell="P13" sqref="P13"/>
    </sheetView>
  </sheetViews>
  <sheetFormatPr baseColWidth="10" defaultRowHeight="15" x14ac:dyDescent="0.25"/>
  <cols>
    <col min="1" max="1" width="30" customWidth="1"/>
    <col min="9" max="9" width="16.7109375" customWidth="1"/>
  </cols>
  <sheetData>
    <row r="2" spans="1:9" ht="16.5" x14ac:dyDescent="0.25">
      <c r="A2" s="240" t="s">
        <v>190</v>
      </c>
      <c r="B2" s="240"/>
      <c r="C2" s="240"/>
      <c r="D2" s="240"/>
      <c r="E2" s="240"/>
      <c r="F2" s="240"/>
      <c r="G2" s="240"/>
      <c r="H2" s="240"/>
      <c r="I2" s="240"/>
    </row>
    <row r="3" spans="1:9" ht="15.75" thickBot="1" x14ac:dyDescent="0.3"/>
    <row r="4" spans="1:9" x14ac:dyDescent="0.25">
      <c r="A4" s="242" t="s">
        <v>139</v>
      </c>
      <c r="B4" s="242">
        <v>2016</v>
      </c>
      <c r="C4" s="242">
        <v>2017</v>
      </c>
      <c r="D4" s="242">
        <v>2018</v>
      </c>
      <c r="E4" s="245">
        <v>2019</v>
      </c>
      <c r="F4" s="246"/>
      <c r="G4" s="247"/>
      <c r="H4" s="11" t="s">
        <v>45</v>
      </c>
      <c r="I4" s="242" t="s">
        <v>141</v>
      </c>
    </row>
    <row r="5" spans="1:9" ht="15.75" thickBot="1" x14ac:dyDescent="0.3">
      <c r="A5" s="243"/>
      <c r="B5" s="243"/>
      <c r="C5" s="243"/>
      <c r="D5" s="243"/>
      <c r="E5" s="248"/>
      <c r="F5" s="249"/>
      <c r="G5" s="250"/>
      <c r="H5" s="12"/>
      <c r="I5" s="243"/>
    </row>
    <row r="6" spans="1:9" ht="40.5" customHeight="1" thickBot="1" x14ac:dyDescent="0.3">
      <c r="A6" s="244"/>
      <c r="B6" s="244"/>
      <c r="C6" s="244"/>
      <c r="D6" s="244"/>
      <c r="E6" s="14" t="s">
        <v>142</v>
      </c>
      <c r="F6" s="14" t="s">
        <v>143</v>
      </c>
      <c r="G6" s="14" t="s">
        <v>144</v>
      </c>
      <c r="H6" s="13" t="s">
        <v>140</v>
      </c>
      <c r="I6" s="244"/>
    </row>
    <row r="7" spans="1:9" ht="20.25" customHeight="1" thickBot="1" x14ac:dyDescent="0.3">
      <c r="A7" s="7" t="s">
        <v>145</v>
      </c>
      <c r="B7" s="15">
        <v>3.3</v>
      </c>
      <c r="C7" s="15">
        <v>5.7</v>
      </c>
      <c r="D7" s="15">
        <v>6.7</v>
      </c>
      <c r="E7" s="15">
        <v>7.6</v>
      </c>
      <c r="F7" s="15">
        <v>7.6</v>
      </c>
      <c r="G7" s="15">
        <v>6.9</v>
      </c>
      <c r="H7" s="16">
        <f>G7-E7</f>
        <v>-0.69999999999999929</v>
      </c>
      <c r="I7" s="20" t="s">
        <v>189</v>
      </c>
    </row>
    <row r="8" spans="1:9" ht="13.5" customHeight="1" thickBot="1" x14ac:dyDescent="0.3">
      <c r="A8" s="17" t="s">
        <v>146</v>
      </c>
      <c r="B8" s="18">
        <v>9</v>
      </c>
      <c r="C8" s="18">
        <v>7.6</v>
      </c>
      <c r="D8" s="18">
        <v>7.3</v>
      </c>
      <c r="E8" s="18">
        <v>5.7</v>
      </c>
      <c r="F8" s="18">
        <v>7.4</v>
      </c>
      <c r="G8" s="18">
        <v>5.2</v>
      </c>
      <c r="H8" s="16">
        <f t="shared" ref="H8:H19" si="0">G8-E8</f>
        <v>-0.5</v>
      </c>
      <c r="I8" s="20" t="s">
        <v>189</v>
      </c>
    </row>
    <row r="9" spans="1:9" ht="15.75" customHeight="1" thickBot="1" x14ac:dyDescent="0.3">
      <c r="A9" s="17" t="s">
        <v>147</v>
      </c>
      <c r="B9" s="18">
        <v>0.9</v>
      </c>
      <c r="C9" s="18">
        <v>0.5</v>
      </c>
      <c r="D9" s="18">
        <v>4.8</v>
      </c>
      <c r="E9" s="18">
        <v>13.3</v>
      </c>
      <c r="F9" s="18">
        <v>8.5</v>
      </c>
      <c r="G9" s="18">
        <v>13.6</v>
      </c>
      <c r="H9" s="16">
        <f t="shared" si="0"/>
        <v>0.29999999999999893</v>
      </c>
      <c r="I9" s="20" t="s">
        <v>150</v>
      </c>
    </row>
    <row r="10" spans="1:9" ht="17.25" customHeight="1" thickBot="1" x14ac:dyDescent="0.3">
      <c r="A10" s="17" t="s">
        <v>148</v>
      </c>
      <c r="B10" s="18">
        <v>1.9</v>
      </c>
      <c r="C10" s="18">
        <v>5.5</v>
      </c>
      <c r="D10" s="18">
        <v>5.7</v>
      </c>
      <c r="E10" s="18">
        <v>5.5</v>
      </c>
      <c r="F10" s="18">
        <v>7</v>
      </c>
      <c r="G10" s="18">
        <v>5.2</v>
      </c>
      <c r="H10" s="16">
        <f t="shared" si="0"/>
        <v>-0.29999999999999982</v>
      </c>
      <c r="I10" s="20" t="s">
        <v>189</v>
      </c>
    </row>
    <row r="11" spans="1:9" ht="18" customHeight="1" thickBot="1" x14ac:dyDescent="0.3">
      <c r="A11" s="7" t="s">
        <v>149</v>
      </c>
      <c r="B11" s="19">
        <v>-0.8</v>
      </c>
      <c r="C11" s="19">
        <v>1.8</v>
      </c>
      <c r="D11" s="19">
        <v>0.8</v>
      </c>
      <c r="E11" s="19">
        <v>2</v>
      </c>
      <c r="F11" s="19">
        <v>2</v>
      </c>
      <c r="G11" s="19">
        <v>-0.9</v>
      </c>
      <c r="H11" s="16">
        <f t="shared" si="0"/>
        <v>-2.9</v>
      </c>
      <c r="I11" s="20" t="s">
        <v>150</v>
      </c>
    </row>
    <row r="12" spans="1:9" ht="26.25" customHeight="1" thickBot="1" x14ac:dyDescent="0.3">
      <c r="A12" s="7" t="s">
        <v>151</v>
      </c>
      <c r="B12" s="19">
        <v>-4.4000000000000004</v>
      </c>
      <c r="C12" s="19">
        <v>-5.5</v>
      </c>
      <c r="D12" s="19">
        <v>-5.8</v>
      </c>
      <c r="E12" s="19">
        <v>-10.5</v>
      </c>
      <c r="F12" s="19">
        <v>-10.199999999999999</v>
      </c>
      <c r="G12" s="19">
        <v>-5.2</v>
      </c>
      <c r="H12" s="16">
        <f t="shared" si="0"/>
        <v>5.3</v>
      </c>
      <c r="I12" s="20" t="s">
        <v>150</v>
      </c>
    </row>
    <row r="13" spans="1:9" ht="32.25" customHeight="1" thickBot="1" x14ac:dyDescent="0.3">
      <c r="A13" s="7" t="s">
        <v>152</v>
      </c>
      <c r="B13" s="19">
        <v>-3</v>
      </c>
      <c r="C13" s="19">
        <v>-4.2</v>
      </c>
      <c r="D13" s="19">
        <v>-4.5999999999999996</v>
      </c>
      <c r="E13" s="19">
        <v>-9.3000000000000007</v>
      </c>
      <c r="F13" s="19">
        <v>-9</v>
      </c>
      <c r="G13" s="19">
        <v>-4.3</v>
      </c>
      <c r="H13" s="16">
        <f t="shared" si="0"/>
        <v>5.0000000000000009</v>
      </c>
      <c r="I13" s="20" t="s">
        <v>150</v>
      </c>
    </row>
    <row r="14" spans="1:9" ht="15.75" customHeight="1" thickBot="1" x14ac:dyDescent="0.3">
      <c r="A14" s="7" t="s">
        <v>153</v>
      </c>
      <c r="B14" s="19">
        <v>-2.2999999999999998</v>
      </c>
      <c r="C14" s="19">
        <v>-1.6</v>
      </c>
      <c r="D14" s="19">
        <v>2.5</v>
      </c>
      <c r="E14" s="19">
        <v>-0.4</v>
      </c>
      <c r="F14" s="19">
        <v>3.6</v>
      </c>
      <c r="G14" s="19">
        <v>0.5</v>
      </c>
      <c r="H14" s="16">
        <f t="shared" si="0"/>
        <v>0.9</v>
      </c>
      <c r="I14" s="20" t="s">
        <v>150</v>
      </c>
    </row>
    <row r="15" spans="1:9" ht="13.5" customHeight="1" thickBot="1" x14ac:dyDescent="0.3">
      <c r="A15" s="7" t="s">
        <v>154</v>
      </c>
      <c r="B15" s="19">
        <v>20.3</v>
      </c>
      <c r="C15" s="19">
        <v>24</v>
      </c>
      <c r="D15" s="19">
        <v>26.4</v>
      </c>
      <c r="E15" s="19">
        <v>29.2</v>
      </c>
      <c r="F15" s="19">
        <v>29.6</v>
      </c>
      <c r="G15" s="19">
        <v>25.6</v>
      </c>
      <c r="H15" s="16">
        <f t="shared" si="0"/>
        <v>-3.5999999999999979</v>
      </c>
      <c r="I15" s="20" t="s">
        <v>189</v>
      </c>
    </row>
    <row r="16" spans="1:9" ht="17.25" customHeight="1" thickBot="1" x14ac:dyDescent="0.3">
      <c r="A16" s="17" t="s">
        <v>155</v>
      </c>
      <c r="B16" s="18">
        <v>4.3</v>
      </c>
      <c r="C16" s="18">
        <v>6.7</v>
      </c>
      <c r="D16" s="18">
        <v>5.6</v>
      </c>
      <c r="E16" s="18">
        <v>7.1</v>
      </c>
      <c r="F16" s="19">
        <v>7.1</v>
      </c>
      <c r="G16" s="18">
        <v>3.9</v>
      </c>
      <c r="H16" s="16">
        <f t="shared" si="0"/>
        <v>-3.1999999999999997</v>
      </c>
      <c r="I16" s="20" t="s">
        <v>189</v>
      </c>
    </row>
    <row r="17" spans="1:9" ht="24" customHeight="1" thickBot="1" x14ac:dyDescent="0.3">
      <c r="A17" s="7" t="s">
        <v>156</v>
      </c>
      <c r="B17" s="19">
        <v>35.9</v>
      </c>
      <c r="C17" s="19">
        <v>39.700000000000003</v>
      </c>
      <c r="D17" s="19">
        <v>41.1</v>
      </c>
      <c r="E17" s="19">
        <v>54.1</v>
      </c>
      <c r="F17" s="19">
        <v>53.6</v>
      </c>
      <c r="G17" s="19">
        <v>41.2</v>
      </c>
      <c r="H17" s="16">
        <f t="shared" si="0"/>
        <v>-12.899999999999999</v>
      </c>
      <c r="I17" s="20" t="s">
        <v>150</v>
      </c>
    </row>
    <row r="18" spans="1:9" ht="45" customHeight="1" thickBot="1" x14ac:dyDescent="0.3">
      <c r="A18" s="7" t="s">
        <v>157</v>
      </c>
      <c r="B18" s="19">
        <v>-4.4000000000000004</v>
      </c>
      <c r="C18" s="19">
        <v>-4.3</v>
      </c>
      <c r="D18" s="19">
        <v>-2.9</v>
      </c>
      <c r="E18" s="19">
        <v>-2.7</v>
      </c>
      <c r="F18" s="19">
        <v>-2.7</v>
      </c>
      <c r="G18" s="19">
        <v>-0.5</v>
      </c>
      <c r="H18" s="16">
        <f t="shared" si="0"/>
        <v>2.2000000000000002</v>
      </c>
      <c r="I18" s="20" t="s">
        <v>150</v>
      </c>
    </row>
    <row r="19" spans="1:9" ht="16.5" customHeight="1" thickBot="1" x14ac:dyDescent="0.3">
      <c r="A19" s="7" t="s">
        <v>158</v>
      </c>
      <c r="B19" s="19">
        <v>9.1999999999999993</v>
      </c>
      <c r="C19" s="19">
        <v>9.6999999999999993</v>
      </c>
      <c r="D19" s="19">
        <v>10.3</v>
      </c>
      <c r="E19" s="19">
        <v>14.5</v>
      </c>
      <c r="F19" s="19">
        <v>14.5</v>
      </c>
      <c r="G19" s="19">
        <v>10.6</v>
      </c>
      <c r="H19" s="16">
        <f t="shared" si="0"/>
        <v>-3.9000000000000004</v>
      </c>
      <c r="I19" s="20" t="s">
        <v>150</v>
      </c>
    </row>
    <row r="22" spans="1:9" x14ac:dyDescent="0.25">
      <c r="A22" s="21" t="s">
        <v>159</v>
      </c>
    </row>
    <row r="24" spans="1:9" x14ac:dyDescent="0.25">
      <c r="A24" s="21" t="s">
        <v>160</v>
      </c>
    </row>
    <row r="26" spans="1:9" x14ac:dyDescent="0.25">
      <c r="A26" s="21" t="s">
        <v>161</v>
      </c>
    </row>
    <row r="28" spans="1:9" x14ac:dyDescent="0.25">
      <c r="A28" s="241" t="s">
        <v>162</v>
      </c>
      <c r="B28" s="241"/>
      <c r="C28" s="241"/>
      <c r="D28" s="241"/>
      <c r="E28" s="241"/>
      <c r="F28" s="241"/>
      <c r="G28" s="241"/>
      <c r="H28" s="241"/>
      <c r="I28" s="241"/>
    </row>
    <row r="30" spans="1:9" x14ac:dyDescent="0.25">
      <c r="A30" s="21" t="s">
        <v>188</v>
      </c>
    </row>
    <row r="32" spans="1:9" x14ac:dyDescent="0.25">
      <c r="A32" s="21"/>
    </row>
  </sheetData>
  <sheetProtection algorithmName="SHA-512" hashValue="WVxTo4Nd1ax8350E0ulWBBSOvszL+5Dxk/KbYeGT5DpiRviqC2foeAGBT3kKD9GR2ly4N7Ej4lN10HWYE/hxtw==" saltValue="F69Fa8WkUw0JMdYsSN+beg==" spinCount="100000" sheet="1" objects="1" scenarios="1"/>
  <mergeCells count="8">
    <mergeCell ref="A2:I2"/>
    <mergeCell ref="A28:I28"/>
    <mergeCell ref="A4:A6"/>
    <mergeCell ref="B4:B6"/>
    <mergeCell ref="C4:C6"/>
    <mergeCell ref="D4:D6"/>
    <mergeCell ref="E4:G5"/>
    <mergeCell ref="I4:I6"/>
  </mergeCells>
  <hyperlinks>
    <hyperlink ref="E6" location="_ftn1" display="_ftn1" xr:uid="{1320FA23-7F61-4BB6-A3D9-70CB4D094414}"/>
    <hyperlink ref="F6" location="_ftn2" display="_ftn2" xr:uid="{395A763A-8982-4A80-89D8-E9E5AABC8626}"/>
    <hyperlink ref="G6" location="_ftn3" display="_ftn3" xr:uid="{682C7667-CC7B-4507-A9E6-C0D0B547BD6B}"/>
    <hyperlink ref="A22" location="_ftnref1" display="_ftnref1" xr:uid="{E4412726-33B2-4DD0-B3C8-A8BD1594B1DA}"/>
    <hyperlink ref="A24" r:id="rId1" display="https://budgetbenin.bj/wp-content/uploads/2019/01/Annexe-au-DPBEP-2019-2021.pdf" xr:uid="{3BFFFB1D-BB79-4864-9EFD-E6ED0F46F266}"/>
    <hyperlink ref="A26" location="_ftnref2" display="_ftnref2" xr:uid="{8CE8DF75-7061-4552-B363-7A3744B59676}"/>
    <hyperlink ref="A28" r:id="rId2" display="https://budgetbenin.bj/wp-content/uploads/2018/12/ANNEXES_DPBEP_2020-2022-_20_06_19_Final_01h08.pdf" xr:uid="{5A2B8FAE-D801-4B7B-A4BD-395E2262E9AC}"/>
    <hyperlink ref="A30" location="'Agrégats macroéconomiques'!_ftnref3" display="[3] Document de Programmation Budgétaire et Economique Pluriannuelle (DPBEP) 2021-2023 (Annexe), mai 2020" xr:uid="{A97E9D3A-BB59-40E1-992E-2729E1D7FF18}"/>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T27"/>
  <sheetViews>
    <sheetView showGridLines="0" workbookViewId="0">
      <selection activeCell="C2" sqref="C2:K2"/>
    </sheetView>
  </sheetViews>
  <sheetFormatPr baseColWidth="10" defaultRowHeight="15" x14ac:dyDescent="0.25"/>
  <cols>
    <col min="2" max="2" width="1.85546875" customWidth="1"/>
    <col min="3" max="3" width="22" customWidth="1"/>
    <col min="11" max="11" width="15.85546875" customWidth="1"/>
    <col min="15" max="15" width="24.5703125" customWidth="1"/>
    <col min="18" max="18" width="19.7109375" customWidth="1"/>
    <col min="19" max="19" width="19.42578125" customWidth="1"/>
  </cols>
  <sheetData>
    <row r="2" spans="3:20" ht="16.5" x14ac:dyDescent="0.25">
      <c r="C2" s="240" t="s">
        <v>191</v>
      </c>
      <c r="D2" s="240"/>
      <c r="E2" s="240"/>
      <c r="F2" s="240"/>
      <c r="G2" s="240"/>
      <c r="H2" s="240"/>
      <c r="I2" s="240"/>
      <c r="J2" s="240"/>
      <c r="K2" s="240"/>
    </row>
    <row r="3" spans="3:20" ht="15.75" thickBot="1" x14ac:dyDescent="0.3"/>
    <row r="4" spans="3:20" ht="16.5" thickTop="1" thickBot="1" x14ac:dyDescent="0.3">
      <c r="C4" s="254" t="s">
        <v>1</v>
      </c>
      <c r="D4" s="256">
        <v>2018</v>
      </c>
      <c r="E4" s="257"/>
      <c r="F4" s="258"/>
      <c r="G4" s="259">
        <v>2019</v>
      </c>
      <c r="H4" s="260"/>
      <c r="I4" s="261"/>
      <c r="J4" s="262" t="s">
        <v>2</v>
      </c>
      <c r="K4" s="254" t="s">
        <v>3</v>
      </c>
    </row>
    <row r="5" spans="3:20" ht="16.5" thickTop="1" thickBot="1" x14ac:dyDescent="0.3">
      <c r="C5" s="255"/>
      <c r="D5" s="41" t="s">
        <v>0</v>
      </c>
      <c r="E5" s="42" t="s">
        <v>4</v>
      </c>
      <c r="F5" s="42" t="s">
        <v>5</v>
      </c>
      <c r="G5" s="43" t="s">
        <v>0</v>
      </c>
      <c r="H5" s="43" t="s">
        <v>4</v>
      </c>
      <c r="I5" s="44" t="s">
        <v>5</v>
      </c>
      <c r="J5" s="263"/>
      <c r="K5" s="255"/>
    </row>
    <row r="6" spans="3:20" ht="16.5" thickTop="1" thickBot="1" x14ac:dyDescent="0.3">
      <c r="C6" s="251" t="s">
        <v>6</v>
      </c>
      <c r="D6" s="252"/>
      <c r="E6" s="252"/>
      <c r="F6" s="252"/>
      <c r="G6" s="252"/>
      <c r="H6" s="252"/>
      <c r="I6" s="252"/>
      <c r="J6" s="252"/>
      <c r="K6" s="253"/>
    </row>
    <row r="7" spans="3:20" ht="16.5" thickTop="1" thickBot="1" x14ac:dyDescent="0.3">
      <c r="C7" s="45" t="s">
        <v>7</v>
      </c>
      <c r="D7" s="46">
        <f>D8+D13</f>
        <v>400500</v>
      </c>
      <c r="E7" s="47">
        <f>E8+E13</f>
        <v>378869.3</v>
      </c>
      <c r="F7" s="39">
        <f t="shared" ref="F7:F11" si="0">E7*100/D7</f>
        <v>94.599076154806497</v>
      </c>
      <c r="G7" s="46">
        <f>G8+G13</f>
        <v>436500</v>
      </c>
      <c r="H7" s="47">
        <f>H8+H13</f>
        <v>384270</v>
      </c>
      <c r="I7" s="39">
        <f>H7*100/G7</f>
        <v>88.034364261168392</v>
      </c>
      <c r="J7" s="48">
        <f>H7-E7</f>
        <v>5400.7000000000116</v>
      </c>
      <c r="K7" s="39">
        <f>J7*100/E7</f>
        <v>1.4254783905689936</v>
      </c>
    </row>
    <row r="8" spans="3:20" ht="16.5" thickTop="1" thickBot="1" x14ac:dyDescent="0.3">
      <c r="C8" s="45" t="s">
        <v>8</v>
      </c>
      <c r="D8" s="46">
        <f>D9+D10+D11+D12</f>
        <v>397000</v>
      </c>
      <c r="E8" s="47">
        <f>E9+E10+E11+E12</f>
        <v>374331.3</v>
      </c>
      <c r="F8" s="39">
        <f t="shared" si="0"/>
        <v>94.29</v>
      </c>
      <c r="G8" s="46">
        <f>G9+G10+G11+G12</f>
        <v>433000</v>
      </c>
      <c r="H8" s="47">
        <f>H9+H10+H11+H12</f>
        <v>380466</v>
      </c>
      <c r="I8" s="39">
        <f>H8*100/G8</f>
        <v>87.867436489607385</v>
      </c>
      <c r="J8" s="48">
        <f>H8-E8</f>
        <v>6134.7000000000116</v>
      </c>
      <c r="K8" s="49">
        <f>J8*100/E8</f>
        <v>1.6388423837386861</v>
      </c>
    </row>
    <row r="9" spans="3:20" ht="42.75" customHeight="1" thickTop="1" thickBot="1" x14ac:dyDescent="0.3">
      <c r="C9" s="45" t="s">
        <v>9</v>
      </c>
      <c r="D9" s="46">
        <v>157930</v>
      </c>
      <c r="E9" s="47">
        <v>168850.3</v>
      </c>
      <c r="F9" s="39">
        <f t="shared" si="0"/>
        <v>106.91464572912049</v>
      </c>
      <c r="G9" s="46">
        <v>187530</v>
      </c>
      <c r="H9" s="47">
        <v>172942</v>
      </c>
      <c r="I9" s="39">
        <f t="shared" ref="I9:I13" si="1">H9*100/G9</f>
        <v>92.220977976857043</v>
      </c>
      <c r="J9" s="48">
        <f t="shared" ref="J9:J13" si="2">H9-E9</f>
        <v>4091.7000000000116</v>
      </c>
      <c r="K9" s="49">
        <f t="shared" ref="K9:K13" si="3">J9*100/E9</f>
        <v>2.4232707907537101</v>
      </c>
    </row>
    <row r="10" spans="3:20" ht="24.75" customHeight="1" thickTop="1" thickBot="1" x14ac:dyDescent="0.3">
      <c r="C10" s="45" t="s">
        <v>70</v>
      </c>
      <c r="D10" s="46">
        <v>180551</v>
      </c>
      <c r="E10" s="47">
        <v>167639</v>
      </c>
      <c r="F10" s="39">
        <f t="shared" si="0"/>
        <v>92.848558025156322</v>
      </c>
      <c r="G10" s="46">
        <v>201109</v>
      </c>
      <c r="H10" s="47">
        <v>162883</v>
      </c>
      <c r="I10" s="39">
        <f t="shared" si="1"/>
        <v>80.992397157760223</v>
      </c>
      <c r="J10" s="48">
        <f>H10-E10</f>
        <v>-4756</v>
      </c>
      <c r="K10" s="49">
        <f t="shared" si="3"/>
        <v>-2.8370486581284786</v>
      </c>
    </row>
    <row r="11" spans="3:20" ht="22.5" thickTop="1" thickBot="1" x14ac:dyDescent="0.3">
      <c r="C11" s="45" t="s">
        <v>69</v>
      </c>
      <c r="D11" s="46">
        <v>13254</v>
      </c>
      <c r="E11" s="47">
        <v>11207</v>
      </c>
      <c r="F11" s="39">
        <f t="shared" si="0"/>
        <v>84.555605854836273</v>
      </c>
      <c r="G11" s="46">
        <v>10925</v>
      </c>
      <c r="H11" s="47">
        <v>12649</v>
      </c>
      <c r="I11" s="39">
        <f t="shared" si="1"/>
        <v>115.78032036613273</v>
      </c>
      <c r="J11" s="48">
        <f t="shared" si="2"/>
        <v>1442</v>
      </c>
      <c r="K11" s="49">
        <f t="shared" si="3"/>
        <v>12.866958151155528</v>
      </c>
    </row>
    <row r="12" spans="3:20" ht="77.25" customHeight="1" thickTop="1" thickBot="1" x14ac:dyDescent="0.3">
      <c r="C12" s="45" t="s">
        <v>10</v>
      </c>
      <c r="D12" s="46">
        <v>45265</v>
      </c>
      <c r="E12" s="47">
        <v>26635</v>
      </c>
      <c r="F12" s="39">
        <f>E12*100/D12</f>
        <v>58.842372694134539</v>
      </c>
      <c r="G12" s="46">
        <v>33436</v>
      </c>
      <c r="H12" s="47">
        <v>31992</v>
      </c>
      <c r="I12" s="39">
        <f t="shared" si="1"/>
        <v>95.681301591099412</v>
      </c>
      <c r="J12" s="48">
        <f t="shared" si="2"/>
        <v>5357</v>
      </c>
      <c r="K12" s="49">
        <f t="shared" si="3"/>
        <v>20.112633752581189</v>
      </c>
    </row>
    <row r="13" spans="3:20" ht="31.5" customHeight="1" thickTop="1" thickBot="1" x14ac:dyDescent="0.3">
      <c r="C13" s="45" t="s">
        <v>71</v>
      </c>
      <c r="D13" s="46">
        <v>3500</v>
      </c>
      <c r="E13" s="47">
        <v>4538</v>
      </c>
      <c r="F13" s="39">
        <f t="shared" ref="F13" si="4">E13*100/D13</f>
        <v>129.65714285714284</v>
      </c>
      <c r="G13" s="46">
        <v>3500</v>
      </c>
      <c r="H13" s="47">
        <v>3804</v>
      </c>
      <c r="I13" s="39">
        <f t="shared" si="1"/>
        <v>108.68571428571428</v>
      </c>
      <c r="J13" s="48">
        <f t="shared" si="2"/>
        <v>-734</v>
      </c>
      <c r="K13" s="49">
        <f t="shared" si="3"/>
        <v>-16.174526223005728</v>
      </c>
      <c r="L13" s="1"/>
      <c r="Q13" s="40" t="s">
        <v>66</v>
      </c>
      <c r="R13" s="40" t="s">
        <v>67</v>
      </c>
      <c r="S13" s="40" t="s">
        <v>68</v>
      </c>
      <c r="T13" s="40" t="s">
        <v>48</v>
      </c>
    </row>
    <row r="14" spans="3:20" ht="16.5" thickTop="1" thickBot="1" x14ac:dyDescent="0.3">
      <c r="C14" s="251" t="s">
        <v>11</v>
      </c>
      <c r="D14" s="252"/>
      <c r="E14" s="252"/>
      <c r="F14" s="252"/>
      <c r="G14" s="252"/>
      <c r="H14" s="252"/>
      <c r="I14" s="252"/>
      <c r="J14" s="252"/>
      <c r="K14" s="253"/>
      <c r="P14" s="3">
        <v>2019</v>
      </c>
      <c r="Q14" s="2">
        <f>H24</f>
        <v>921455.9</v>
      </c>
      <c r="R14" s="2">
        <f>'Recettes non fiscales'!H23</f>
        <v>194698.6</v>
      </c>
      <c r="S14" s="2">
        <f>'Autres recettes'!H14</f>
        <v>105477.59999999999</v>
      </c>
      <c r="T14" s="2">
        <f>SUM(Q14:S14)</f>
        <v>1221632.1000000001</v>
      </c>
    </row>
    <row r="15" spans="3:20" ht="16.5" thickTop="1" thickBot="1" x14ac:dyDescent="0.3">
      <c r="C15" s="45" t="s">
        <v>12</v>
      </c>
      <c r="D15" s="46">
        <f>SUM(D16:D22)</f>
        <v>473400</v>
      </c>
      <c r="E15" s="47">
        <f>SUM(E16:E22)</f>
        <v>514667.59999999992</v>
      </c>
      <c r="F15" s="39">
        <f>E15*100/D15</f>
        <v>108.71727925644274</v>
      </c>
      <c r="G15" s="46">
        <f>SUM(G16:G22)</f>
        <v>502600</v>
      </c>
      <c r="H15" s="47">
        <f>SUM(H16:H22)</f>
        <v>540989.9</v>
      </c>
      <c r="I15" s="39">
        <f>H15*100/G15</f>
        <v>107.63826104257859</v>
      </c>
      <c r="J15" s="48">
        <f>H15-E15</f>
        <v>26322.300000000105</v>
      </c>
      <c r="K15" s="39">
        <f>J15*100/E15</f>
        <v>5.1144272536293531</v>
      </c>
      <c r="P15" s="3">
        <v>2018</v>
      </c>
      <c r="Q15" s="2">
        <f>E24</f>
        <v>888998.89999999991</v>
      </c>
      <c r="R15" s="2">
        <f>'Recettes non fiscales'!E23</f>
        <v>217167.2</v>
      </c>
      <c r="S15" s="2">
        <f>'Autres recettes'!E14</f>
        <v>47561.7</v>
      </c>
      <c r="T15" s="2">
        <f>SUM(Q15:S15)</f>
        <v>1153727.7999999998</v>
      </c>
    </row>
    <row r="16" spans="3:20" ht="22.5" thickTop="1" thickBot="1" x14ac:dyDescent="0.3">
      <c r="C16" s="50" t="s">
        <v>13</v>
      </c>
      <c r="D16" s="51">
        <v>143800</v>
      </c>
      <c r="E16" s="39">
        <v>135634.29999999999</v>
      </c>
      <c r="F16" s="39">
        <f>E16*100/D16</f>
        <v>94.321488178025021</v>
      </c>
      <c r="G16" s="51">
        <v>154128.5</v>
      </c>
      <c r="H16" s="39">
        <v>164586.4</v>
      </c>
      <c r="I16" s="39">
        <f>H16*100/G16</f>
        <v>106.7851824938282</v>
      </c>
      <c r="J16" s="48">
        <f>H16-E16</f>
        <v>28952.100000000006</v>
      </c>
      <c r="K16" s="39">
        <f>J16*100/E16</f>
        <v>21.345706801303216</v>
      </c>
      <c r="P16" t="s">
        <v>45</v>
      </c>
      <c r="Q16" s="2">
        <f>Q14-Q15</f>
        <v>32457.000000000116</v>
      </c>
      <c r="R16" s="2">
        <f>R14-R15</f>
        <v>-22468.600000000006</v>
      </c>
      <c r="S16" s="2">
        <f t="shared" ref="S16" si="5">S14-S15</f>
        <v>57915.899999999994</v>
      </c>
      <c r="T16" s="2">
        <f>T14-T15</f>
        <v>67904.300000000279</v>
      </c>
    </row>
    <row r="17" spans="3:20" ht="22.5" thickTop="1" thickBot="1" x14ac:dyDescent="0.3">
      <c r="C17" s="50" t="s">
        <v>15</v>
      </c>
      <c r="D17" s="51">
        <v>72900</v>
      </c>
      <c r="E17" s="39">
        <v>73292.899999999994</v>
      </c>
      <c r="F17" s="39">
        <f t="shared" ref="F17:F23" si="6">E17*100/D17</f>
        <v>100.53895747599449</v>
      </c>
      <c r="G17" s="51">
        <v>74980</v>
      </c>
      <c r="H17" s="39">
        <v>79967.199999999997</v>
      </c>
      <c r="I17" s="39">
        <f t="shared" ref="I17:I23" si="7">H17*100/G17</f>
        <v>106.65137369965323</v>
      </c>
      <c r="J17" s="48">
        <f t="shared" ref="J17:J20" si="8">H17-E17</f>
        <v>6674.3000000000029</v>
      </c>
      <c r="K17" s="39">
        <f t="shared" ref="K17:K20" si="9">J17*100/E17</f>
        <v>9.1063390860506317</v>
      </c>
      <c r="P17" t="s">
        <v>74</v>
      </c>
      <c r="Q17" s="4">
        <f t="shared" ref="Q17:S17" si="10">Q16/Q15</f>
        <v>3.6509606479828177E-2</v>
      </c>
      <c r="R17" s="4">
        <f>R16/R15</f>
        <v>-0.1034622171303954</v>
      </c>
      <c r="S17" s="4">
        <f t="shared" si="10"/>
        <v>1.2177003765634953</v>
      </c>
      <c r="T17" s="4">
        <f>T16/T15</f>
        <v>5.8856430433591261E-2</v>
      </c>
    </row>
    <row r="18" spans="3:20" ht="22.5" thickTop="1" thickBot="1" x14ac:dyDescent="0.3">
      <c r="C18" s="50" t="s">
        <v>16</v>
      </c>
      <c r="D18" s="51">
        <v>251200</v>
      </c>
      <c r="E18" s="39">
        <v>300465.5</v>
      </c>
      <c r="F18" s="39">
        <f t="shared" si="6"/>
        <v>119.61206210191082</v>
      </c>
      <c r="G18" s="51">
        <v>268191.5</v>
      </c>
      <c r="H18" s="39">
        <v>280450</v>
      </c>
      <c r="I18" s="39">
        <f t="shared" si="7"/>
        <v>104.57080108802852</v>
      </c>
      <c r="J18" s="48">
        <f t="shared" si="8"/>
        <v>-20015.5</v>
      </c>
      <c r="K18" s="39">
        <f t="shared" si="9"/>
        <v>-6.6614969106270108</v>
      </c>
      <c r="P18" s="5">
        <v>2019</v>
      </c>
      <c r="Q18" s="6">
        <f>G24</f>
        <v>935600</v>
      </c>
      <c r="R18" s="6">
        <f>'Recettes non fiscales'!G23</f>
        <v>179080</v>
      </c>
      <c r="S18" s="6">
        <f>'Autres recettes'!G14</f>
        <v>97222</v>
      </c>
      <c r="T18" s="2">
        <f>SUM(Q18:S18)</f>
        <v>1211902</v>
      </c>
    </row>
    <row r="19" spans="3:20" ht="16.5" thickTop="1" thickBot="1" x14ac:dyDescent="0.3">
      <c r="C19" s="50" t="s">
        <v>17</v>
      </c>
      <c r="D19" s="51">
        <v>1500</v>
      </c>
      <c r="E19" s="39">
        <v>565.6</v>
      </c>
      <c r="F19" s="39">
        <f t="shared" si="6"/>
        <v>37.706666666666663</v>
      </c>
      <c r="G19" s="51">
        <v>1300</v>
      </c>
      <c r="H19" s="39">
        <v>10617.8</v>
      </c>
      <c r="I19" s="39">
        <f t="shared" si="7"/>
        <v>816.7538461538461</v>
      </c>
      <c r="J19" s="48">
        <f t="shared" si="8"/>
        <v>10052.199999999999</v>
      </c>
      <c r="K19" s="39">
        <f t="shared" si="9"/>
        <v>1777.263083451202</v>
      </c>
      <c r="P19" t="s">
        <v>75</v>
      </c>
      <c r="Q19" s="4">
        <f>Q14/Q18</f>
        <v>0.98488232150491661</v>
      </c>
      <c r="R19" s="4">
        <f t="shared" ref="R19:S19" si="11">R14/R18</f>
        <v>1.0872157694884967</v>
      </c>
      <c r="S19" s="4">
        <f t="shared" si="11"/>
        <v>1.0849149369484272</v>
      </c>
      <c r="T19" s="4">
        <f>T14/T18</f>
        <v>1.0080287845056779</v>
      </c>
    </row>
    <row r="20" spans="3:20" ht="16.5" thickTop="1" thickBot="1" x14ac:dyDescent="0.3">
      <c r="C20" s="50" t="s">
        <v>18</v>
      </c>
      <c r="D20" s="51">
        <v>4000</v>
      </c>
      <c r="E20" s="39">
        <v>3542.1</v>
      </c>
      <c r="F20" s="39">
        <f t="shared" si="6"/>
        <v>88.552499999999995</v>
      </c>
      <c r="G20" s="51">
        <v>4000</v>
      </c>
      <c r="H20" s="39">
        <v>4147.3</v>
      </c>
      <c r="I20" s="39">
        <f t="shared" si="7"/>
        <v>103.6825</v>
      </c>
      <c r="J20" s="48">
        <f t="shared" si="8"/>
        <v>605.20000000000027</v>
      </c>
      <c r="K20" s="39">
        <f t="shared" si="9"/>
        <v>17.085909488721388</v>
      </c>
    </row>
    <row r="21" spans="3:20" ht="22.5" thickTop="1" thickBot="1" x14ac:dyDescent="0.3">
      <c r="C21" s="50" t="s">
        <v>19</v>
      </c>
      <c r="D21" s="51"/>
      <c r="E21" s="39">
        <v>1061.2</v>
      </c>
      <c r="F21" s="39" t="e">
        <f t="shared" ref="F21:F22" si="12">E21*100/D21</f>
        <v>#DIV/0!</v>
      </c>
      <c r="G21" s="51"/>
      <c r="H21" s="39">
        <v>1168</v>
      </c>
      <c r="I21" s="39" t="e">
        <f t="shared" ref="I21" si="13">H21*100/G21</f>
        <v>#DIV/0!</v>
      </c>
      <c r="J21" s="48">
        <f t="shared" ref="J21" si="14">H21-E21</f>
        <v>106.79999999999995</v>
      </c>
      <c r="K21" s="39">
        <f t="shared" ref="K21" si="15">J21*100/E21</f>
        <v>10.064078401809269</v>
      </c>
    </row>
    <row r="22" spans="3:20" ht="22.5" thickTop="1" thickBot="1" x14ac:dyDescent="0.3">
      <c r="C22" s="50" t="s">
        <v>72</v>
      </c>
      <c r="D22" s="51"/>
      <c r="E22" s="39">
        <v>106</v>
      </c>
      <c r="F22" s="39" t="e">
        <f t="shared" si="12"/>
        <v>#DIV/0!</v>
      </c>
      <c r="G22" s="51"/>
      <c r="H22" s="39">
        <v>53.2</v>
      </c>
      <c r="I22" s="39"/>
      <c r="J22" s="48"/>
      <c r="K22" s="39"/>
    </row>
    <row r="23" spans="3:20" ht="22.5" thickTop="1" thickBot="1" x14ac:dyDescent="0.3">
      <c r="C23" s="45" t="s">
        <v>73</v>
      </c>
      <c r="D23" s="52">
        <f>D7+D15</f>
        <v>873900</v>
      </c>
      <c r="E23" s="53">
        <f>E7+E15</f>
        <v>893536.89999999991</v>
      </c>
      <c r="F23" s="39">
        <f t="shared" si="6"/>
        <v>102.24704199565166</v>
      </c>
      <c r="G23" s="52">
        <f>G7+G15</f>
        <v>939100</v>
      </c>
      <c r="H23" s="53">
        <f>H7+H15</f>
        <v>925259.9</v>
      </c>
      <c r="I23" s="39">
        <f t="shared" si="7"/>
        <v>98.526237887338937</v>
      </c>
      <c r="J23" s="48">
        <f>H23-E23</f>
        <v>31723.000000000116</v>
      </c>
      <c r="K23" s="39">
        <f>J23*100/E23</f>
        <v>3.5502730776983156</v>
      </c>
    </row>
    <row r="24" spans="3:20" ht="16.5" thickTop="1" thickBot="1" x14ac:dyDescent="0.3">
      <c r="C24" s="45" t="s">
        <v>14</v>
      </c>
      <c r="D24" s="52">
        <f>D23-D13</f>
        <v>870400</v>
      </c>
      <c r="E24" s="53">
        <f>E23-E13</f>
        <v>888998.89999999991</v>
      </c>
      <c r="F24" s="39">
        <f t="shared" ref="F24" si="16">E24*100/D24</f>
        <v>102.13682215073527</v>
      </c>
      <c r="G24" s="52">
        <f>G23-G13</f>
        <v>935600</v>
      </c>
      <c r="H24" s="53">
        <f>H23-H13</f>
        <v>921455.9</v>
      </c>
      <c r="I24" s="39">
        <f t="shared" ref="I24" si="17">H24*100/G24</f>
        <v>98.488232150491669</v>
      </c>
      <c r="J24" s="48">
        <f>H24-E24</f>
        <v>32457.000000000116</v>
      </c>
      <c r="K24" s="39">
        <f>J24*100/E24</f>
        <v>3.6509606479828176</v>
      </c>
      <c r="Q24" t="s">
        <v>66</v>
      </c>
      <c r="R24" t="s">
        <v>67</v>
      </c>
      <c r="S24" t="s">
        <v>68</v>
      </c>
    </row>
    <row r="25" spans="3:20" ht="15.75" thickTop="1" x14ac:dyDescent="0.25">
      <c r="Q25" s="2">
        <f>H24</f>
        <v>921455.9</v>
      </c>
      <c r="R25" s="2">
        <f>'Recettes non fiscales'!H23</f>
        <v>194698.6</v>
      </c>
      <c r="S25" s="2">
        <f>'Autres recettes'!H14</f>
        <v>105477.59999999999</v>
      </c>
    </row>
    <row r="26" spans="3:20" x14ac:dyDescent="0.25">
      <c r="Q26" s="2"/>
    </row>
    <row r="27" spans="3:20" x14ac:dyDescent="0.25">
      <c r="Q27" s="2"/>
    </row>
  </sheetData>
  <sheetProtection algorithmName="SHA-512" hashValue="HJS7ZcgQaDyLBCwmPzFOowHYI6HAkI2t3QsxKY2pTFBR9QN/iuGneCqERyTm0/Avi1Cm7JDqKjBQ2EwW4zZg5Q==" saltValue="AMW281Xx2FNSL15k4KRHNA==" spinCount="100000" sheet="1" objects="1" scenarios="1" insertColumns="0" insertRows="0" deleteColumns="0" deleteRows="0"/>
  <mergeCells count="8">
    <mergeCell ref="C2:K2"/>
    <mergeCell ref="C14:K14"/>
    <mergeCell ref="C4:C5"/>
    <mergeCell ref="D4:F4"/>
    <mergeCell ref="G4:I4"/>
    <mergeCell ref="J4:J5"/>
    <mergeCell ref="K4:K5"/>
    <mergeCell ref="C6:K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6CE7-6425-4D9B-A14A-CE4C047B715E}">
  <dimension ref="C2:L24"/>
  <sheetViews>
    <sheetView showGridLines="0" workbookViewId="0">
      <selection activeCell="C2" sqref="C2:K2"/>
    </sheetView>
  </sheetViews>
  <sheetFormatPr baseColWidth="10" defaultRowHeight="15" x14ac:dyDescent="0.25"/>
  <cols>
    <col min="2" max="2" width="1.85546875" customWidth="1"/>
    <col min="3" max="3" width="22" customWidth="1"/>
    <col min="11" max="11" width="15.85546875" customWidth="1"/>
  </cols>
  <sheetData>
    <row r="2" spans="3:12" ht="16.5" x14ac:dyDescent="0.25">
      <c r="C2" s="240" t="s">
        <v>192</v>
      </c>
      <c r="D2" s="240"/>
      <c r="E2" s="240"/>
      <c r="F2" s="240"/>
      <c r="G2" s="240"/>
      <c r="H2" s="240"/>
      <c r="I2" s="240"/>
      <c r="J2" s="240"/>
      <c r="K2" s="240"/>
    </row>
    <row r="3" spans="3:12" ht="15.75" thickBot="1" x14ac:dyDescent="0.3"/>
    <row r="4" spans="3:12" ht="16.5" thickTop="1" thickBot="1" x14ac:dyDescent="0.3">
      <c r="C4" s="254" t="s">
        <v>1</v>
      </c>
      <c r="D4" s="256">
        <v>2018</v>
      </c>
      <c r="E4" s="257"/>
      <c r="F4" s="258"/>
      <c r="G4" s="259">
        <v>2019</v>
      </c>
      <c r="H4" s="260"/>
      <c r="I4" s="261"/>
      <c r="J4" s="262" t="s">
        <v>2</v>
      </c>
      <c r="K4" s="254" t="s">
        <v>3</v>
      </c>
    </row>
    <row r="5" spans="3:12" ht="16.5" thickTop="1" thickBot="1" x14ac:dyDescent="0.3">
      <c r="C5" s="255"/>
      <c r="D5" s="41" t="s">
        <v>0</v>
      </c>
      <c r="E5" s="42" t="s">
        <v>4</v>
      </c>
      <c r="F5" s="42" t="s">
        <v>5</v>
      </c>
      <c r="G5" s="43" t="s">
        <v>0</v>
      </c>
      <c r="H5" s="43" t="s">
        <v>4</v>
      </c>
      <c r="I5" s="44" t="s">
        <v>5</v>
      </c>
      <c r="J5" s="263"/>
      <c r="K5" s="255"/>
    </row>
    <row r="6" spans="3:12" ht="16.5" thickTop="1" thickBot="1" x14ac:dyDescent="0.3">
      <c r="C6" s="251" t="s">
        <v>6</v>
      </c>
      <c r="D6" s="252"/>
      <c r="E6" s="252"/>
      <c r="F6" s="252"/>
      <c r="G6" s="252"/>
      <c r="H6" s="252"/>
      <c r="I6" s="252"/>
      <c r="J6" s="252"/>
      <c r="K6" s="253"/>
    </row>
    <row r="7" spans="3:12" ht="16.5" thickTop="1" thickBot="1" x14ac:dyDescent="0.3">
      <c r="C7" s="45" t="s">
        <v>71</v>
      </c>
      <c r="D7" s="46">
        <v>3500</v>
      </c>
      <c r="E7" s="47">
        <v>4538</v>
      </c>
      <c r="F7" s="39">
        <f t="shared" ref="F7" si="0">E7*100/D7</f>
        <v>129.65714285714284</v>
      </c>
      <c r="G7" s="46">
        <v>3500</v>
      </c>
      <c r="H7" s="47">
        <v>3804</v>
      </c>
      <c r="I7" s="39">
        <f t="shared" ref="I7" si="1">H7*100/G7</f>
        <v>108.68571428571428</v>
      </c>
      <c r="J7" s="48">
        <f t="shared" ref="J7" si="2">H7-E7</f>
        <v>-734</v>
      </c>
      <c r="K7" s="49">
        <f t="shared" ref="K7" si="3">J7*100/E7</f>
        <v>-16.174526223005728</v>
      </c>
      <c r="L7" s="1"/>
    </row>
    <row r="8" spans="3:12" ht="16.5" customHeight="1" thickTop="1" thickBot="1" x14ac:dyDescent="0.3">
      <c r="C8" s="251" t="s">
        <v>26</v>
      </c>
      <c r="D8" s="252"/>
      <c r="E8" s="252"/>
      <c r="F8" s="252"/>
      <c r="G8" s="252"/>
      <c r="H8" s="252"/>
      <c r="I8" s="252"/>
      <c r="J8" s="252"/>
      <c r="K8" s="253"/>
    </row>
    <row r="9" spans="3:12" ht="16.5" thickTop="1" thickBot="1" x14ac:dyDescent="0.3">
      <c r="C9" s="45" t="s">
        <v>12</v>
      </c>
      <c r="D9" s="46">
        <f>SUM(D10:D15)</f>
        <v>106084</v>
      </c>
      <c r="E9" s="47">
        <f>SUM(E10:E15)</f>
        <v>162159.30000000002</v>
      </c>
      <c r="F9" s="39">
        <f>E9*100/D9</f>
        <v>152.85933788318692</v>
      </c>
      <c r="G9" s="46">
        <f>SUM(G10:G15)</f>
        <v>115580</v>
      </c>
      <c r="H9" s="47">
        <f>SUM(H10:H15)</f>
        <v>135734.5</v>
      </c>
      <c r="I9" s="39">
        <f>H9*100/G9</f>
        <v>117.43770548537809</v>
      </c>
      <c r="J9" s="48">
        <f>H9-E9</f>
        <v>-26424.800000000017</v>
      </c>
      <c r="K9" s="39">
        <f>J9*100/E9</f>
        <v>-16.295580950337115</v>
      </c>
    </row>
    <row r="10" spans="3:12" ht="22.5" thickTop="1" thickBot="1" x14ac:dyDescent="0.3">
      <c r="C10" s="50" t="s">
        <v>20</v>
      </c>
      <c r="D10" s="51">
        <v>1778</v>
      </c>
      <c r="E10" s="47">
        <v>1142.5</v>
      </c>
      <c r="F10" s="39">
        <f>E10*100/D10</f>
        <v>64.257592800899886</v>
      </c>
      <c r="G10" s="51">
        <v>2083</v>
      </c>
      <c r="H10" s="39">
        <v>1176</v>
      </c>
      <c r="I10" s="39">
        <f>H10*100/G10</f>
        <v>56.45703312530005</v>
      </c>
      <c r="J10" s="48">
        <f>H10-E10</f>
        <v>33.5</v>
      </c>
      <c r="K10" s="39">
        <f>J10*100/E10</f>
        <v>2.9321663019693656</v>
      </c>
    </row>
    <row r="11" spans="3:12" ht="22.5" thickTop="1" thickBot="1" x14ac:dyDescent="0.3">
      <c r="C11" s="50" t="s">
        <v>21</v>
      </c>
      <c r="D11" s="51">
        <v>4480</v>
      </c>
      <c r="E11" s="39">
        <v>4768</v>
      </c>
      <c r="F11" s="39">
        <f t="shared" ref="F11:F15" si="4">E11*100/D11</f>
        <v>106.42857142857143</v>
      </c>
      <c r="G11" s="51">
        <v>4741</v>
      </c>
      <c r="H11" s="39">
        <v>6646.1</v>
      </c>
      <c r="I11" s="39">
        <f t="shared" ref="I11:I15" si="5">H11*100/G11</f>
        <v>140.18350558953807</v>
      </c>
      <c r="J11" s="48">
        <f t="shared" ref="J11:J15" si="6">H11-E11</f>
        <v>1878.1000000000004</v>
      </c>
      <c r="K11" s="39">
        <f t="shared" ref="K11:K15" si="7">J11*100/E11</f>
        <v>39.389681208053695</v>
      </c>
    </row>
    <row r="12" spans="3:12" ht="22.5" thickTop="1" thickBot="1" x14ac:dyDescent="0.3">
      <c r="C12" s="50" t="s">
        <v>22</v>
      </c>
      <c r="D12" s="51">
        <v>181</v>
      </c>
      <c r="E12" s="39">
        <v>171.5</v>
      </c>
      <c r="F12" s="39">
        <f t="shared" si="4"/>
        <v>94.751381215469607</v>
      </c>
      <c r="G12" s="51">
        <v>190</v>
      </c>
      <c r="H12" s="39">
        <v>2460.1</v>
      </c>
      <c r="I12" s="39">
        <f t="shared" si="5"/>
        <v>1294.7894736842106</v>
      </c>
      <c r="J12" s="48">
        <f t="shared" si="6"/>
        <v>2288.6</v>
      </c>
      <c r="K12" s="39">
        <f t="shared" si="7"/>
        <v>1334.460641399417</v>
      </c>
    </row>
    <row r="13" spans="3:12" ht="16.5" thickTop="1" thickBot="1" x14ac:dyDescent="0.3">
      <c r="C13" s="50" t="s">
        <v>23</v>
      </c>
      <c r="D13" s="51">
        <v>4830</v>
      </c>
      <c r="E13" s="39">
        <v>9386.2000000000007</v>
      </c>
      <c r="F13" s="39">
        <f t="shared" si="4"/>
        <v>194.33126293995861</v>
      </c>
      <c r="G13" s="51">
        <v>8500</v>
      </c>
      <c r="H13" s="39">
        <v>7938.5</v>
      </c>
      <c r="I13" s="39">
        <f t="shared" si="5"/>
        <v>93.39411764705882</v>
      </c>
      <c r="J13" s="48">
        <f t="shared" si="6"/>
        <v>-1447.7000000000007</v>
      </c>
      <c r="K13" s="39">
        <f t="shared" si="7"/>
        <v>-15.423707144531338</v>
      </c>
    </row>
    <row r="14" spans="3:12" ht="22.5" thickTop="1" thickBot="1" x14ac:dyDescent="0.3">
      <c r="C14" s="50" t="s">
        <v>24</v>
      </c>
      <c r="D14" s="51">
        <v>53632</v>
      </c>
      <c r="E14" s="39">
        <v>117656.4</v>
      </c>
      <c r="F14" s="39">
        <f t="shared" si="4"/>
        <v>219.37723747016707</v>
      </c>
      <c r="G14" s="51">
        <v>58664</v>
      </c>
      <c r="H14" s="39">
        <v>54056.5</v>
      </c>
      <c r="I14" s="39">
        <f t="shared" si="5"/>
        <v>92.145949815900721</v>
      </c>
      <c r="J14" s="48">
        <f t="shared" si="6"/>
        <v>-63599.899999999994</v>
      </c>
      <c r="K14" s="39">
        <f t="shared" si="7"/>
        <v>-54.055622983535102</v>
      </c>
    </row>
    <row r="15" spans="3:12" ht="16.5" thickTop="1" thickBot="1" x14ac:dyDescent="0.3">
      <c r="C15" s="50" t="s">
        <v>25</v>
      </c>
      <c r="D15" s="51">
        <v>41183</v>
      </c>
      <c r="E15" s="39">
        <v>29034.7</v>
      </c>
      <c r="F15" s="39">
        <f t="shared" si="4"/>
        <v>70.5016633076755</v>
      </c>
      <c r="G15" s="51">
        <v>41402</v>
      </c>
      <c r="H15" s="39">
        <v>63457.3</v>
      </c>
      <c r="I15" s="39">
        <f t="shared" si="5"/>
        <v>153.27109801458866</v>
      </c>
      <c r="J15" s="48">
        <f t="shared" si="6"/>
        <v>34422.600000000006</v>
      </c>
      <c r="K15" s="39">
        <f t="shared" si="7"/>
        <v>118.55676139240289</v>
      </c>
    </row>
    <row r="16" spans="3:12" ht="16.5" thickTop="1" thickBot="1" x14ac:dyDescent="0.3">
      <c r="C16" s="251" t="s">
        <v>27</v>
      </c>
      <c r="D16" s="252"/>
      <c r="E16" s="252"/>
      <c r="F16" s="252"/>
      <c r="G16" s="252"/>
      <c r="H16" s="252"/>
      <c r="I16" s="252"/>
      <c r="J16" s="252"/>
      <c r="K16" s="253"/>
    </row>
    <row r="17" spans="3:11" ht="16.5" thickTop="1" thickBot="1" x14ac:dyDescent="0.3">
      <c r="C17" s="45" t="s">
        <v>34</v>
      </c>
      <c r="D17" s="46">
        <v>3025</v>
      </c>
      <c r="E17" s="47">
        <v>1426.8</v>
      </c>
      <c r="F17" s="39">
        <f>E17*100/D17</f>
        <v>47.166942148760327</v>
      </c>
      <c r="G17" s="46">
        <v>5000</v>
      </c>
      <c r="H17" s="47">
        <v>1883</v>
      </c>
      <c r="I17" s="39">
        <f>H17*100/G17</f>
        <v>37.659999999999997</v>
      </c>
      <c r="J17" s="48">
        <f>H17-E17</f>
        <v>456.20000000000005</v>
      </c>
      <c r="K17" s="39">
        <f>J17*100/E17</f>
        <v>31.973647322680129</v>
      </c>
    </row>
    <row r="18" spans="3:11" ht="16.5" thickTop="1" thickBot="1" x14ac:dyDescent="0.3">
      <c r="C18" s="251" t="s">
        <v>28</v>
      </c>
      <c r="D18" s="252"/>
      <c r="E18" s="252"/>
      <c r="F18" s="252"/>
      <c r="G18" s="252"/>
      <c r="H18" s="252"/>
      <c r="I18" s="252"/>
      <c r="J18" s="252"/>
      <c r="K18" s="253"/>
    </row>
    <row r="19" spans="3:11" ht="16.5" thickTop="1" thickBot="1" x14ac:dyDescent="0.3">
      <c r="C19" s="50" t="s">
        <v>33</v>
      </c>
      <c r="D19" s="46">
        <f>SUM(D20:D22)</f>
        <v>53800</v>
      </c>
      <c r="E19" s="47">
        <f>SUM(E20:E22)</f>
        <v>49043.1</v>
      </c>
      <c r="F19" s="39">
        <f>E19*100/D19</f>
        <v>91.158178438661707</v>
      </c>
      <c r="G19" s="46">
        <f>SUM(G20:G22)</f>
        <v>55000</v>
      </c>
      <c r="H19" s="47">
        <f>SUM(H20:H22)</f>
        <v>53277.100000000006</v>
      </c>
      <c r="I19" s="39">
        <f>H19*100/G19</f>
        <v>96.867454545454564</v>
      </c>
      <c r="J19" s="48">
        <f>H19-E19</f>
        <v>4234.0000000000073</v>
      </c>
      <c r="K19" s="39">
        <f>J19*100/E19</f>
        <v>8.6332226143942918</v>
      </c>
    </row>
    <row r="20" spans="3:11" ht="16.5" thickTop="1" thickBot="1" x14ac:dyDescent="0.3">
      <c r="C20" s="50" t="s">
        <v>29</v>
      </c>
      <c r="D20" s="51">
        <v>44800</v>
      </c>
      <c r="E20" s="39">
        <v>41146.1</v>
      </c>
      <c r="F20" s="39">
        <f t="shared" ref="F20:F23" si="8">E20*100/D20</f>
        <v>91.843973214285711</v>
      </c>
      <c r="G20" s="51">
        <v>51000</v>
      </c>
      <c r="H20" s="39">
        <v>43119.9</v>
      </c>
      <c r="I20" s="39">
        <f t="shared" ref="I20:I23" si="9">H20*100/G20</f>
        <v>84.548823529411763</v>
      </c>
      <c r="J20" s="48">
        <f t="shared" ref="J20:J22" si="10">H20-E20</f>
        <v>1973.8000000000029</v>
      </c>
      <c r="K20" s="39">
        <f t="shared" ref="K20:K22" si="11">J20*100/E20</f>
        <v>4.7970524545461251</v>
      </c>
    </row>
    <row r="21" spans="3:11" ht="22.5" thickTop="1" thickBot="1" x14ac:dyDescent="0.3">
      <c r="C21" s="50" t="s">
        <v>30</v>
      </c>
      <c r="D21" s="51">
        <v>4000</v>
      </c>
      <c r="E21" s="39">
        <v>4416.6000000000004</v>
      </c>
      <c r="F21" s="39">
        <f t="shared" si="8"/>
        <v>110.41500000000002</v>
      </c>
      <c r="G21" s="51">
        <v>0</v>
      </c>
      <c r="H21" s="39">
        <v>0</v>
      </c>
      <c r="I21" s="39" t="e">
        <f t="shared" si="9"/>
        <v>#DIV/0!</v>
      </c>
      <c r="J21" s="48">
        <f t="shared" si="10"/>
        <v>-4416.6000000000004</v>
      </c>
      <c r="K21" s="39">
        <f t="shared" si="11"/>
        <v>-100</v>
      </c>
    </row>
    <row r="22" spans="3:11" ht="22.5" thickTop="1" thickBot="1" x14ac:dyDescent="0.3">
      <c r="C22" s="50" t="s">
        <v>31</v>
      </c>
      <c r="D22" s="51">
        <v>5000</v>
      </c>
      <c r="E22" s="39">
        <v>3480.4</v>
      </c>
      <c r="F22" s="39">
        <f t="shared" si="8"/>
        <v>69.608000000000004</v>
      </c>
      <c r="G22" s="51">
        <v>4000</v>
      </c>
      <c r="H22" s="39">
        <v>10157.200000000001</v>
      </c>
      <c r="I22" s="39">
        <f t="shared" si="9"/>
        <v>253.93000000000004</v>
      </c>
      <c r="J22" s="48">
        <f t="shared" si="10"/>
        <v>6676.8000000000011</v>
      </c>
      <c r="K22" s="39">
        <f t="shared" si="11"/>
        <v>191.84001838869099</v>
      </c>
    </row>
    <row r="23" spans="3:11" ht="16.5" thickTop="1" thickBot="1" x14ac:dyDescent="0.3">
      <c r="C23" s="45" t="s">
        <v>32</v>
      </c>
      <c r="D23" s="52">
        <f>D7+D9+D17+D19</f>
        <v>166409</v>
      </c>
      <c r="E23" s="53">
        <f>E7+E9+E17+E19</f>
        <v>217167.2</v>
      </c>
      <c r="F23" s="39">
        <f t="shared" si="8"/>
        <v>130.50207620982039</v>
      </c>
      <c r="G23" s="52">
        <f>G7+G9+G17+G19</f>
        <v>179080</v>
      </c>
      <c r="H23" s="53">
        <f>H7+H9+H17+H19</f>
        <v>194698.6</v>
      </c>
      <c r="I23" s="39">
        <f t="shared" si="9"/>
        <v>108.72157694884967</v>
      </c>
      <c r="J23" s="48">
        <f>H23-E23</f>
        <v>-22468.600000000006</v>
      </c>
      <c r="K23" s="39">
        <f>J23*100/E23</f>
        <v>-10.34622171303954</v>
      </c>
    </row>
    <row r="24" spans="3:11" ht="15.75" thickTop="1" x14ac:dyDescent="0.25"/>
  </sheetData>
  <sheetProtection algorithmName="SHA-512" hashValue="h9YpVMlj1TXm+W4VZoAPXt5krzm4GbzlnScoyhJHALOWk7p3EJuKF1KxjY30KxGiRGHdCrRUTL+HMx2xoTJ9Qg==" saltValue="JYDUj8d469kWWvUVZ7LlNg==" spinCount="100000" sheet="1" objects="1" scenarios="1"/>
  <mergeCells count="10">
    <mergeCell ref="C2:K2"/>
    <mergeCell ref="C18:K18"/>
    <mergeCell ref="C16:K16"/>
    <mergeCell ref="C8:K8"/>
    <mergeCell ref="C4:C5"/>
    <mergeCell ref="D4:F4"/>
    <mergeCell ref="G4:I4"/>
    <mergeCell ref="J4:J5"/>
    <mergeCell ref="K4:K5"/>
    <mergeCell ref="C6:K6"/>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2221-404D-4ADA-BAD4-1AFEC7BC025C}">
  <dimension ref="C2:K15"/>
  <sheetViews>
    <sheetView showGridLines="0" workbookViewId="0">
      <selection activeCell="M4" sqref="M4"/>
    </sheetView>
  </sheetViews>
  <sheetFormatPr baseColWidth="10" defaultRowHeight="15" x14ac:dyDescent="0.25"/>
  <cols>
    <col min="2" max="2" width="1.85546875" customWidth="1"/>
    <col min="3" max="3" width="22" customWidth="1"/>
  </cols>
  <sheetData>
    <row r="2" spans="3:11" ht="16.5" x14ac:dyDescent="0.25">
      <c r="C2" s="240" t="s">
        <v>193</v>
      </c>
      <c r="D2" s="240"/>
      <c r="E2" s="240"/>
      <c r="F2" s="240"/>
      <c r="G2" s="240"/>
      <c r="H2" s="240"/>
      <c r="I2" s="240"/>
      <c r="J2" s="240"/>
      <c r="K2" s="240"/>
    </row>
    <row r="3" spans="3:11" ht="15.75" thickBot="1" x14ac:dyDescent="0.3"/>
    <row r="4" spans="3:11" ht="16.5" thickTop="1" thickBot="1" x14ac:dyDescent="0.3">
      <c r="C4" s="254" t="s">
        <v>1</v>
      </c>
      <c r="D4" s="256">
        <v>2018</v>
      </c>
      <c r="E4" s="257"/>
      <c r="F4" s="258"/>
      <c r="G4" s="259">
        <v>2019</v>
      </c>
      <c r="H4" s="260"/>
      <c r="I4" s="261"/>
      <c r="J4" s="262" t="s">
        <v>2</v>
      </c>
      <c r="K4" s="254" t="s">
        <v>3</v>
      </c>
    </row>
    <row r="5" spans="3:11" ht="16.5" thickTop="1" thickBot="1" x14ac:dyDescent="0.3">
      <c r="C5" s="255"/>
      <c r="D5" s="41" t="s">
        <v>0</v>
      </c>
      <c r="E5" s="42" t="s">
        <v>4</v>
      </c>
      <c r="F5" s="42" t="s">
        <v>5</v>
      </c>
      <c r="G5" s="43" t="s">
        <v>0</v>
      </c>
      <c r="H5" s="43" t="s">
        <v>4</v>
      </c>
      <c r="I5" s="44" t="s">
        <v>5</v>
      </c>
      <c r="J5" s="263"/>
      <c r="K5" s="255"/>
    </row>
    <row r="6" spans="3:11" ht="16.5" customHeight="1" thickTop="1" thickBot="1" x14ac:dyDescent="0.3">
      <c r="C6" s="264" t="s">
        <v>38</v>
      </c>
      <c r="D6" s="265"/>
      <c r="E6" s="265"/>
      <c r="F6" s="265"/>
      <c r="G6" s="265"/>
      <c r="H6" s="265"/>
      <c r="I6" s="265"/>
      <c r="J6" s="265"/>
      <c r="K6" s="266"/>
    </row>
    <row r="7" spans="3:11" ht="16.5" thickTop="1" thickBot="1" x14ac:dyDescent="0.3">
      <c r="C7" s="45" t="s">
        <v>37</v>
      </c>
      <c r="D7" s="46">
        <f>SUM(D8:D9)</f>
        <v>17300</v>
      </c>
      <c r="E7" s="47">
        <f>SUM(E8:E9)</f>
        <v>2858.2</v>
      </c>
      <c r="F7" s="39">
        <f>E7*100/D7</f>
        <v>16.521387283236994</v>
      </c>
      <c r="G7" s="46">
        <f>SUM(G8:G9)</f>
        <v>16000</v>
      </c>
      <c r="H7" s="47">
        <f>SUM(H8:H9)</f>
        <v>7811.2</v>
      </c>
      <c r="I7" s="39">
        <f>H7*100/G7</f>
        <v>48.82</v>
      </c>
      <c r="J7" s="48">
        <f>H7-E7</f>
        <v>4953</v>
      </c>
      <c r="K7" s="39">
        <f>J7*100/E7</f>
        <v>173.29088237352181</v>
      </c>
    </row>
    <row r="8" spans="3:11" ht="22.5" thickTop="1" thickBot="1" x14ac:dyDescent="0.3">
      <c r="C8" s="50" t="s">
        <v>35</v>
      </c>
      <c r="D8" s="51">
        <v>16000</v>
      </c>
      <c r="E8" s="39">
        <v>2120.1999999999998</v>
      </c>
      <c r="F8" s="39">
        <f>E8*100/D8</f>
        <v>13.251249999999999</v>
      </c>
      <c r="G8" s="51">
        <v>16000</v>
      </c>
      <c r="H8" s="39">
        <v>7811.2</v>
      </c>
      <c r="I8" s="39">
        <f>H8*100/G8</f>
        <v>48.82</v>
      </c>
      <c r="J8" s="48">
        <f>H8-E8</f>
        <v>5691</v>
      </c>
      <c r="K8" s="39">
        <f>J8*100/E8</f>
        <v>268.41807376662581</v>
      </c>
    </row>
    <row r="9" spans="3:11" ht="22.5" thickTop="1" thickBot="1" x14ac:dyDescent="0.3">
      <c r="C9" s="50" t="s">
        <v>36</v>
      </c>
      <c r="D9" s="51">
        <v>1300</v>
      </c>
      <c r="E9" s="39">
        <v>738</v>
      </c>
      <c r="F9" s="39">
        <f t="shared" ref="F9:F13" si="0">E9*100/D9</f>
        <v>56.769230769230766</v>
      </c>
      <c r="G9" s="51">
        <v>0</v>
      </c>
      <c r="H9" s="39">
        <v>0</v>
      </c>
      <c r="I9" s="39" t="e">
        <f t="shared" ref="I9:I13" si="1">H9*100/G9</f>
        <v>#DIV/0!</v>
      </c>
      <c r="J9" s="48">
        <f t="shared" ref="J9:J13" si="2">H9-E9</f>
        <v>-738</v>
      </c>
      <c r="K9" s="39">
        <f t="shared" ref="K9:K13" si="3">J9*100/E9</f>
        <v>-100</v>
      </c>
    </row>
    <row r="10" spans="3:11" ht="16.5" thickTop="1" thickBot="1" x14ac:dyDescent="0.3">
      <c r="C10" s="267" t="s">
        <v>41</v>
      </c>
      <c r="D10" s="265"/>
      <c r="E10" s="265"/>
      <c r="F10" s="265"/>
      <c r="G10" s="265"/>
      <c r="H10" s="265"/>
      <c r="I10" s="265"/>
      <c r="J10" s="265"/>
      <c r="K10" s="266"/>
    </row>
    <row r="11" spans="3:11" ht="16.5" thickTop="1" thickBot="1" x14ac:dyDescent="0.3">
      <c r="C11" s="54" t="s">
        <v>42</v>
      </c>
      <c r="D11" s="51">
        <f>SUM(D12:D13)</f>
        <v>81500</v>
      </c>
      <c r="E11" s="55">
        <f>SUM(E12:E13)</f>
        <v>44703.5</v>
      </c>
      <c r="F11" s="39">
        <f t="shared" si="0"/>
        <v>54.850920245398775</v>
      </c>
      <c r="G11" s="51">
        <f>SUM(G12:G13)</f>
        <v>81222</v>
      </c>
      <c r="H11" s="55">
        <f>SUM(H12:H13)</f>
        <v>97666.4</v>
      </c>
      <c r="I11" s="39">
        <f t="shared" ref="I11" si="4">H11*100/G11</f>
        <v>120.24623870379946</v>
      </c>
      <c r="J11" s="48">
        <f t="shared" ref="J11" si="5">H11-E11</f>
        <v>52962.899999999994</v>
      </c>
      <c r="K11" s="39">
        <f t="shared" ref="K11" si="6">J11*100/E11</f>
        <v>118.4759582583019</v>
      </c>
    </row>
    <row r="12" spans="3:11" ht="16.5" thickTop="1" thickBot="1" x14ac:dyDescent="0.3">
      <c r="C12" s="50" t="s">
        <v>39</v>
      </c>
      <c r="D12" s="51">
        <v>15800</v>
      </c>
      <c r="E12" s="39">
        <v>16008</v>
      </c>
      <c r="F12" s="39">
        <f t="shared" si="0"/>
        <v>101.31645569620254</v>
      </c>
      <c r="G12" s="51">
        <v>13700</v>
      </c>
      <c r="H12" s="39">
        <v>30823.9</v>
      </c>
      <c r="I12" s="39">
        <f t="shared" si="1"/>
        <v>224.9919708029197</v>
      </c>
      <c r="J12" s="48">
        <f t="shared" si="2"/>
        <v>14815.900000000001</v>
      </c>
      <c r="K12" s="39">
        <f t="shared" si="3"/>
        <v>92.553098450774627</v>
      </c>
    </row>
    <row r="13" spans="3:11" ht="22.5" thickTop="1" thickBot="1" x14ac:dyDescent="0.3">
      <c r="C13" s="50" t="s">
        <v>40</v>
      </c>
      <c r="D13" s="51">
        <v>65700</v>
      </c>
      <c r="E13" s="39">
        <v>28695.5</v>
      </c>
      <c r="F13" s="39">
        <f t="shared" si="0"/>
        <v>43.676560121765604</v>
      </c>
      <c r="G13" s="51">
        <v>67522</v>
      </c>
      <c r="H13" s="39">
        <v>66842.5</v>
      </c>
      <c r="I13" s="39">
        <f t="shared" si="1"/>
        <v>98.993661325197706</v>
      </c>
      <c r="J13" s="48">
        <f t="shared" si="2"/>
        <v>38147</v>
      </c>
      <c r="K13" s="39">
        <f t="shared" si="3"/>
        <v>132.93722012162186</v>
      </c>
    </row>
    <row r="14" spans="3:11" ht="22.5" thickTop="1" thickBot="1" x14ac:dyDescent="0.3">
      <c r="C14" s="45" t="s">
        <v>43</v>
      </c>
      <c r="D14" s="52">
        <f>D7+D11</f>
        <v>98800</v>
      </c>
      <c r="E14" s="53">
        <f>E7+E11</f>
        <v>47561.7</v>
      </c>
      <c r="F14" s="39">
        <f t="shared" ref="F14" si="7">E14*100/D14</f>
        <v>48.139372469635624</v>
      </c>
      <c r="G14" s="52">
        <f>G7+G11</f>
        <v>97222</v>
      </c>
      <c r="H14" s="53">
        <f>H7+H11</f>
        <v>105477.59999999999</v>
      </c>
      <c r="I14" s="39">
        <f t="shared" ref="I14" si="8">H14*100/G14</f>
        <v>108.49149369484273</v>
      </c>
      <c r="J14" s="48">
        <f>H14-E14</f>
        <v>57915.899999999994</v>
      </c>
      <c r="K14" s="39">
        <f>J14*100/E14</f>
        <v>121.77003765634953</v>
      </c>
    </row>
    <row r="15" spans="3:11" ht="15.75" thickTop="1" x14ac:dyDescent="0.25"/>
  </sheetData>
  <sheetProtection algorithmName="SHA-512" hashValue="JWabQpLCAe+yKPqkz6gm8e9QOIQamtIxeuPvvHg0O3zSdK28/dmpNYZbxGqKEBnh74NQpVuVSerDWN5fNUuPQQ==" saltValue="XPPJiuDIklCyflz50tsAJw==" spinCount="100000" sheet="1" objects="1" scenarios="1"/>
  <mergeCells count="8">
    <mergeCell ref="C2:K2"/>
    <mergeCell ref="C6:K6"/>
    <mergeCell ref="C10:K10"/>
    <mergeCell ref="C4:C5"/>
    <mergeCell ref="D4:F4"/>
    <mergeCell ref="G4:I4"/>
    <mergeCell ref="J4:J5"/>
    <mergeCell ref="K4:K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0FBC-15BA-46BE-802B-84077B7B4511}">
  <dimension ref="B2:L42"/>
  <sheetViews>
    <sheetView showGridLines="0" workbookViewId="0">
      <selection activeCell="G9" sqref="G9"/>
    </sheetView>
  </sheetViews>
  <sheetFormatPr baseColWidth="10" defaultRowHeight="15" x14ac:dyDescent="0.25"/>
  <cols>
    <col min="1" max="1" width="11.42578125" style="56"/>
    <col min="2" max="2" width="17.5703125" style="56" customWidth="1"/>
    <col min="3" max="16384" width="11.42578125" style="56"/>
  </cols>
  <sheetData>
    <row r="2" spans="2:12" ht="16.5" x14ac:dyDescent="0.25">
      <c r="B2" s="240" t="s">
        <v>194</v>
      </c>
      <c r="C2" s="240"/>
      <c r="D2" s="240"/>
      <c r="E2" s="240"/>
      <c r="F2" s="240"/>
      <c r="G2" s="240"/>
      <c r="H2" s="240"/>
      <c r="I2" s="240"/>
      <c r="J2" s="240"/>
    </row>
    <row r="3" spans="2:12" ht="15.75" thickBot="1" x14ac:dyDescent="0.3"/>
    <row r="4" spans="2:12" ht="16.5" thickTop="1" thickBot="1" x14ac:dyDescent="0.3">
      <c r="B4" s="268" t="s">
        <v>76</v>
      </c>
      <c r="C4" s="268">
        <v>2018</v>
      </c>
      <c r="D4" s="268"/>
      <c r="E4" s="268"/>
      <c r="F4" s="268">
        <v>2019</v>
      </c>
      <c r="G4" s="268"/>
      <c r="H4" s="268"/>
      <c r="I4" s="268" t="s">
        <v>45</v>
      </c>
      <c r="J4" s="268" t="s">
        <v>5</v>
      </c>
    </row>
    <row r="5" spans="2:12" ht="16.5" thickTop="1" thickBot="1" x14ac:dyDescent="0.3">
      <c r="B5" s="268"/>
      <c r="C5" s="67" t="s">
        <v>46</v>
      </c>
      <c r="D5" s="67" t="s">
        <v>47</v>
      </c>
      <c r="E5" s="67" t="s">
        <v>5</v>
      </c>
      <c r="F5" s="77" t="s">
        <v>46</v>
      </c>
      <c r="G5" s="77" t="s">
        <v>47</v>
      </c>
      <c r="H5" s="77" t="s">
        <v>5</v>
      </c>
      <c r="I5" s="268"/>
      <c r="J5" s="268"/>
    </row>
    <row r="6" spans="2:12" ht="25.5" thickTop="1" thickBot="1" x14ac:dyDescent="0.3">
      <c r="B6" s="83" t="s">
        <v>77</v>
      </c>
      <c r="C6" s="84">
        <v>375450</v>
      </c>
      <c r="D6" s="72">
        <v>355939.5</v>
      </c>
      <c r="E6" s="71">
        <f>D6/C6*100</f>
        <v>94.80343587694766</v>
      </c>
      <c r="F6" s="85">
        <v>374750</v>
      </c>
      <c r="G6" s="72">
        <v>367036.6</v>
      </c>
      <c r="H6" s="71">
        <f>G6/F6*100</f>
        <v>97.941721147431622</v>
      </c>
      <c r="I6" s="72">
        <f>G6-D6</f>
        <v>11097.099999999977</v>
      </c>
      <c r="J6" s="73">
        <f>I6*100/D6</f>
        <v>3.117692753965204</v>
      </c>
    </row>
    <row r="7" spans="2:12" ht="25.5" thickTop="1" thickBot="1" x14ac:dyDescent="0.3">
      <c r="B7" s="83" t="s">
        <v>78</v>
      </c>
      <c r="C7" s="85">
        <v>132900</v>
      </c>
      <c r="D7" s="72">
        <v>128497.2</v>
      </c>
      <c r="E7" s="71">
        <f t="shared" ref="E7:E10" si="0">D7/C7*100</f>
        <v>96.687133182844249</v>
      </c>
      <c r="F7" s="85">
        <v>153900</v>
      </c>
      <c r="G7" s="72">
        <v>139372.70000000001</v>
      </c>
      <c r="H7" s="71">
        <f t="shared" ref="H7:H13" si="1">G7/F7*100</f>
        <v>90.560558804418463</v>
      </c>
      <c r="I7" s="72">
        <f t="shared" ref="I7:I11" si="2">G7-D7</f>
        <v>10875.500000000015</v>
      </c>
      <c r="J7" s="73">
        <f t="shared" ref="J7:J11" si="3">I7*100/D7</f>
        <v>8.4636085455558678</v>
      </c>
      <c r="L7" s="58"/>
    </row>
    <row r="8" spans="2:12" ht="16.5" thickTop="1" thickBot="1" x14ac:dyDescent="0.3">
      <c r="B8" s="86" t="s">
        <v>90</v>
      </c>
      <c r="C8" s="75">
        <v>107587</v>
      </c>
      <c r="D8" s="76">
        <v>111351.1</v>
      </c>
      <c r="E8" s="76">
        <f t="shared" si="0"/>
        <v>103.4986569009267</v>
      </c>
      <c r="F8" s="75">
        <v>121900</v>
      </c>
      <c r="G8" s="76">
        <v>106796.9</v>
      </c>
      <c r="H8" s="76">
        <f t="shared" si="1"/>
        <v>87.610254306808855</v>
      </c>
      <c r="I8" s="76">
        <f t="shared" si="2"/>
        <v>-4554.2000000000116</v>
      </c>
      <c r="J8" s="76">
        <f t="shared" si="3"/>
        <v>-4.0899461253638369</v>
      </c>
      <c r="L8" s="58"/>
    </row>
    <row r="9" spans="2:12" ht="16.5" thickTop="1" thickBot="1" x14ac:dyDescent="0.3">
      <c r="B9" s="86" t="s">
        <v>91</v>
      </c>
      <c r="C9" s="75">
        <v>25313</v>
      </c>
      <c r="D9" s="76">
        <v>17146.099999999999</v>
      </c>
      <c r="E9" s="76">
        <f t="shared" si="0"/>
        <v>67.736341010547932</v>
      </c>
      <c r="F9" s="75">
        <v>32000</v>
      </c>
      <c r="G9" s="76">
        <v>32575.8</v>
      </c>
      <c r="H9" s="76">
        <f t="shared" si="1"/>
        <v>101.799375</v>
      </c>
      <c r="I9" s="76">
        <f t="shared" si="2"/>
        <v>15429.7</v>
      </c>
      <c r="J9" s="76">
        <f t="shared" si="3"/>
        <v>89.989560308175044</v>
      </c>
      <c r="L9" s="58"/>
    </row>
    <row r="10" spans="2:12" ht="37.5" thickTop="1" thickBot="1" x14ac:dyDescent="0.3">
      <c r="B10" s="83" t="s">
        <v>79</v>
      </c>
      <c r="C10" s="85">
        <v>99027</v>
      </c>
      <c r="D10" s="72">
        <v>90814.8</v>
      </c>
      <c r="E10" s="71">
        <f t="shared" si="0"/>
        <v>91.70711018207156</v>
      </c>
      <c r="F10" s="85">
        <v>94722</v>
      </c>
      <c r="G10" s="72">
        <v>94700</v>
      </c>
      <c r="H10" s="71">
        <f t="shared" si="1"/>
        <v>99.976774139059572</v>
      </c>
      <c r="I10" s="72">
        <f t="shared" si="2"/>
        <v>3885.1999999999971</v>
      </c>
      <c r="J10" s="73">
        <f t="shared" si="3"/>
        <v>4.2781573047564905</v>
      </c>
    </row>
    <row r="11" spans="2:12" ht="16.5" thickTop="1" thickBot="1" x14ac:dyDescent="0.3">
      <c r="B11" s="83" t="s">
        <v>80</v>
      </c>
      <c r="C11" s="85">
        <v>192658</v>
      </c>
      <c r="D11" s="72">
        <v>176212.8</v>
      </c>
      <c r="E11" s="71">
        <f>D11/C11*100</f>
        <v>91.464045095454111</v>
      </c>
      <c r="F11" s="85">
        <f>SUM(F12:F13)</f>
        <v>201117</v>
      </c>
      <c r="G11" s="72">
        <f>SUM(G12:G13)</f>
        <v>174459.2</v>
      </c>
      <c r="H11" s="71">
        <f t="shared" si="1"/>
        <v>86.745128457564519</v>
      </c>
      <c r="I11" s="72">
        <f t="shared" si="2"/>
        <v>-1753.5999999999767</v>
      </c>
      <c r="J11" s="73">
        <f t="shared" si="3"/>
        <v>-0.99516039697455394</v>
      </c>
    </row>
    <row r="12" spans="2:12" ht="25.5" thickTop="1" thickBot="1" x14ac:dyDescent="0.3">
      <c r="B12" s="87" t="s">
        <v>88</v>
      </c>
      <c r="C12" s="75">
        <v>70672</v>
      </c>
      <c r="D12" s="76">
        <v>67326.399999999994</v>
      </c>
      <c r="E12" s="76">
        <f t="shared" ref="E12:E13" si="4">D12/C12*100</f>
        <v>95.266017659044593</v>
      </c>
      <c r="F12" s="75">
        <v>77076</v>
      </c>
      <c r="G12" s="76">
        <v>68494.8</v>
      </c>
      <c r="H12" s="76">
        <f t="shared" si="1"/>
        <v>88.86657325237428</v>
      </c>
      <c r="I12" s="76">
        <f t="shared" ref="I12:I13" si="5">G12-D12</f>
        <v>1168.4000000000087</v>
      </c>
      <c r="J12" s="76">
        <f t="shared" ref="J12:J13" si="6">I12*100/D12</f>
        <v>1.7354262221060517</v>
      </c>
    </row>
    <row r="13" spans="2:12" ht="25.5" thickTop="1" thickBot="1" x14ac:dyDescent="0.3">
      <c r="B13" s="87" t="s">
        <v>89</v>
      </c>
      <c r="C13" s="75">
        <v>121986</v>
      </c>
      <c r="D13" s="76">
        <v>109129.2</v>
      </c>
      <c r="E13" s="76">
        <f t="shared" si="4"/>
        <v>89.460429885396692</v>
      </c>
      <c r="F13" s="75">
        <v>124041</v>
      </c>
      <c r="G13" s="76">
        <v>105964.4</v>
      </c>
      <c r="H13" s="76">
        <f t="shared" si="1"/>
        <v>85.426915294136606</v>
      </c>
      <c r="I13" s="76">
        <f t="shared" si="5"/>
        <v>-3164.8000000000029</v>
      </c>
      <c r="J13" s="76">
        <f t="shared" si="6"/>
        <v>-2.9000487495555753</v>
      </c>
    </row>
    <row r="14" spans="2:12" ht="16.5" thickTop="1" thickBot="1" x14ac:dyDescent="0.3">
      <c r="B14" s="77" t="s">
        <v>81</v>
      </c>
      <c r="C14" s="70">
        <f>SUM(C6:C7,C10:C11)</f>
        <v>800035</v>
      </c>
      <c r="D14" s="70">
        <f>SUM(D6:D7,D10:D11)</f>
        <v>751464.3</v>
      </c>
      <c r="E14" s="78">
        <f>D14/C14*100</f>
        <v>93.928928109395216</v>
      </c>
      <c r="F14" s="70">
        <f>SUM(F6:F7,F10:F11)</f>
        <v>824489</v>
      </c>
      <c r="G14" s="70">
        <f>SUM(G6:G7,G10:G11)</f>
        <v>775568.5</v>
      </c>
      <c r="H14" s="78">
        <f>G14/F14*100</f>
        <v>94.066567291983276</v>
      </c>
      <c r="I14" s="70">
        <f>SUM(I6:I7,I10:I11)</f>
        <v>24104.200000000012</v>
      </c>
      <c r="J14" s="78">
        <f>I14*100/D14</f>
        <v>3.2076307550471803</v>
      </c>
      <c r="K14" s="59">
        <f>D14+D25</f>
        <v>1217676.6000000001</v>
      </c>
      <c r="L14" s="59">
        <f>G14+G25</f>
        <v>1125516</v>
      </c>
    </row>
    <row r="15" spans="2:12" ht="15.75" thickTop="1" x14ac:dyDescent="0.25"/>
    <row r="17" spans="2:10" ht="16.5" x14ac:dyDescent="0.25">
      <c r="B17" s="240" t="s">
        <v>195</v>
      </c>
      <c r="C17" s="240"/>
      <c r="D17" s="240"/>
      <c r="E17" s="240"/>
      <c r="F17" s="240"/>
      <c r="G17" s="240"/>
      <c r="H17" s="240"/>
      <c r="I17" s="240"/>
      <c r="J17" s="240"/>
    </row>
    <row r="18" spans="2:10" ht="15.75" thickBot="1" x14ac:dyDescent="0.3"/>
    <row r="19" spans="2:10" ht="21" customHeight="1" thickTop="1" thickBot="1" x14ac:dyDescent="0.3">
      <c r="B19" s="268" t="s">
        <v>82</v>
      </c>
      <c r="C19" s="268">
        <v>2018</v>
      </c>
      <c r="D19" s="268"/>
      <c r="E19" s="268"/>
      <c r="F19" s="268">
        <v>2019</v>
      </c>
      <c r="G19" s="268"/>
      <c r="H19" s="268"/>
      <c r="I19" s="268" t="s">
        <v>45</v>
      </c>
      <c r="J19" s="268" t="s">
        <v>5</v>
      </c>
    </row>
    <row r="20" spans="2:10" ht="16.5" thickTop="1" thickBot="1" x14ac:dyDescent="0.3">
      <c r="B20" s="268"/>
      <c r="C20" s="67" t="s">
        <v>46</v>
      </c>
      <c r="D20" s="67" t="s">
        <v>47</v>
      </c>
      <c r="E20" s="67" t="s">
        <v>5</v>
      </c>
      <c r="F20" s="67" t="s">
        <v>46</v>
      </c>
      <c r="G20" s="67" t="s">
        <v>47</v>
      </c>
      <c r="H20" s="67" t="s">
        <v>5</v>
      </c>
      <c r="I20" s="268"/>
      <c r="J20" s="268"/>
    </row>
    <row r="21" spans="2:10" ht="61.5" thickTop="1" thickBot="1" x14ac:dyDescent="0.3">
      <c r="B21" s="68" t="s">
        <v>83</v>
      </c>
      <c r="C21" s="69">
        <v>273331</v>
      </c>
      <c r="D21" s="70">
        <v>302213.90000000002</v>
      </c>
      <c r="E21" s="71">
        <f>D21/C21*100</f>
        <v>110.56700484028524</v>
      </c>
      <c r="F21" s="69">
        <v>208800</v>
      </c>
      <c r="G21" s="70">
        <v>234575.4</v>
      </c>
      <c r="H21" s="71">
        <f>G21/F21*100</f>
        <v>112.34454022988504</v>
      </c>
      <c r="I21" s="72">
        <f>G21-D21</f>
        <v>-67638.500000000029</v>
      </c>
      <c r="J21" s="73">
        <f>I21*100/D21</f>
        <v>-22.381002329806808</v>
      </c>
    </row>
    <row r="22" spans="2:10" ht="25.5" thickTop="1" thickBot="1" x14ac:dyDescent="0.3">
      <c r="B22" s="68" t="s">
        <v>84</v>
      </c>
      <c r="C22" s="69">
        <f>SUM(C23:C24)</f>
        <v>225700</v>
      </c>
      <c r="D22" s="70">
        <f>SUM(D23:D24)</f>
        <v>163998.39999999999</v>
      </c>
      <c r="E22" s="71">
        <f t="shared" ref="E22:E24" si="7">D22/C22*100</f>
        <v>72.662117855560467</v>
      </c>
      <c r="F22" s="69">
        <f>SUM(F23:F24)</f>
        <v>231000</v>
      </c>
      <c r="G22" s="70">
        <f>SUM(G23:G24)</f>
        <v>115372.1</v>
      </c>
      <c r="H22" s="71">
        <f t="shared" ref="H22:H24" si="8">G22/F22*100</f>
        <v>49.944632034632036</v>
      </c>
      <c r="I22" s="72">
        <f t="shared" ref="I22:I24" si="9">G22-D22</f>
        <v>-48626.299999999988</v>
      </c>
      <c r="J22" s="73">
        <f t="shared" ref="J22:J25" si="10">I22*100/D22</f>
        <v>-29.650472199728775</v>
      </c>
    </row>
    <row r="23" spans="2:10" ht="16.5" thickTop="1" thickBot="1" x14ac:dyDescent="0.3">
      <c r="B23" s="74" t="s">
        <v>85</v>
      </c>
      <c r="C23" s="75">
        <v>160000</v>
      </c>
      <c r="D23" s="76">
        <v>135302.9</v>
      </c>
      <c r="E23" s="71">
        <f t="shared" si="7"/>
        <v>84.5643125</v>
      </c>
      <c r="F23" s="75">
        <v>163478</v>
      </c>
      <c r="G23" s="76">
        <v>48529.599999999999</v>
      </c>
      <c r="H23" s="71">
        <f t="shared" si="8"/>
        <v>29.68570694527704</v>
      </c>
      <c r="I23" s="72">
        <f t="shared" si="9"/>
        <v>-86773.299999999988</v>
      </c>
      <c r="J23" s="73">
        <f t="shared" si="10"/>
        <v>-64.132623912717307</v>
      </c>
    </row>
    <row r="24" spans="2:10" ht="16.5" thickTop="1" thickBot="1" x14ac:dyDescent="0.3">
      <c r="B24" s="74" t="s">
        <v>86</v>
      </c>
      <c r="C24" s="75">
        <v>65700</v>
      </c>
      <c r="D24" s="76">
        <v>28695.5</v>
      </c>
      <c r="E24" s="71">
        <f t="shared" si="7"/>
        <v>43.676560121765604</v>
      </c>
      <c r="F24" s="75">
        <v>67522</v>
      </c>
      <c r="G24" s="76">
        <v>66842.5</v>
      </c>
      <c r="H24" s="71">
        <f t="shared" si="8"/>
        <v>98.993661325197706</v>
      </c>
      <c r="I24" s="72">
        <f t="shared" si="9"/>
        <v>38147</v>
      </c>
      <c r="J24" s="73">
        <f t="shared" si="10"/>
        <v>132.93722012162186</v>
      </c>
    </row>
    <row r="25" spans="2:10" ht="16.5" thickTop="1" thickBot="1" x14ac:dyDescent="0.3">
      <c r="B25" s="77" t="s">
        <v>87</v>
      </c>
      <c r="C25" s="69">
        <f>SUM(C21:C22)</f>
        <v>499031</v>
      </c>
      <c r="D25" s="70">
        <f>SUM(D21:D22)</f>
        <v>466212.30000000005</v>
      </c>
      <c r="E25" s="78">
        <f>D25/C25*100</f>
        <v>93.423514771627424</v>
      </c>
      <c r="F25" s="69">
        <f>SUM(F21:F22)</f>
        <v>439800</v>
      </c>
      <c r="G25" s="70">
        <f>SUM(G21:G22)</f>
        <v>349947.5</v>
      </c>
      <c r="H25" s="78">
        <f>G25/F25*100</f>
        <v>79.56969076853116</v>
      </c>
      <c r="I25" s="70">
        <f>G25-D25</f>
        <v>-116264.80000000005</v>
      </c>
      <c r="J25" s="78">
        <f t="shared" si="10"/>
        <v>-24.93816658204857</v>
      </c>
    </row>
    <row r="26" spans="2:10" ht="16.5" thickTop="1" thickBot="1" x14ac:dyDescent="0.3">
      <c r="B26" s="79"/>
      <c r="C26" s="79"/>
      <c r="D26" s="79"/>
      <c r="E26" s="79"/>
      <c r="F26" s="79"/>
      <c r="G26" s="79"/>
      <c r="H26" s="79"/>
      <c r="I26" s="79"/>
      <c r="J26" s="79"/>
    </row>
    <row r="27" spans="2:10" ht="16.5" thickTop="1" thickBot="1" x14ac:dyDescent="0.3">
      <c r="B27" s="269" t="s">
        <v>186</v>
      </c>
      <c r="C27" s="269"/>
      <c r="D27" s="269"/>
      <c r="E27" s="269"/>
      <c r="F27" s="269"/>
      <c r="G27" s="269"/>
      <c r="H27" s="269"/>
      <c r="I27" s="269"/>
      <c r="J27" s="269"/>
    </row>
    <row r="28" spans="2:10" ht="16.5" thickTop="1" thickBot="1" x14ac:dyDescent="0.3">
      <c r="B28" s="80" t="s">
        <v>187</v>
      </c>
      <c r="C28" s="81">
        <v>80050</v>
      </c>
      <c r="D28" s="82">
        <v>85763.5</v>
      </c>
      <c r="E28" s="71">
        <f t="shared" ref="E28" si="11">D28/C28*100</f>
        <v>107.13741411617738</v>
      </c>
      <c r="F28" s="81">
        <v>85450</v>
      </c>
      <c r="G28" s="82">
        <v>88359.2</v>
      </c>
      <c r="H28" s="71">
        <f>G28/F28*100</f>
        <v>103.40456407255705</v>
      </c>
      <c r="I28" s="72">
        <f>G28-D28</f>
        <v>2595.6999999999971</v>
      </c>
      <c r="J28" s="73">
        <f>I28*100/D28</f>
        <v>3.0265789059448331</v>
      </c>
    </row>
    <row r="29" spans="2:10" ht="15.75" thickTop="1" x14ac:dyDescent="0.25">
      <c r="B29" s="60"/>
      <c r="C29" s="61"/>
      <c r="D29" s="62"/>
      <c r="E29" s="63"/>
      <c r="F29" s="61"/>
      <c r="G29" s="62"/>
      <c r="H29" s="63"/>
      <c r="I29" s="64"/>
      <c r="J29" s="57"/>
    </row>
    <row r="30" spans="2:10" x14ac:dyDescent="0.25">
      <c r="B30" s="60"/>
      <c r="C30" s="61"/>
      <c r="D30" s="60"/>
      <c r="E30" s="60"/>
      <c r="F30" s="61"/>
      <c r="G30" s="62"/>
      <c r="H30" s="60"/>
      <c r="I30" s="60"/>
      <c r="J30" s="60"/>
    </row>
    <row r="31" spans="2:10" ht="16.5" x14ac:dyDescent="0.25">
      <c r="B31" s="240" t="s">
        <v>196</v>
      </c>
      <c r="C31" s="240"/>
      <c r="D31" s="240"/>
      <c r="E31" s="240"/>
      <c r="F31" s="240"/>
      <c r="G31" s="240"/>
      <c r="H31" s="240"/>
      <c r="I31" s="240"/>
      <c r="J31" s="240"/>
    </row>
    <row r="32" spans="2:10" ht="15.75" thickBot="1" x14ac:dyDescent="0.3">
      <c r="B32" s="60"/>
      <c r="C32" s="61"/>
      <c r="D32" s="60"/>
      <c r="E32" s="60"/>
      <c r="F32" s="61"/>
      <c r="G32" s="62"/>
      <c r="H32" s="60"/>
      <c r="I32" s="60"/>
      <c r="J32" s="60"/>
    </row>
    <row r="33" spans="2:10" ht="16.5" thickTop="1" thickBot="1" x14ac:dyDescent="0.3">
      <c r="B33" s="268" t="s">
        <v>44</v>
      </c>
      <c r="C33" s="268">
        <v>2018</v>
      </c>
      <c r="D33" s="268"/>
      <c r="E33" s="268"/>
      <c r="F33" s="268">
        <v>2019</v>
      </c>
      <c r="G33" s="268"/>
      <c r="H33" s="268"/>
      <c r="I33" s="268" t="s">
        <v>45</v>
      </c>
      <c r="J33" s="268" t="s">
        <v>5</v>
      </c>
    </row>
    <row r="34" spans="2:10" ht="16.5" thickTop="1" thickBot="1" x14ac:dyDescent="0.3">
      <c r="B34" s="268"/>
      <c r="C34" s="67" t="s">
        <v>46</v>
      </c>
      <c r="D34" s="67" t="s">
        <v>47</v>
      </c>
      <c r="E34" s="67" t="s">
        <v>5</v>
      </c>
      <c r="F34" s="67" t="s">
        <v>46</v>
      </c>
      <c r="G34" s="67" t="s">
        <v>47</v>
      </c>
      <c r="H34" s="67" t="s">
        <v>5</v>
      </c>
      <c r="I34" s="268"/>
      <c r="J34" s="268"/>
    </row>
    <row r="35" spans="2:10" ht="25.5" thickTop="1" thickBot="1" x14ac:dyDescent="0.3">
      <c r="B35" s="68" t="s">
        <v>92</v>
      </c>
      <c r="C35" s="69">
        <v>16000</v>
      </c>
      <c r="D35" s="70">
        <v>5903.3</v>
      </c>
      <c r="E35" s="71">
        <f>D35/C35*100</f>
        <v>36.895624999999995</v>
      </c>
      <c r="F35" s="69">
        <v>16000</v>
      </c>
      <c r="G35" s="70">
        <v>3917.99</v>
      </c>
      <c r="H35" s="71">
        <f>G35/F35*100</f>
        <v>24.487437499999999</v>
      </c>
      <c r="I35" s="70">
        <f>G35-D35</f>
        <v>-1985.3100000000004</v>
      </c>
      <c r="J35" s="71">
        <f>I35/D35*100</f>
        <v>-33.630511747666567</v>
      </c>
    </row>
    <row r="36" spans="2:10" ht="25.5" thickTop="1" thickBot="1" x14ac:dyDescent="0.3">
      <c r="B36" s="68" t="s">
        <v>93</v>
      </c>
      <c r="C36" s="69">
        <v>1300</v>
      </c>
      <c r="D36" s="70">
        <v>3546.8</v>
      </c>
      <c r="E36" s="71">
        <f t="shared" ref="E36:E41" si="12">D36/C36*100</f>
        <v>272.83076923076925</v>
      </c>
      <c r="F36" s="69">
        <v>0</v>
      </c>
      <c r="G36" s="70">
        <v>1068.96</v>
      </c>
      <c r="H36" s="71" t="e">
        <f t="shared" ref="H36:H41" si="13">G36/F36*100</f>
        <v>#DIV/0!</v>
      </c>
      <c r="I36" s="70">
        <f t="shared" ref="I36:I40" si="14">G36-D36</f>
        <v>-2477.84</v>
      </c>
      <c r="J36" s="71">
        <f t="shared" ref="J36:J41" si="15">I36/D36*100</f>
        <v>-69.861283410398102</v>
      </c>
    </row>
    <row r="37" spans="2:10" ht="37.5" thickTop="1" thickBot="1" x14ac:dyDescent="0.3">
      <c r="B37" s="68" t="s">
        <v>94</v>
      </c>
      <c r="C37" s="75">
        <v>4100</v>
      </c>
      <c r="D37" s="76">
        <v>0</v>
      </c>
      <c r="E37" s="71">
        <f t="shared" si="12"/>
        <v>0</v>
      </c>
      <c r="F37" s="75">
        <v>4500</v>
      </c>
      <c r="G37" s="76">
        <v>0</v>
      </c>
      <c r="H37" s="71">
        <f t="shared" si="13"/>
        <v>0</v>
      </c>
      <c r="I37" s="70">
        <f t="shared" si="14"/>
        <v>0</v>
      </c>
      <c r="J37" s="71" t="e">
        <f t="shared" si="15"/>
        <v>#DIV/0!</v>
      </c>
    </row>
    <row r="38" spans="2:10" ht="37.5" thickTop="1" thickBot="1" x14ac:dyDescent="0.3">
      <c r="B38" s="68" t="s">
        <v>95</v>
      </c>
      <c r="C38" s="75">
        <v>3000</v>
      </c>
      <c r="D38" s="76">
        <v>2610.8000000000002</v>
      </c>
      <c r="E38" s="71">
        <f t="shared" si="12"/>
        <v>87.026666666666671</v>
      </c>
      <c r="F38" s="75">
        <v>2000</v>
      </c>
      <c r="G38" s="76">
        <v>1568.52</v>
      </c>
      <c r="H38" s="71">
        <f t="shared" si="13"/>
        <v>78.426000000000002</v>
      </c>
      <c r="I38" s="70">
        <f t="shared" si="14"/>
        <v>-1042.2800000000002</v>
      </c>
      <c r="J38" s="71">
        <f>I38/D38*100</f>
        <v>-39.921863030488744</v>
      </c>
    </row>
    <row r="39" spans="2:10" ht="37.5" thickTop="1" thickBot="1" x14ac:dyDescent="0.3">
      <c r="B39" s="68" t="s">
        <v>96</v>
      </c>
      <c r="C39" s="69">
        <v>1302</v>
      </c>
      <c r="D39" s="70">
        <v>153</v>
      </c>
      <c r="E39" s="71">
        <f t="shared" si="12"/>
        <v>11.751152073732719</v>
      </c>
      <c r="F39" s="69">
        <v>802</v>
      </c>
      <c r="G39" s="70">
        <v>533.94000000000005</v>
      </c>
      <c r="H39" s="71">
        <f t="shared" si="13"/>
        <v>66.576059850374065</v>
      </c>
      <c r="I39" s="70">
        <f t="shared" si="14"/>
        <v>380.94000000000005</v>
      </c>
      <c r="J39" s="71">
        <f>I39/D39*100</f>
        <v>248.98039215686279</v>
      </c>
    </row>
    <row r="40" spans="2:10" ht="25.5" thickTop="1" thickBot="1" x14ac:dyDescent="0.3">
      <c r="B40" s="68" t="s">
        <v>97</v>
      </c>
      <c r="C40" s="69">
        <v>1500</v>
      </c>
      <c r="D40" s="70">
        <v>512.6</v>
      </c>
      <c r="E40" s="71">
        <f t="shared" si="12"/>
        <v>34.173333333333332</v>
      </c>
      <c r="F40" s="69">
        <v>0</v>
      </c>
      <c r="G40" s="70">
        <v>0</v>
      </c>
      <c r="H40" s="71" t="e">
        <f t="shared" si="13"/>
        <v>#DIV/0!</v>
      </c>
      <c r="I40" s="70">
        <f t="shared" si="14"/>
        <v>-512.6</v>
      </c>
      <c r="J40" s="71">
        <f t="shared" si="15"/>
        <v>-100</v>
      </c>
    </row>
    <row r="41" spans="2:10" ht="16.5" thickTop="1" thickBot="1" x14ac:dyDescent="0.3">
      <c r="B41" s="77" t="s">
        <v>48</v>
      </c>
      <c r="C41" s="69">
        <f>SUM(C35:C40)</f>
        <v>27202</v>
      </c>
      <c r="D41" s="70">
        <f>SUM(D35:D40)</f>
        <v>12726.500000000002</v>
      </c>
      <c r="E41" s="78">
        <f t="shared" si="12"/>
        <v>46.785162855672382</v>
      </c>
      <c r="F41" s="69">
        <f>SUM(F35:F40)</f>
        <v>23302</v>
      </c>
      <c r="G41" s="70">
        <f>SUM(G35:G40)</f>
        <v>7089.41</v>
      </c>
      <c r="H41" s="78">
        <f t="shared" si="13"/>
        <v>30.424040854862245</v>
      </c>
      <c r="I41" s="70">
        <f>SUM(I35:I40)</f>
        <v>-5637.09</v>
      </c>
      <c r="J41" s="70">
        <f t="shared" si="15"/>
        <v>-44.294110713864768</v>
      </c>
    </row>
    <row r="42" spans="2:10" ht="15.75" thickTop="1" x14ac:dyDescent="0.25"/>
  </sheetData>
  <sheetProtection algorithmName="SHA-512" hashValue="uZSoBhYQKFP3XUJQa50df5rdjGQcmqi4MAmmaXlt+WYbRMVo2nAhobRdSbg5zUYZjwrj7+r07uLm+a0hQT89iQ==" saltValue="AzN35oEfFEg3OiRdEBUxJQ==" spinCount="100000" sheet="1" objects="1" scenarios="1"/>
  <mergeCells count="19">
    <mergeCell ref="B19:B20"/>
    <mergeCell ref="C19:E19"/>
    <mergeCell ref="F19:H19"/>
    <mergeCell ref="I19:I20"/>
    <mergeCell ref="J19:J20"/>
    <mergeCell ref="B31:J31"/>
    <mergeCell ref="B27:J27"/>
    <mergeCell ref="C33:E33"/>
    <mergeCell ref="F33:H33"/>
    <mergeCell ref="I33:I34"/>
    <mergeCell ref="J33:J34"/>
    <mergeCell ref="B33:B34"/>
    <mergeCell ref="F4:H4"/>
    <mergeCell ref="I4:I5"/>
    <mergeCell ref="J4:J5"/>
    <mergeCell ref="B2:J2"/>
    <mergeCell ref="B17:J17"/>
    <mergeCell ref="B4:B5"/>
    <mergeCell ref="C4:E4"/>
  </mergeCells>
  <phoneticPr fontId="1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F2BC-359D-41BD-9568-BA41D856A00B}">
  <dimension ref="A1:S64"/>
  <sheetViews>
    <sheetView zoomScaleNormal="100" workbookViewId="0">
      <pane xSplit="1" ySplit="4" topLeftCell="B5" activePane="bottomRight" state="frozen"/>
      <selection pane="topRight" activeCell="B1" sqref="B1"/>
      <selection pane="bottomLeft" activeCell="A5" sqref="A5"/>
      <selection pane="bottomRight" activeCell="W7" sqref="W7"/>
    </sheetView>
  </sheetViews>
  <sheetFormatPr baseColWidth="10" defaultColWidth="11.42578125" defaultRowHeight="17.25" x14ac:dyDescent="0.25"/>
  <cols>
    <col min="1" max="1" width="30" style="191" customWidth="1"/>
    <col min="2" max="2" width="13.140625" style="149" customWidth="1"/>
    <col min="3" max="3" width="15.140625" style="149" customWidth="1"/>
    <col min="4" max="4" width="14" style="149" customWidth="1"/>
    <col min="5" max="5" width="14.140625" style="142" customWidth="1"/>
    <col min="6" max="6" width="13.28515625" style="142" customWidth="1"/>
    <col min="7" max="7" width="14" style="142" customWidth="1"/>
    <col min="8" max="8" width="12.7109375" style="142" customWidth="1"/>
    <col min="9" max="9" width="14.140625" style="142" customWidth="1"/>
    <col min="10" max="10" width="13.85546875" style="192" customWidth="1"/>
    <col min="11" max="11" width="14" style="149" customWidth="1"/>
    <col min="12" max="12" width="10.28515625" style="193" customWidth="1"/>
    <col min="13" max="13" width="12.140625" style="149" hidden="1" customWidth="1"/>
    <col min="14" max="14" width="20.7109375" style="149" hidden="1" customWidth="1"/>
    <col min="15" max="15" width="18" style="149" hidden="1" customWidth="1"/>
    <col min="16" max="16" width="18.42578125" style="149" hidden="1" customWidth="1"/>
    <col min="17" max="17" width="13.28515625" style="149" hidden="1" customWidth="1"/>
    <col min="18" max="18" width="14" style="149" hidden="1" customWidth="1"/>
    <col min="19" max="19" width="14.28515625" style="149" customWidth="1"/>
    <col min="20" max="22" width="11.42578125" style="149" customWidth="1"/>
    <col min="23" max="16384" width="11.42578125" style="149"/>
  </cols>
  <sheetData>
    <row r="1" spans="1:16" s="133" customFormat="1" ht="23.25" customHeight="1" x14ac:dyDescent="0.25">
      <c r="A1" s="270" t="s">
        <v>234</v>
      </c>
      <c r="B1" s="270"/>
      <c r="C1" s="270"/>
      <c r="D1" s="270"/>
      <c r="E1" s="270"/>
      <c r="F1" s="270"/>
      <c r="G1" s="270"/>
      <c r="H1" s="270"/>
      <c r="I1" s="270"/>
      <c r="J1" s="270"/>
      <c r="K1" s="270"/>
      <c r="L1" s="270"/>
    </row>
    <row r="2" spans="1:16" s="134" customFormat="1" ht="22.5" customHeight="1" x14ac:dyDescent="0.25">
      <c r="A2" s="271" t="s">
        <v>235</v>
      </c>
      <c r="B2" s="272" t="s">
        <v>76</v>
      </c>
      <c r="C2" s="272"/>
      <c r="D2" s="272"/>
      <c r="E2" s="273"/>
      <c r="F2" s="271" t="s">
        <v>236</v>
      </c>
      <c r="G2" s="271"/>
      <c r="H2" s="271"/>
      <c r="I2" s="271"/>
      <c r="J2" s="274" t="s">
        <v>237</v>
      </c>
      <c r="K2" s="271" t="s">
        <v>238</v>
      </c>
      <c r="L2" s="276" t="s">
        <v>239</v>
      </c>
    </row>
    <row r="3" spans="1:16" s="134" customFormat="1" ht="51.75" customHeight="1" x14ac:dyDescent="0.25">
      <c r="A3" s="271"/>
      <c r="B3" s="135" t="s">
        <v>77</v>
      </c>
      <c r="C3" s="135" t="s">
        <v>240</v>
      </c>
      <c r="D3" s="135" t="s">
        <v>80</v>
      </c>
      <c r="E3" s="136" t="s">
        <v>241</v>
      </c>
      <c r="F3" s="135" t="s">
        <v>242</v>
      </c>
      <c r="G3" s="135" t="s">
        <v>243</v>
      </c>
      <c r="H3" s="135" t="s">
        <v>244</v>
      </c>
      <c r="I3" s="136" t="s">
        <v>245</v>
      </c>
      <c r="J3" s="275"/>
      <c r="K3" s="271"/>
      <c r="L3" s="276"/>
    </row>
    <row r="4" spans="1:16" s="142" customFormat="1" ht="30" customHeight="1" x14ac:dyDescent="0.25">
      <c r="A4" s="137" t="s">
        <v>246</v>
      </c>
      <c r="B4" s="138">
        <f t="shared" ref="B4:K4" si="0">SUM(B5:B14)</f>
        <v>15814.474997999998</v>
      </c>
      <c r="C4" s="138">
        <f t="shared" si="0"/>
        <v>15307.865898000002</v>
      </c>
      <c r="D4" s="138">
        <f>SUM(D5:D14)</f>
        <v>10890.927122000001</v>
      </c>
      <c r="E4" s="139">
        <f>SUM(E5:E14)</f>
        <v>42013.268018000002</v>
      </c>
      <c r="F4" s="138">
        <f>SUM(F5:F14)</f>
        <v>0</v>
      </c>
      <c r="G4" s="138">
        <f t="shared" ref="G4" si="1">SUM(G5:G14)</f>
        <v>414.50299999999999</v>
      </c>
      <c r="H4" s="138">
        <f>SUM(H5:H14)</f>
        <v>2810.5749999999998</v>
      </c>
      <c r="I4" s="139">
        <f>SUM(I5:I14)</f>
        <v>3225.078</v>
      </c>
      <c r="J4" s="140">
        <f>E4+I4</f>
        <v>45238.346018000004</v>
      </c>
      <c r="K4" s="138">
        <f t="shared" si="0"/>
        <v>45781.020000000004</v>
      </c>
      <c r="L4" s="141">
        <f>J4/K4</f>
        <v>0.98814631080740445</v>
      </c>
    </row>
    <row r="5" spans="1:16" ht="22.5" customHeight="1" x14ac:dyDescent="0.25">
      <c r="A5" s="143" t="s">
        <v>247</v>
      </c>
      <c r="B5" s="144">
        <v>1455.931116</v>
      </c>
      <c r="C5" s="144">
        <v>6638.2434149999999</v>
      </c>
      <c r="D5" s="144">
        <v>8803.4290249999995</v>
      </c>
      <c r="E5" s="145">
        <f>B5+C5+D5</f>
        <v>16897.603555999998</v>
      </c>
      <c r="F5" s="144"/>
      <c r="G5" s="144">
        <v>414.50299999999999</v>
      </c>
      <c r="H5" s="144">
        <v>2810.5749999999998</v>
      </c>
      <c r="I5" s="146">
        <f>+F5+G5+H5</f>
        <v>3225.078</v>
      </c>
      <c r="J5" s="147">
        <f t="shared" ref="J5:J14" si="2">E5+I5</f>
        <v>20122.681556</v>
      </c>
      <c r="K5" s="144">
        <v>20053.611000000001</v>
      </c>
      <c r="L5" s="148">
        <f t="shared" ref="L5:L48" si="3">J5/K5</f>
        <v>1.0034442951945162</v>
      </c>
      <c r="P5" s="150">
        <f>N5+O5</f>
        <v>0</v>
      </c>
    </row>
    <row r="6" spans="1:16" ht="23.25" customHeight="1" x14ac:dyDescent="0.25">
      <c r="A6" s="143" t="s">
        <v>248</v>
      </c>
      <c r="B6" s="144">
        <v>9667.1189529999992</v>
      </c>
      <c r="C6" s="144">
        <v>5862.518</v>
      </c>
      <c r="D6" s="144">
        <v>245</v>
      </c>
      <c r="E6" s="145">
        <f>B6+C6+D6</f>
        <v>15774.636952999999</v>
      </c>
      <c r="F6" s="144"/>
      <c r="G6" s="151"/>
      <c r="H6" s="151"/>
      <c r="I6" s="152">
        <f t="shared" ref="I6:I14" si="4">+F6+G6+H6</f>
        <v>0</v>
      </c>
      <c r="J6" s="153">
        <f t="shared" si="2"/>
        <v>15774.636952999999</v>
      </c>
      <c r="K6" s="144">
        <v>15751.989</v>
      </c>
      <c r="L6" s="148">
        <f t="shared" si="3"/>
        <v>1.0014377836982999</v>
      </c>
      <c r="N6" s="154"/>
      <c r="O6" s="154"/>
      <c r="P6" s="150">
        <f t="shared" ref="P6:P14" si="5">N6+O6</f>
        <v>0</v>
      </c>
    </row>
    <row r="7" spans="1:16" ht="21" customHeight="1" x14ac:dyDescent="0.25">
      <c r="A7" s="143" t="s">
        <v>249</v>
      </c>
      <c r="B7" s="144">
        <v>842.60373700000002</v>
      </c>
      <c r="C7" s="144">
        <v>440.63397900000001</v>
      </c>
      <c r="D7" s="144">
        <v>2.954752</v>
      </c>
      <c r="E7" s="145">
        <f t="shared" ref="E7:E43" si="6">B7+C7+D7</f>
        <v>1286.1924680000002</v>
      </c>
      <c r="F7" s="144"/>
      <c r="G7" s="151"/>
      <c r="H7" s="151"/>
      <c r="I7" s="152">
        <f t="shared" si="4"/>
        <v>0</v>
      </c>
      <c r="J7" s="153">
        <f t="shared" si="2"/>
        <v>1286.1924680000002</v>
      </c>
      <c r="K7" s="144">
        <v>1301.1010000000001</v>
      </c>
      <c r="L7" s="148">
        <f t="shared" si="3"/>
        <v>0.9885416028425158</v>
      </c>
      <c r="P7" s="150">
        <f t="shared" si="5"/>
        <v>0</v>
      </c>
    </row>
    <row r="8" spans="1:16" ht="19.5" customHeight="1" x14ac:dyDescent="0.25">
      <c r="A8" s="143" t="s">
        <v>250</v>
      </c>
      <c r="B8" s="144">
        <v>1498.1763330000001</v>
      </c>
      <c r="C8" s="144">
        <v>704.69393300000002</v>
      </c>
      <c r="D8" s="144">
        <v>479.17980799999998</v>
      </c>
      <c r="E8" s="145">
        <f>B8+C8+D8</f>
        <v>2682.0500739999998</v>
      </c>
      <c r="F8" s="144"/>
      <c r="G8" s="151"/>
      <c r="H8" s="151"/>
      <c r="I8" s="152">
        <f t="shared" si="4"/>
        <v>0</v>
      </c>
      <c r="J8" s="153">
        <f t="shared" si="2"/>
        <v>2682.0500739999998</v>
      </c>
      <c r="K8" s="144">
        <v>2911.665</v>
      </c>
      <c r="L8" s="148">
        <f t="shared" si="3"/>
        <v>0.92113964827684491</v>
      </c>
      <c r="P8" s="150">
        <f t="shared" si="5"/>
        <v>0</v>
      </c>
    </row>
    <row r="9" spans="1:16" ht="23.25" customHeight="1" x14ac:dyDescent="0.25">
      <c r="A9" s="143" t="s">
        <v>251</v>
      </c>
      <c r="B9" s="144">
        <v>1202.480593</v>
      </c>
      <c r="C9" s="144">
        <v>496.04877900000002</v>
      </c>
      <c r="D9" s="144">
        <v>26.623829000000001</v>
      </c>
      <c r="E9" s="145">
        <f t="shared" si="6"/>
        <v>1725.1532010000001</v>
      </c>
      <c r="F9" s="144"/>
      <c r="G9" s="151"/>
      <c r="H9" s="151"/>
      <c r="I9" s="152">
        <f t="shared" si="4"/>
        <v>0</v>
      </c>
      <c r="J9" s="153">
        <f t="shared" si="2"/>
        <v>1725.1532010000001</v>
      </c>
      <c r="K9" s="144">
        <v>1858.8109999999999</v>
      </c>
      <c r="L9" s="148">
        <f t="shared" si="3"/>
        <v>0.9280950032036609</v>
      </c>
      <c r="P9" s="150">
        <f>N9+O9</f>
        <v>0</v>
      </c>
    </row>
    <row r="10" spans="1:16" ht="27" customHeight="1" x14ac:dyDescent="0.25">
      <c r="A10" s="143" t="s">
        <v>252</v>
      </c>
      <c r="B10" s="144">
        <v>871.06368699999996</v>
      </c>
      <c r="C10" s="144">
        <v>802.29368599999998</v>
      </c>
      <c r="D10" s="144">
        <v>99.780119999999997</v>
      </c>
      <c r="E10" s="145">
        <f t="shared" si="6"/>
        <v>1773.1374929999997</v>
      </c>
      <c r="F10" s="144"/>
      <c r="G10" s="151"/>
      <c r="H10" s="151"/>
      <c r="I10" s="152">
        <f t="shared" si="4"/>
        <v>0</v>
      </c>
      <c r="J10" s="153">
        <f t="shared" si="2"/>
        <v>1773.1374929999997</v>
      </c>
      <c r="K10" s="144">
        <v>1847.8530000000001</v>
      </c>
      <c r="L10" s="148">
        <f t="shared" si="3"/>
        <v>0.95956631452826591</v>
      </c>
      <c r="P10" s="150">
        <f t="shared" si="5"/>
        <v>0</v>
      </c>
    </row>
    <row r="11" spans="1:16" ht="23.25" customHeight="1" x14ac:dyDescent="0.25">
      <c r="A11" s="143" t="s">
        <v>253</v>
      </c>
      <c r="B11" s="144">
        <v>277.10057899999998</v>
      </c>
      <c r="C11" s="144">
        <v>173.88517999999999</v>
      </c>
      <c r="D11" s="144">
        <v>1</v>
      </c>
      <c r="E11" s="145">
        <f t="shared" si="6"/>
        <v>451.98575899999997</v>
      </c>
      <c r="F11" s="144"/>
      <c r="G11" s="151"/>
      <c r="H11" s="151"/>
      <c r="I11" s="152">
        <f t="shared" si="4"/>
        <v>0</v>
      </c>
      <c r="J11" s="153">
        <f t="shared" si="2"/>
        <v>451.98575899999997</v>
      </c>
      <c r="K11" s="144">
        <v>450</v>
      </c>
      <c r="L11" s="148">
        <f t="shared" si="3"/>
        <v>1.0044127977777777</v>
      </c>
      <c r="P11" s="150">
        <f t="shared" si="5"/>
        <v>0</v>
      </c>
    </row>
    <row r="12" spans="1:16" ht="28.5" customHeight="1" x14ac:dyDescent="0.25">
      <c r="A12" s="143" t="s">
        <v>254</v>
      </c>
      <c r="B12" s="144"/>
      <c r="C12" s="144">
        <v>189.54892599999999</v>
      </c>
      <c r="D12" s="144">
        <v>78.607588000000007</v>
      </c>
      <c r="E12" s="145">
        <f t="shared" si="6"/>
        <v>268.15651400000002</v>
      </c>
      <c r="F12" s="144"/>
      <c r="G12" s="151"/>
      <c r="H12" s="151"/>
      <c r="I12" s="152">
        <f t="shared" si="4"/>
        <v>0</v>
      </c>
      <c r="J12" s="153">
        <f t="shared" si="2"/>
        <v>268.15651400000002</v>
      </c>
      <c r="K12" s="144">
        <v>412.36700000000002</v>
      </c>
      <c r="L12" s="148">
        <f t="shared" si="3"/>
        <v>0.65028606556780733</v>
      </c>
      <c r="P12" s="150">
        <f t="shared" si="5"/>
        <v>0</v>
      </c>
    </row>
    <row r="13" spans="1:16" ht="31.5" customHeight="1" x14ac:dyDescent="0.25">
      <c r="A13" s="143" t="s">
        <v>255</v>
      </c>
      <c r="B13" s="144"/>
      <c r="C13" s="144"/>
      <c r="D13" s="144">
        <v>800</v>
      </c>
      <c r="E13" s="145">
        <f t="shared" si="6"/>
        <v>800</v>
      </c>
      <c r="F13" s="144"/>
      <c r="G13" s="151"/>
      <c r="H13" s="151"/>
      <c r="I13" s="152">
        <f t="shared" si="4"/>
        <v>0</v>
      </c>
      <c r="J13" s="153">
        <f t="shared" si="2"/>
        <v>800</v>
      </c>
      <c r="K13" s="144">
        <v>800</v>
      </c>
      <c r="L13" s="148">
        <f t="shared" si="3"/>
        <v>1</v>
      </c>
      <c r="P13" s="150">
        <f t="shared" si="5"/>
        <v>0</v>
      </c>
    </row>
    <row r="14" spans="1:16" ht="31.5" customHeight="1" x14ac:dyDescent="0.25">
      <c r="A14" s="143" t="s">
        <v>256</v>
      </c>
      <c r="B14" s="144"/>
      <c r="C14" s="144"/>
      <c r="D14" s="144">
        <v>354.35199999999998</v>
      </c>
      <c r="E14" s="145">
        <f t="shared" si="6"/>
        <v>354.35199999999998</v>
      </c>
      <c r="F14" s="144"/>
      <c r="G14" s="151"/>
      <c r="H14" s="151"/>
      <c r="I14" s="155">
        <f t="shared" si="4"/>
        <v>0</v>
      </c>
      <c r="J14" s="156">
        <f t="shared" si="2"/>
        <v>354.35199999999998</v>
      </c>
      <c r="K14" s="144">
        <v>393.62299999999999</v>
      </c>
      <c r="L14" s="148">
        <f t="shared" si="3"/>
        <v>0.90023194782825189</v>
      </c>
      <c r="P14" s="150">
        <f t="shared" si="5"/>
        <v>0</v>
      </c>
    </row>
    <row r="15" spans="1:16" ht="3.75" customHeight="1" x14ac:dyDescent="0.25">
      <c r="A15" s="157"/>
      <c r="B15" s="158"/>
      <c r="C15" s="158"/>
      <c r="D15" s="158"/>
      <c r="E15" s="158"/>
      <c r="F15" s="158"/>
      <c r="G15" s="158"/>
      <c r="H15" s="158"/>
      <c r="I15" s="139"/>
      <c r="J15" s="140"/>
      <c r="K15" s="158"/>
      <c r="L15" s="157"/>
    </row>
    <row r="16" spans="1:16" s="142" customFormat="1" ht="30.75" customHeight="1" x14ac:dyDescent="0.25">
      <c r="A16" s="137" t="s">
        <v>257</v>
      </c>
      <c r="B16" s="138">
        <f>SUM(B17:B39)</f>
        <v>301402.91704600002</v>
      </c>
      <c r="C16" s="138">
        <f t="shared" ref="C16:K16" si="7">SUM(C17:C39)</f>
        <v>49435.980416999999</v>
      </c>
      <c r="D16" s="138">
        <f t="shared" si="7"/>
        <v>114677.347545</v>
      </c>
      <c r="E16" s="139">
        <f t="shared" si="7"/>
        <v>465516.24500799994</v>
      </c>
      <c r="F16" s="138">
        <f>SUM(F17:F39)</f>
        <v>211871.08800000002</v>
      </c>
      <c r="G16" s="138">
        <f>SUM(G17:G39)</f>
        <v>66428.008000000002</v>
      </c>
      <c r="H16" s="138">
        <f>SUM(H17:H39)</f>
        <v>45719.021999999997</v>
      </c>
      <c r="I16" s="139">
        <f t="shared" si="7"/>
        <v>324018.11799999996</v>
      </c>
      <c r="J16" s="140">
        <f>E16+I16</f>
        <v>789534.36300799996</v>
      </c>
      <c r="K16" s="138">
        <f t="shared" si="7"/>
        <v>926927.79700000014</v>
      </c>
      <c r="L16" s="141">
        <f t="shared" si="3"/>
        <v>0.85177547330366643</v>
      </c>
      <c r="N16" s="149"/>
      <c r="O16" s="149"/>
    </row>
    <row r="17" spans="1:16" ht="23.25" customHeight="1" x14ac:dyDescent="0.25">
      <c r="A17" s="143" t="s">
        <v>258</v>
      </c>
      <c r="B17" s="159">
        <v>33050.365152999999</v>
      </c>
      <c r="C17" s="159">
        <v>3675.4321719999998</v>
      </c>
      <c r="D17" s="159">
        <v>1460.6717369999999</v>
      </c>
      <c r="E17" s="160">
        <f t="shared" si="6"/>
        <v>38186.469061999996</v>
      </c>
      <c r="F17" s="159">
        <v>6548.7110000000002</v>
      </c>
      <c r="G17" s="161">
        <v>0</v>
      </c>
      <c r="H17" s="161">
        <v>0</v>
      </c>
      <c r="I17" s="146">
        <f t="shared" ref="I17:I39" si="8">F17+G17+H17</f>
        <v>6548.7110000000002</v>
      </c>
      <c r="J17" s="147">
        <f t="shared" ref="J17:J39" si="9">E17+I17</f>
        <v>44735.180061999999</v>
      </c>
      <c r="K17" s="159">
        <v>39911.065000000002</v>
      </c>
      <c r="L17" s="162">
        <f t="shared" si="3"/>
        <v>1.1208716194869768</v>
      </c>
      <c r="P17" s="150">
        <f>N17+O17</f>
        <v>0</v>
      </c>
    </row>
    <row r="18" spans="1:16" ht="20.25" customHeight="1" x14ac:dyDescent="0.25">
      <c r="A18" s="143" t="s">
        <v>259</v>
      </c>
      <c r="B18" s="159">
        <f>8353.472903</f>
        <v>8353.4729029999999</v>
      </c>
      <c r="C18" s="159">
        <v>1804.1801330000001</v>
      </c>
      <c r="D18" s="159">
        <v>4203.1987319999998</v>
      </c>
      <c r="E18" s="145">
        <f t="shared" si="6"/>
        <v>14360.851768</v>
      </c>
      <c r="F18" s="159">
        <f>23394.778-22704.318</f>
        <v>690.45999999999913</v>
      </c>
      <c r="G18" s="159">
        <v>29650.734</v>
      </c>
      <c r="H18" s="159">
        <v>0</v>
      </c>
      <c r="I18" s="152">
        <f t="shared" si="8"/>
        <v>30341.194</v>
      </c>
      <c r="J18" s="153">
        <f t="shared" si="9"/>
        <v>44702.045767999996</v>
      </c>
      <c r="K18" s="159">
        <v>15516.655000000001</v>
      </c>
      <c r="L18" s="148">
        <f t="shared" si="3"/>
        <v>2.8809073713374431</v>
      </c>
      <c r="M18" s="154"/>
      <c r="P18" s="150">
        <f t="shared" ref="P18:P38" si="10">N18+O18</f>
        <v>0</v>
      </c>
    </row>
    <row r="19" spans="1:16" ht="20.25" customHeight="1" x14ac:dyDescent="0.25">
      <c r="A19" s="143" t="s">
        <v>260</v>
      </c>
      <c r="B19" s="159">
        <v>5520.4822569999997</v>
      </c>
      <c r="C19" s="159">
        <v>2033.7959410000001</v>
      </c>
      <c r="D19" s="159">
        <v>3962.179196</v>
      </c>
      <c r="E19" s="145">
        <f t="shared" si="6"/>
        <v>11516.457394000001</v>
      </c>
      <c r="F19" s="159">
        <v>1991.0730000000001</v>
      </c>
      <c r="G19" s="159">
        <v>0</v>
      </c>
      <c r="H19" s="159">
        <v>0</v>
      </c>
      <c r="I19" s="152">
        <f t="shared" si="8"/>
        <v>1991.0730000000001</v>
      </c>
      <c r="J19" s="153">
        <f t="shared" si="9"/>
        <v>13507.530394000001</v>
      </c>
      <c r="K19" s="159">
        <v>15926.296</v>
      </c>
      <c r="L19" s="148">
        <f t="shared" si="3"/>
        <v>0.84812754918029909</v>
      </c>
      <c r="P19" s="150">
        <f t="shared" si="10"/>
        <v>0</v>
      </c>
    </row>
    <row r="20" spans="1:16" ht="19.5" customHeight="1" x14ac:dyDescent="0.25">
      <c r="A20" s="143" t="s">
        <v>261</v>
      </c>
      <c r="B20" s="144">
        <v>992.82246699999996</v>
      </c>
      <c r="C20" s="159">
        <v>1881.6271839999999</v>
      </c>
      <c r="D20" s="159">
        <v>1893.677324</v>
      </c>
      <c r="E20" s="145">
        <f t="shared" si="6"/>
        <v>4768.1269750000001</v>
      </c>
      <c r="F20" s="159">
        <v>100</v>
      </c>
      <c r="G20" s="159">
        <v>1499.134</v>
      </c>
      <c r="H20" s="159">
        <v>900.82</v>
      </c>
      <c r="I20" s="152">
        <f t="shared" si="8"/>
        <v>2499.9540000000002</v>
      </c>
      <c r="J20" s="153">
        <f t="shared" si="9"/>
        <v>7268.0809750000008</v>
      </c>
      <c r="K20" s="159">
        <v>14217.623</v>
      </c>
      <c r="L20" s="148">
        <f t="shared" si="3"/>
        <v>0.51120225757849969</v>
      </c>
      <c r="P20" s="150">
        <f t="shared" si="10"/>
        <v>0</v>
      </c>
    </row>
    <row r="21" spans="1:16" ht="30" customHeight="1" x14ac:dyDescent="0.25">
      <c r="A21" s="143" t="s">
        <v>262</v>
      </c>
      <c r="B21" s="159">
        <f>711.162606</f>
        <v>711.16260599999998</v>
      </c>
      <c r="C21" s="159">
        <v>716.30742099999998</v>
      </c>
      <c r="D21" s="159">
        <v>4882.4116590000003</v>
      </c>
      <c r="E21" s="145">
        <f t="shared" si="6"/>
        <v>6309.8816860000006</v>
      </c>
      <c r="F21" s="159">
        <v>10391.424999999999</v>
      </c>
      <c r="G21" s="159"/>
      <c r="H21" s="159">
        <v>946.25</v>
      </c>
      <c r="I21" s="152">
        <f t="shared" si="8"/>
        <v>11337.674999999999</v>
      </c>
      <c r="J21" s="153">
        <f t="shared" si="9"/>
        <v>17647.556686</v>
      </c>
      <c r="K21" s="159">
        <v>26742.805</v>
      </c>
      <c r="L21" s="148">
        <f t="shared" si="3"/>
        <v>0.65989923966465003</v>
      </c>
      <c r="N21" s="150"/>
      <c r="O21" s="150"/>
      <c r="P21" s="150">
        <f t="shared" si="10"/>
        <v>0</v>
      </c>
    </row>
    <row r="22" spans="1:16" ht="27.75" customHeight="1" x14ac:dyDescent="0.25">
      <c r="A22" s="143" t="s">
        <v>263</v>
      </c>
      <c r="B22" s="159">
        <v>3541.8075979999999</v>
      </c>
      <c r="C22" s="159">
        <v>573.77538600000003</v>
      </c>
      <c r="D22" s="159">
        <v>1191.1400000000001</v>
      </c>
      <c r="E22" s="145">
        <f t="shared" si="6"/>
        <v>5306.722984</v>
      </c>
      <c r="F22" s="159">
        <v>38131.360000000001</v>
      </c>
      <c r="G22" s="159">
        <v>1000</v>
      </c>
      <c r="H22" s="159">
        <v>9904.7890000000007</v>
      </c>
      <c r="I22" s="152">
        <f t="shared" si="8"/>
        <v>49036.149000000005</v>
      </c>
      <c r="J22" s="153">
        <f t="shared" si="9"/>
        <v>54342.871984000005</v>
      </c>
      <c r="K22" s="159">
        <v>68216.316000000006</v>
      </c>
      <c r="L22" s="148">
        <f t="shared" si="3"/>
        <v>0.79662572197537018</v>
      </c>
      <c r="N22" s="150"/>
      <c r="O22" s="150"/>
      <c r="P22" s="150">
        <f t="shared" si="10"/>
        <v>0</v>
      </c>
    </row>
    <row r="23" spans="1:16" ht="24.75" customHeight="1" x14ac:dyDescent="0.25">
      <c r="A23" s="143" t="s">
        <v>264</v>
      </c>
      <c r="B23" s="159">
        <v>960.44486900000004</v>
      </c>
      <c r="C23" s="159">
        <f>853.829675+85.051213</f>
        <v>938.88088799999991</v>
      </c>
      <c r="D23" s="159">
        <f>483+205.3512</f>
        <v>688.35120000000006</v>
      </c>
      <c r="E23" s="145">
        <f t="shared" si="6"/>
        <v>2587.6769570000001</v>
      </c>
      <c r="F23" s="159">
        <v>187.67099999999999</v>
      </c>
      <c r="G23" s="159"/>
      <c r="H23" s="159">
        <v>0</v>
      </c>
      <c r="I23" s="152">
        <f t="shared" si="8"/>
        <v>187.67099999999999</v>
      </c>
      <c r="J23" s="153">
        <f t="shared" si="9"/>
        <v>2775.347957</v>
      </c>
      <c r="K23" s="159">
        <v>3329.2080000000001</v>
      </c>
      <c r="L23" s="148">
        <f t="shared" si="3"/>
        <v>0.83363609513133452</v>
      </c>
      <c r="N23" s="150"/>
      <c r="O23" s="150"/>
      <c r="P23" s="150">
        <f t="shared" si="10"/>
        <v>0</v>
      </c>
    </row>
    <row r="24" spans="1:16" ht="22.5" customHeight="1" x14ac:dyDescent="0.25">
      <c r="A24" s="143" t="s">
        <v>265</v>
      </c>
      <c r="B24" s="159">
        <v>22347.246448999998</v>
      </c>
      <c r="C24" s="159">
        <f>5718.946383+237.975</f>
        <v>5956.9213830000008</v>
      </c>
      <c r="D24" s="159">
        <f>7622.153621+12162.444358</f>
        <v>19784.597979000002</v>
      </c>
      <c r="E24" s="145">
        <f t="shared" si="6"/>
        <v>48088.765811000005</v>
      </c>
      <c r="F24" s="159">
        <v>6144.8580000000002</v>
      </c>
      <c r="G24" s="163"/>
      <c r="H24" s="163">
        <v>222.66800000000001</v>
      </c>
      <c r="I24" s="152">
        <f t="shared" si="8"/>
        <v>6367.5259999999998</v>
      </c>
      <c r="J24" s="153">
        <f t="shared" si="9"/>
        <v>54456.291811000003</v>
      </c>
      <c r="K24" s="159">
        <v>63609.803999999996</v>
      </c>
      <c r="L24" s="148">
        <f t="shared" si="3"/>
        <v>0.85609903484374839</v>
      </c>
      <c r="N24" s="150"/>
      <c r="O24" s="150"/>
      <c r="P24" s="150">
        <f>N24+O24</f>
        <v>0</v>
      </c>
    </row>
    <row r="25" spans="1:16" ht="21.75" customHeight="1" x14ac:dyDescent="0.25">
      <c r="A25" s="143" t="s">
        <v>266</v>
      </c>
      <c r="B25" s="159">
        <v>1468.3561729999999</v>
      </c>
      <c r="C25" s="159">
        <f>396.798676+64.25142</f>
        <v>461.050096</v>
      </c>
      <c r="D25" s="159">
        <f>140.22986</f>
        <v>140.22986</v>
      </c>
      <c r="E25" s="145">
        <f t="shared" si="6"/>
        <v>2069.636129</v>
      </c>
      <c r="F25" s="159">
        <v>39211.998</v>
      </c>
      <c r="G25" s="159">
        <v>3261.7429999999999</v>
      </c>
      <c r="H25" s="159">
        <v>17855.812999999998</v>
      </c>
      <c r="I25" s="152">
        <f t="shared" si="8"/>
        <v>60329.554000000004</v>
      </c>
      <c r="J25" s="153">
        <f t="shared" si="9"/>
        <v>62399.190129000002</v>
      </c>
      <c r="K25" s="159">
        <v>51488.531999999999</v>
      </c>
      <c r="L25" s="148">
        <f t="shared" si="3"/>
        <v>1.2119046262379358</v>
      </c>
      <c r="N25" s="150"/>
      <c r="O25" s="150"/>
      <c r="P25" s="150">
        <f t="shared" si="10"/>
        <v>0</v>
      </c>
    </row>
    <row r="26" spans="1:16" ht="24.75" customHeight="1" x14ac:dyDescent="0.25">
      <c r="A26" s="143" t="s">
        <v>267</v>
      </c>
      <c r="B26" s="159">
        <v>6662.0632519999999</v>
      </c>
      <c r="C26" s="159">
        <f>2995.237384+483.790406</f>
        <v>3479.0277900000001</v>
      </c>
      <c r="D26" s="159">
        <f>9998.75+5346.365113</f>
        <v>15345.115113</v>
      </c>
      <c r="E26" s="145">
        <f t="shared" si="6"/>
        <v>25486.206155</v>
      </c>
      <c r="F26" s="159">
        <v>9768.8549999999996</v>
      </c>
      <c r="G26" s="159">
        <v>1221.479</v>
      </c>
      <c r="H26" s="159">
        <v>2890.1109999999999</v>
      </c>
      <c r="I26" s="152">
        <f t="shared" si="8"/>
        <v>13880.445</v>
      </c>
      <c r="J26" s="153">
        <f t="shared" si="9"/>
        <v>39366.651155</v>
      </c>
      <c r="K26" s="159">
        <v>59751.826999999997</v>
      </c>
      <c r="L26" s="148">
        <f t="shared" si="3"/>
        <v>0.65883594078219565</v>
      </c>
      <c r="N26" s="150"/>
      <c r="O26" s="150"/>
      <c r="P26" s="150">
        <f t="shared" si="10"/>
        <v>0</v>
      </c>
    </row>
    <row r="27" spans="1:16" ht="23.25" customHeight="1" x14ac:dyDescent="0.25">
      <c r="A27" s="143" t="s">
        <v>268</v>
      </c>
      <c r="B27" s="159">
        <v>1664.513177</v>
      </c>
      <c r="C27" s="159">
        <f>1035.711861+47.94159</f>
        <v>1083.6534509999999</v>
      </c>
      <c r="D27" s="159">
        <f>3176.825+5143.085805</f>
        <v>8319.9108049999995</v>
      </c>
      <c r="E27" s="145">
        <f t="shared" si="6"/>
        <v>11068.077432999999</v>
      </c>
      <c r="F27" s="159">
        <v>17850.821</v>
      </c>
      <c r="G27" s="161"/>
      <c r="H27" s="159">
        <v>0</v>
      </c>
      <c r="I27" s="152">
        <f t="shared" si="8"/>
        <v>17850.821</v>
      </c>
      <c r="J27" s="153">
        <f t="shared" si="9"/>
        <v>28918.898432999998</v>
      </c>
      <c r="K27" s="159">
        <v>58365.222000000002</v>
      </c>
      <c r="L27" s="148">
        <f t="shared" si="3"/>
        <v>0.49548168313315072</v>
      </c>
      <c r="N27" s="150"/>
      <c r="O27" s="150"/>
      <c r="P27" s="150">
        <f t="shared" si="10"/>
        <v>0</v>
      </c>
    </row>
    <row r="28" spans="1:16" ht="24" customHeight="1" x14ac:dyDescent="0.25">
      <c r="A28" s="143" t="s">
        <v>269</v>
      </c>
      <c r="B28" s="159">
        <v>63.427407000000002</v>
      </c>
      <c r="C28" s="159">
        <f>703.928081+55.879717</f>
        <v>759.80779800000005</v>
      </c>
      <c r="D28" s="159">
        <f>1455+1154.127666</f>
        <v>2609.1276660000003</v>
      </c>
      <c r="E28" s="145">
        <f t="shared" si="6"/>
        <v>3432.3628710000003</v>
      </c>
      <c r="F28" s="159">
        <v>267.22399999999999</v>
      </c>
      <c r="G28" s="159"/>
      <c r="H28" s="159">
        <v>0</v>
      </c>
      <c r="I28" s="152">
        <f t="shared" si="8"/>
        <v>267.22399999999999</v>
      </c>
      <c r="J28" s="153">
        <f t="shared" si="9"/>
        <v>3699.5868710000004</v>
      </c>
      <c r="K28" s="159">
        <v>6173.0129999999999</v>
      </c>
      <c r="L28" s="148">
        <f t="shared" si="3"/>
        <v>0.59931622872007562</v>
      </c>
      <c r="N28" s="150"/>
      <c r="O28" s="150"/>
      <c r="P28" s="150">
        <f t="shared" si="10"/>
        <v>0</v>
      </c>
    </row>
    <row r="29" spans="1:16" ht="23.25" customHeight="1" x14ac:dyDescent="0.25">
      <c r="A29" s="143" t="s">
        <v>270</v>
      </c>
      <c r="B29" s="159">
        <v>23057.055684999999</v>
      </c>
      <c r="C29" s="159">
        <f>671.388341+43.0398</f>
        <v>714.42814099999998</v>
      </c>
      <c r="D29" s="159">
        <f>9046.6575+9161.930609</f>
        <v>18208.588108999997</v>
      </c>
      <c r="E29" s="145">
        <f t="shared" si="6"/>
        <v>41980.071935</v>
      </c>
      <c r="F29" s="159">
        <v>3731.2139999999999</v>
      </c>
      <c r="G29" s="161">
        <v>0</v>
      </c>
      <c r="H29" s="159">
        <v>136.68299999999999</v>
      </c>
      <c r="I29" s="152">
        <f t="shared" si="8"/>
        <v>3867.8969999999999</v>
      </c>
      <c r="J29" s="153">
        <f t="shared" si="9"/>
        <v>45847.968934999997</v>
      </c>
      <c r="K29" s="159">
        <v>60974.754000000001</v>
      </c>
      <c r="L29" s="148">
        <f t="shared" si="3"/>
        <v>0.75191724324135845</v>
      </c>
      <c r="N29" s="150"/>
      <c r="O29" s="150"/>
      <c r="P29" s="150">
        <f t="shared" si="10"/>
        <v>0</v>
      </c>
    </row>
    <row r="30" spans="1:16" ht="23.25" customHeight="1" x14ac:dyDescent="0.25">
      <c r="A30" s="143" t="s">
        <v>271</v>
      </c>
      <c r="B30" s="159">
        <v>54.001925999999997</v>
      </c>
      <c r="C30" s="159">
        <v>527.34389999999996</v>
      </c>
      <c r="D30" s="159">
        <v>3674.6936740000001</v>
      </c>
      <c r="E30" s="145">
        <f t="shared" si="6"/>
        <v>4256.0394999999999</v>
      </c>
      <c r="F30" s="159">
        <v>67.700999999999993</v>
      </c>
      <c r="G30" s="159">
        <v>21.885999999999999</v>
      </c>
      <c r="H30" s="159">
        <v>3491.4630000000002</v>
      </c>
      <c r="I30" s="152">
        <f t="shared" si="8"/>
        <v>3581.05</v>
      </c>
      <c r="J30" s="153">
        <f t="shared" si="9"/>
        <v>7837.0895</v>
      </c>
      <c r="K30" s="159">
        <v>7594.2430000000004</v>
      </c>
      <c r="L30" s="148">
        <f t="shared" si="3"/>
        <v>1.0319777099573979</v>
      </c>
      <c r="N30" s="150"/>
      <c r="O30" s="150"/>
      <c r="P30" s="150">
        <f t="shared" si="10"/>
        <v>0</v>
      </c>
    </row>
    <row r="31" spans="1:16" ht="23.25" customHeight="1" x14ac:dyDescent="0.25">
      <c r="A31" s="143" t="s">
        <v>272</v>
      </c>
      <c r="B31" s="159">
        <v>932.48333500000001</v>
      </c>
      <c r="C31" s="159">
        <f>725.352888+40.465504</f>
        <v>765.81839200000002</v>
      </c>
      <c r="D31" s="159">
        <f>162.5+410.59468</f>
        <v>573.09467999999993</v>
      </c>
      <c r="E31" s="145">
        <f t="shared" si="6"/>
        <v>2271.3964070000002</v>
      </c>
      <c r="F31" s="159">
        <v>35623.411999999997</v>
      </c>
      <c r="G31" s="159"/>
      <c r="H31" s="159">
        <v>99.343999999999994</v>
      </c>
      <c r="I31" s="152">
        <f t="shared" si="8"/>
        <v>35722.755999999994</v>
      </c>
      <c r="J31" s="153">
        <f t="shared" si="9"/>
        <v>37994.152406999994</v>
      </c>
      <c r="K31" s="159">
        <v>63231.493000000002</v>
      </c>
      <c r="L31" s="148">
        <f t="shared" si="3"/>
        <v>0.60087387794243596</v>
      </c>
      <c r="N31" s="150"/>
      <c r="O31" s="150"/>
      <c r="P31" s="150">
        <f t="shared" si="10"/>
        <v>0</v>
      </c>
    </row>
    <row r="32" spans="1:16" ht="24" customHeight="1" x14ac:dyDescent="0.25">
      <c r="A32" s="143" t="s">
        <v>273</v>
      </c>
      <c r="B32" s="159">
        <v>3462.4330199999999</v>
      </c>
      <c r="C32" s="159">
        <f>1567.769025+165.8615</f>
        <v>1733.630525</v>
      </c>
      <c r="D32" s="159">
        <f>923.25+1243.107932</f>
        <v>2166.3579319999999</v>
      </c>
      <c r="E32" s="145">
        <f t="shared" si="6"/>
        <v>7362.4214769999999</v>
      </c>
      <c r="F32" s="159">
        <v>296.95299999999997</v>
      </c>
      <c r="G32" s="161"/>
      <c r="H32" s="159">
        <v>0</v>
      </c>
      <c r="I32" s="152">
        <f t="shared" si="8"/>
        <v>296.95299999999997</v>
      </c>
      <c r="J32" s="153">
        <f t="shared" si="9"/>
        <v>7659.3744769999994</v>
      </c>
      <c r="K32" s="159">
        <v>7218.4440000000004</v>
      </c>
      <c r="L32" s="148">
        <f t="shared" si="3"/>
        <v>1.0610838675204792</v>
      </c>
      <c r="N32" s="150"/>
      <c r="O32" s="150"/>
      <c r="P32" s="150">
        <f t="shared" si="10"/>
        <v>0</v>
      </c>
    </row>
    <row r="33" spans="1:19" ht="24" customHeight="1" x14ac:dyDescent="0.25">
      <c r="A33" s="143" t="s">
        <v>274</v>
      </c>
      <c r="B33" s="159">
        <v>30858.647444999999</v>
      </c>
      <c r="C33" s="159">
        <f>3375.083311+458.176357</f>
        <v>3833.2596679999997</v>
      </c>
      <c r="D33" s="159">
        <f>487.104931+854.960026</f>
        <v>1342.064957</v>
      </c>
      <c r="E33" s="145">
        <f t="shared" si="6"/>
        <v>36033.972070000003</v>
      </c>
      <c r="F33" s="159">
        <v>2678.16</v>
      </c>
      <c r="G33" s="161"/>
      <c r="H33" s="159">
        <v>0</v>
      </c>
      <c r="I33" s="152">
        <f t="shared" si="8"/>
        <v>2678.16</v>
      </c>
      <c r="J33" s="153">
        <f t="shared" si="9"/>
        <v>38712.132070000007</v>
      </c>
      <c r="K33" s="159">
        <v>38918.349000000002</v>
      </c>
      <c r="L33" s="148">
        <f t="shared" si="3"/>
        <v>0.99470129295567</v>
      </c>
      <c r="N33" s="150"/>
      <c r="O33" s="150"/>
      <c r="P33" s="150">
        <f t="shared" si="10"/>
        <v>0</v>
      </c>
    </row>
    <row r="34" spans="1:19" ht="24" customHeight="1" x14ac:dyDescent="0.25">
      <c r="A34" s="143" t="s">
        <v>275</v>
      </c>
      <c r="B34" s="159">
        <v>1604.2829770000001</v>
      </c>
      <c r="C34" s="159">
        <f>2122.558739+146.540898</f>
        <v>2269.0996370000003</v>
      </c>
      <c r="D34" s="159">
        <f>182.9995+3602.954739</f>
        <v>3785.9542389999997</v>
      </c>
      <c r="E34" s="145">
        <f t="shared" si="6"/>
        <v>7659.3368529999998</v>
      </c>
      <c r="F34" s="159">
        <v>12964.866</v>
      </c>
      <c r="G34" s="159">
        <v>12779.069</v>
      </c>
      <c r="H34" s="159">
        <v>0</v>
      </c>
      <c r="I34" s="152">
        <f t="shared" si="8"/>
        <v>25743.934999999998</v>
      </c>
      <c r="J34" s="153">
        <f t="shared" si="9"/>
        <v>33403.271852999998</v>
      </c>
      <c r="K34" s="159">
        <v>47240.343000000001</v>
      </c>
      <c r="L34" s="148">
        <f t="shared" si="3"/>
        <v>0.70709206859484486</v>
      </c>
      <c r="N34" s="150"/>
      <c r="O34" s="150"/>
      <c r="P34" s="150">
        <f t="shared" si="10"/>
        <v>0</v>
      </c>
    </row>
    <row r="35" spans="1:19" ht="24" customHeight="1" x14ac:dyDescent="0.25">
      <c r="A35" s="143" t="s">
        <v>276</v>
      </c>
      <c r="B35" s="159">
        <v>80568.360478999995</v>
      </c>
      <c r="C35" s="159">
        <f>2474.873755+860.661755</f>
        <v>3335.5355100000002</v>
      </c>
      <c r="D35" s="159">
        <f>7056.45+7365.763122</f>
        <v>14422.213122000001</v>
      </c>
      <c r="E35" s="145">
        <f t="shared" si="6"/>
        <v>98326.109110999998</v>
      </c>
      <c r="F35" s="159">
        <v>6342.83</v>
      </c>
      <c r="G35" s="161">
        <v>6920.6750000000002</v>
      </c>
      <c r="H35" s="159">
        <v>0</v>
      </c>
      <c r="I35" s="152">
        <f t="shared" si="8"/>
        <v>13263.505000000001</v>
      </c>
      <c r="J35" s="153">
        <f t="shared" si="9"/>
        <v>111589.614111</v>
      </c>
      <c r="K35" s="159">
        <v>114051.648</v>
      </c>
      <c r="L35" s="148">
        <f t="shared" si="3"/>
        <v>0.97841299155098571</v>
      </c>
      <c r="N35" s="150"/>
      <c r="O35" s="150"/>
      <c r="P35" s="150">
        <f t="shared" si="10"/>
        <v>0</v>
      </c>
    </row>
    <row r="36" spans="1:19" ht="29.25" customHeight="1" x14ac:dyDescent="0.25">
      <c r="A36" s="143" t="s">
        <v>277</v>
      </c>
      <c r="B36" s="159">
        <v>59238.225792999998</v>
      </c>
      <c r="C36" s="159">
        <f>2448.758286+214.991923</f>
        <v>2663.7502090000003</v>
      </c>
      <c r="D36" s="159">
        <f>222.74325+5496.251325</f>
        <v>5718.9945750000006</v>
      </c>
      <c r="E36" s="145">
        <f t="shared" si="6"/>
        <v>67620.970577</v>
      </c>
      <c r="F36" s="159">
        <v>1733.396</v>
      </c>
      <c r="G36" s="159">
        <v>1590.2370000000001</v>
      </c>
      <c r="H36" s="159">
        <v>921.88</v>
      </c>
      <c r="I36" s="152">
        <f t="shared" si="8"/>
        <v>4245.5129999999999</v>
      </c>
      <c r="J36" s="153">
        <f t="shared" si="9"/>
        <v>71866.483577000006</v>
      </c>
      <c r="K36" s="159">
        <v>75006.732000000004</v>
      </c>
      <c r="L36" s="148">
        <f t="shared" si="3"/>
        <v>0.95813377893866913</v>
      </c>
      <c r="N36" s="150"/>
      <c r="O36" s="150"/>
      <c r="P36" s="150">
        <f t="shared" si="10"/>
        <v>0</v>
      </c>
    </row>
    <row r="37" spans="1:19" ht="24" customHeight="1" x14ac:dyDescent="0.25">
      <c r="A37" s="143" t="s">
        <v>278</v>
      </c>
      <c r="B37" s="159">
        <v>14273.887346</v>
      </c>
      <c r="C37" s="159">
        <f>8555.864376+848.676221</f>
        <v>9404.5405969999993</v>
      </c>
      <c r="D37" s="159">
        <f>72.921+27.307</f>
        <v>100.22800000000001</v>
      </c>
      <c r="E37" s="145">
        <f t="shared" si="6"/>
        <v>23778.655942999998</v>
      </c>
      <c r="F37" s="159">
        <v>804.47699999999998</v>
      </c>
      <c r="G37" s="161"/>
      <c r="H37" s="159">
        <v>0</v>
      </c>
      <c r="I37" s="152">
        <f t="shared" si="8"/>
        <v>804.47699999999998</v>
      </c>
      <c r="J37" s="153">
        <f t="shared" si="9"/>
        <v>24583.132942999997</v>
      </c>
      <c r="K37" s="159">
        <v>28329.264999999999</v>
      </c>
      <c r="L37" s="148">
        <f t="shared" si="3"/>
        <v>0.86776458700922865</v>
      </c>
      <c r="N37" s="150"/>
      <c r="O37" s="150"/>
      <c r="P37" s="150">
        <f t="shared" si="10"/>
        <v>0</v>
      </c>
    </row>
    <row r="38" spans="1:19" ht="19.5" customHeight="1" x14ac:dyDescent="0.25">
      <c r="A38" s="143" t="s">
        <v>279</v>
      </c>
      <c r="B38" s="159">
        <v>76.704198000000005</v>
      </c>
      <c r="C38" s="159">
        <v>510.20938799999999</v>
      </c>
      <c r="D38" s="159">
        <v>204.546986</v>
      </c>
      <c r="E38" s="145">
        <f t="shared" si="6"/>
        <v>791.46057199999996</v>
      </c>
      <c r="F38" s="159">
        <v>16343.623000000001</v>
      </c>
      <c r="G38" s="159">
        <f>11994.751-3511.7</f>
        <v>8483.0509999999995</v>
      </c>
      <c r="H38" s="159">
        <v>8349.2009999999991</v>
      </c>
      <c r="I38" s="152">
        <f t="shared" si="8"/>
        <v>33175.875</v>
      </c>
      <c r="J38" s="153">
        <f t="shared" si="9"/>
        <v>33967.335571999996</v>
      </c>
      <c r="K38" s="159">
        <v>58656.160000000003</v>
      </c>
      <c r="L38" s="148">
        <f t="shared" si="3"/>
        <v>0.57909238470435154</v>
      </c>
      <c r="M38" s="154"/>
      <c r="N38" s="150"/>
      <c r="O38" s="150"/>
      <c r="P38" s="150">
        <f t="shared" si="10"/>
        <v>0</v>
      </c>
    </row>
    <row r="39" spans="1:19" ht="25.9" customHeight="1" x14ac:dyDescent="0.25">
      <c r="A39" s="143" t="s">
        <v>280</v>
      </c>
      <c r="B39" s="159">
        <v>1940.670531</v>
      </c>
      <c r="C39" s="159">
        <f>276.360733+37.544074</f>
        <v>313.90480700000001</v>
      </c>
      <c r="D39" s="159"/>
      <c r="E39" s="145">
        <f t="shared" si="6"/>
        <v>2254.5753380000001</v>
      </c>
      <c r="F39" s="159"/>
      <c r="G39" s="161"/>
      <c r="H39" s="159"/>
      <c r="I39" s="155">
        <f t="shared" si="8"/>
        <v>0</v>
      </c>
      <c r="J39" s="156">
        <f t="shared" si="9"/>
        <v>2254.5753380000001</v>
      </c>
      <c r="K39" s="159">
        <v>2458</v>
      </c>
      <c r="L39" s="148">
        <f t="shared" si="3"/>
        <v>0.91723976322213185</v>
      </c>
      <c r="M39" s="154"/>
      <c r="N39" s="150"/>
      <c r="O39" s="150"/>
      <c r="P39" s="150">
        <f>N39+O39</f>
        <v>0</v>
      </c>
    </row>
    <row r="40" spans="1:19" ht="4.5" customHeight="1" x14ac:dyDescent="0.25">
      <c r="A40" s="157"/>
      <c r="B40" s="158"/>
      <c r="C40" s="158"/>
      <c r="D40" s="158"/>
      <c r="E40" s="158"/>
      <c r="F40" s="158"/>
      <c r="G40" s="158"/>
      <c r="H40" s="158"/>
      <c r="I40" s="139"/>
      <c r="J40" s="140"/>
      <c r="K40" s="158"/>
      <c r="L40" s="157"/>
    </row>
    <row r="41" spans="1:19" s="142" customFormat="1" ht="32.25" customHeight="1" x14ac:dyDescent="0.25">
      <c r="A41" s="137" t="s">
        <v>281</v>
      </c>
      <c r="B41" s="138">
        <f>B4+B16</f>
        <v>317217.39204400004</v>
      </c>
      <c r="C41" s="138">
        <f t="shared" ref="C41:K41" si="11">C4+C16</f>
        <v>64743.846315000003</v>
      </c>
      <c r="D41" s="138">
        <f t="shared" si="11"/>
        <v>125568.27466699999</v>
      </c>
      <c r="E41" s="139">
        <f t="shared" si="11"/>
        <v>507529.51302599994</v>
      </c>
      <c r="F41" s="138">
        <f>F4+F16</f>
        <v>211871.08800000002</v>
      </c>
      <c r="G41" s="138">
        <f t="shared" si="11"/>
        <v>66842.510999999999</v>
      </c>
      <c r="H41" s="138">
        <f t="shared" si="11"/>
        <v>48529.596999999994</v>
      </c>
      <c r="I41" s="139">
        <f>+F41+G41+H41</f>
        <v>327243.19600000005</v>
      </c>
      <c r="J41" s="140">
        <f>E41+I41</f>
        <v>834772.709026</v>
      </c>
      <c r="K41" s="138">
        <f t="shared" si="11"/>
        <v>972708.81700000016</v>
      </c>
      <c r="L41" s="141">
        <f t="shared" si="3"/>
        <v>0.85819383399914206</v>
      </c>
      <c r="N41" s="164"/>
      <c r="O41" s="154">
        <f>O48+O50</f>
        <v>48873.402104000001</v>
      </c>
      <c r="P41" s="164"/>
    </row>
    <row r="42" spans="1:19" ht="4.5" customHeight="1" x14ac:dyDescent="0.25">
      <c r="A42" s="157"/>
      <c r="B42" s="158"/>
      <c r="C42" s="158"/>
      <c r="D42" s="158"/>
      <c r="E42" s="158"/>
      <c r="F42" s="158"/>
      <c r="G42" s="158"/>
      <c r="H42" s="158"/>
      <c r="I42" s="146"/>
      <c r="J42" s="147"/>
      <c r="K42" s="158"/>
      <c r="L42" s="157"/>
    </row>
    <row r="43" spans="1:19" ht="21.75" customHeight="1" x14ac:dyDescent="0.25">
      <c r="A43" s="143" t="s">
        <v>282</v>
      </c>
      <c r="B43" s="144">
        <f>O55-51.2</f>
        <v>49819.185681000003</v>
      </c>
      <c r="C43" s="144">
        <f>P55-32.6</f>
        <v>29956.138794999999</v>
      </c>
      <c r="D43" s="144">
        <f>Q55-0.5-0.1</f>
        <v>48890.821720000007</v>
      </c>
      <c r="E43" s="145">
        <f t="shared" si="6"/>
        <v>128666.14619600002</v>
      </c>
      <c r="F43" s="144">
        <v>22704.317999999999</v>
      </c>
      <c r="G43" s="144"/>
      <c r="H43" s="151"/>
      <c r="I43" s="152">
        <f t="shared" ref="I43:I48" si="12">+F43+G43+H43</f>
        <v>22704.317999999999</v>
      </c>
      <c r="J43" s="153">
        <f>E43+I43</f>
        <v>151370.46419600002</v>
      </c>
      <c r="K43" s="144">
        <v>137680.182</v>
      </c>
      <c r="L43" s="148">
        <f t="shared" si="3"/>
        <v>1.0994353871205662</v>
      </c>
      <c r="M43" s="154"/>
      <c r="N43" s="154"/>
      <c r="O43" s="154"/>
    </row>
    <row r="44" spans="1:19" ht="27.75" customHeight="1" x14ac:dyDescent="0.25">
      <c r="A44" s="143" t="s">
        <v>283</v>
      </c>
      <c r="B44" s="144"/>
      <c r="C44" s="144"/>
      <c r="D44" s="144"/>
      <c r="E44" s="145"/>
      <c r="F44" s="144"/>
      <c r="G44" s="144"/>
      <c r="H44" s="144"/>
      <c r="I44" s="152"/>
      <c r="J44" s="153">
        <v>139372.70000000001</v>
      </c>
      <c r="K44" s="144">
        <v>153900</v>
      </c>
      <c r="L44" s="148">
        <f t="shared" si="3"/>
        <v>0.90560558804418456</v>
      </c>
      <c r="O44" s="165"/>
    </row>
    <row r="45" spans="1:19" ht="4.5" customHeight="1" x14ac:dyDescent="0.25">
      <c r="A45" s="157"/>
      <c r="B45" s="158"/>
      <c r="C45" s="158"/>
      <c r="D45" s="158"/>
      <c r="E45" s="158"/>
      <c r="F45" s="158"/>
      <c r="G45" s="158"/>
      <c r="H45" s="158"/>
      <c r="I45" s="166"/>
      <c r="J45" s="167"/>
      <c r="K45" s="158"/>
      <c r="L45" s="157"/>
    </row>
    <row r="46" spans="1:19" s="142" customFormat="1" ht="31.5" customHeight="1" x14ac:dyDescent="0.25">
      <c r="A46" s="137" t="s">
        <v>284</v>
      </c>
      <c r="B46" s="138">
        <f>B41+B43+B44</f>
        <v>367036.57772500004</v>
      </c>
      <c r="C46" s="138">
        <f t="shared" ref="C46:K46" si="13">C41+C43+C44</f>
        <v>94699.985110000009</v>
      </c>
      <c r="D46" s="168">
        <f>D41+D43+D44</f>
        <v>174459.096387</v>
      </c>
      <c r="E46" s="139">
        <f t="shared" si="13"/>
        <v>636195.65922199993</v>
      </c>
      <c r="F46" s="168">
        <f>F41+F43+F44</f>
        <v>234575.40600000002</v>
      </c>
      <c r="G46" s="138">
        <f t="shared" si="13"/>
        <v>66842.510999999999</v>
      </c>
      <c r="H46" s="138">
        <f t="shared" si="13"/>
        <v>48529.596999999994</v>
      </c>
      <c r="I46" s="139">
        <f t="shared" si="12"/>
        <v>349947.51400000002</v>
      </c>
      <c r="J46" s="140">
        <f>J41+J43+J44</f>
        <v>1125515.873222</v>
      </c>
      <c r="K46" s="138">
        <f t="shared" si="13"/>
        <v>1264288.9990000001</v>
      </c>
      <c r="L46" s="141">
        <f>J46/K46</f>
        <v>0.89023623088727033</v>
      </c>
      <c r="O46" s="169" t="s">
        <v>77</v>
      </c>
      <c r="P46" s="169" t="s">
        <v>240</v>
      </c>
      <c r="Q46" s="169" t="s">
        <v>80</v>
      </c>
    </row>
    <row r="47" spans="1:19" ht="3.75" customHeight="1" x14ac:dyDescent="0.25">
      <c r="A47" s="157"/>
      <c r="B47" s="158"/>
      <c r="C47" s="158"/>
      <c r="D47" s="158"/>
      <c r="E47" s="158"/>
      <c r="F47" s="158"/>
      <c r="G47" s="158"/>
      <c r="H47" s="158"/>
      <c r="I47" s="170"/>
      <c r="J47" s="171"/>
      <c r="K47" s="158"/>
      <c r="L47" s="157"/>
    </row>
    <row r="48" spans="1:19" s="142" customFormat="1" ht="26.25" customHeight="1" x14ac:dyDescent="0.25">
      <c r="A48" s="172" t="s">
        <v>285</v>
      </c>
      <c r="B48" s="138">
        <v>112.3445</v>
      </c>
      <c r="C48" s="138">
        <f>368.75536+75.576206</f>
        <v>444.33156600000001</v>
      </c>
      <c r="D48" s="138">
        <v>87802.542642999993</v>
      </c>
      <c r="E48" s="139">
        <f>B48+C48+D48</f>
        <v>88359.218708999993</v>
      </c>
      <c r="F48" s="138"/>
      <c r="G48" s="138"/>
      <c r="H48" s="138"/>
      <c r="I48" s="139">
        <f t="shared" si="12"/>
        <v>0</v>
      </c>
      <c r="J48" s="140">
        <f>E48+I48</f>
        <v>88359.218708999993</v>
      </c>
      <c r="K48" s="138">
        <v>85450</v>
      </c>
      <c r="L48" s="141">
        <f t="shared" si="3"/>
        <v>1.034045859672323</v>
      </c>
      <c r="M48" s="164"/>
      <c r="N48" s="173" t="s">
        <v>286</v>
      </c>
      <c r="O48" s="174">
        <v>48775.895104000003</v>
      </c>
      <c r="P48" s="174">
        <v>10253.738321999999</v>
      </c>
      <c r="Q48" s="174">
        <v>217.01616100000001</v>
      </c>
      <c r="R48" s="175">
        <f>O48+P48+Q48</f>
        <v>59246.649587</v>
      </c>
      <c r="S48" s="175"/>
    </row>
    <row r="49" spans="1:19" ht="5.25" customHeight="1" x14ac:dyDescent="0.25">
      <c r="A49" s="157"/>
      <c r="B49" s="158"/>
      <c r="C49" s="158"/>
      <c r="D49" s="158"/>
      <c r="E49" s="158"/>
      <c r="F49" s="158"/>
      <c r="G49" s="158"/>
      <c r="H49" s="158"/>
      <c r="I49" s="170"/>
      <c r="J49" s="171"/>
      <c r="K49" s="158"/>
      <c r="L49" s="157"/>
      <c r="N49" s="173"/>
      <c r="O49" s="174"/>
      <c r="P49" s="174"/>
      <c r="Q49" s="174"/>
      <c r="R49" s="175"/>
      <c r="S49" s="174"/>
    </row>
    <row r="50" spans="1:19" s="142" customFormat="1" ht="24.75" customHeight="1" x14ac:dyDescent="0.25">
      <c r="A50" s="172" t="s">
        <v>287</v>
      </c>
      <c r="B50" s="138"/>
      <c r="C50" s="138"/>
      <c r="D50" s="138"/>
      <c r="E50" s="139"/>
      <c r="F50" s="138"/>
      <c r="G50" s="138"/>
      <c r="H50" s="138"/>
      <c r="I50" s="139"/>
      <c r="J50" s="140">
        <v>7089.4</v>
      </c>
      <c r="K50" s="138">
        <v>23302</v>
      </c>
      <c r="L50" s="141">
        <f>J50/K50</f>
        <v>0.3042399794009098</v>
      </c>
      <c r="N50" s="173" t="s">
        <v>288</v>
      </c>
      <c r="O50" s="174">
        <v>97.507000000000005</v>
      </c>
      <c r="P50" s="174">
        <v>19735.000473</v>
      </c>
      <c r="Q50" s="174">
        <f>2136.590252+485.548057+40.317245</f>
        <v>2662.4555540000001</v>
      </c>
      <c r="R50" s="175">
        <f>O50+P50+Q50</f>
        <v>22494.963027000002</v>
      </c>
      <c r="S50" s="175"/>
    </row>
    <row r="51" spans="1:19" s="142" customFormat="1" ht="24.75" customHeight="1" x14ac:dyDescent="0.25">
      <c r="A51" s="176" t="s">
        <v>289</v>
      </c>
      <c r="B51" s="177">
        <f>B46+B48+B50</f>
        <v>367148.92222500005</v>
      </c>
      <c r="C51" s="177">
        <f t="shared" ref="C51:K51" si="14">C46+C48+C50</f>
        <v>95144.316676000002</v>
      </c>
      <c r="D51" s="177">
        <f t="shared" si="14"/>
        <v>262261.63902999996</v>
      </c>
      <c r="E51" s="177">
        <f t="shared" si="14"/>
        <v>724554.87793099997</v>
      </c>
      <c r="F51" s="177">
        <f t="shared" si="14"/>
        <v>234575.40600000002</v>
      </c>
      <c r="G51" s="177">
        <f t="shared" si="14"/>
        <v>66842.510999999999</v>
      </c>
      <c r="H51" s="177">
        <f t="shared" si="14"/>
        <v>48529.596999999994</v>
      </c>
      <c r="I51" s="178">
        <f>+F51+G51+H51</f>
        <v>349947.51400000002</v>
      </c>
      <c r="J51" s="179">
        <f>J46+J48+J50</f>
        <v>1220964.4919309998</v>
      </c>
      <c r="K51" s="177">
        <f t="shared" si="14"/>
        <v>1373040.9990000001</v>
      </c>
      <c r="L51" s="180">
        <f>J51/K51</f>
        <v>0.88924110264751077</v>
      </c>
      <c r="N51" s="173" t="s">
        <v>290</v>
      </c>
      <c r="O51" s="174">
        <v>996.98357699999997</v>
      </c>
      <c r="P51" s="174">
        <v>0</v>
      </c>
      <c r="Q51" s="174">
        <v>0</v>
      </c>
      <c r="R51" s="175">
        <f t="shared" ref="R51:R54" si="15">O51+P51+Q51</f>
        <v>996.98357699999997</v>
      </c>
      <c r="S51" s="175"/>
    </row>
    <row r="52" spans="1:19" ht="5.25" customHeight="1" x14ac:dyDescent="0.25">
      <c r="A52" s="157"/>
      <c r="B52" s="158"/>
      <c r="C52" s="158"/>
      <c r="D52" s="158"/>
      <c r="E52" s="158"/>
      <c r="F52" s="158"/>
      <c r="G52" s="158"/>
      <c r="H52" s="158"/>
      <c r="I52" s="158"/>
      <c r="J52" s="158"/>
      <c r="K52" s="158"/>
      <c r="L52" s="157"/>
      <c r="O52" s="174"/>
      <c r="P52" s="174"/>
      <c r="Q52" s="174"/>
      <c r="R52" s="175"/>
      <c r="S52" s="174"/>
    </row>
    <row r="53" spans="1:19" s="133" customFormat="1" ht="22.5" customHeight="1" x14ac:dyDescent="0.25">
      <c r="A53" s="270" t="s">
        <v>291</v>
      </c>
      <c r="B53" s="270"/>
      <c r="C53" s="270"/>
      <c r="D53" s="270"/>
      <c r="E53" s="270"/>
      <c r="F53" s="270"/>
      <c r="G53" s="270"/>
      <c r="H53" s="270"/>
      <c r="I53" s="270"/>
      <c r="J53" s="270"/>
      <c r="K53" s="270"/>
      <c r="L53" s="270"/>
      <c r="N53" s="173" t="s">
        <v>292</v>
      </c>
      <c r="O53" s="174">
        <v>0</v>
      </c>
      <c r="P53" s="174">
        <v>0</v>
      </c>
      <c r="Q53" s="174">
        <v>109.76838499999999</v>
      </c>
      <c r="R53" s="175">
        <f t="shared" si="15"/>
        <v>109.76838499999999</v>
      </c>
      <c r="S53" s="181"/>
    </row>
    <row r="54" spans="1:19" s="173" customFormat="1" ht="45" customHeight="1" x14ac:dyDescent="0.25">
      <c r="A54" s="182" t="s">
        <v>100</v>
      </c>
      <c r="B54" s="182" t="s">
        <v>101</v>
      </c>
      <c r="C54" s="182" t="s">
        <v>102</v>
      </c>
      <c r="D54" s="182" t="s">
        <v>103</v>
      </c>
      <c r="E54" s="182" t="s">
        <v>104</v>
      </c>
      <c r="F54" s="182" t="s">
        <v>105</v>
      </c>
      <c r="G54" s="182" t="s">
        <v>106</v>
      </c>
      <c r="H54" s="182" t="s">
        <v>107</v>
      </c>
      <c r="I54" s="182" t="s">
        <v>293</v>
      </c>
      <c r="J54" s="182" t="s">
        <v>294</v>
      </c>
      <c r="K54" s="182" t="s">
        <v>295</v>
      </c>
      <c r="L54" s="182" t="s">
        <v>296</v>
      </c>
      <c r="N54" s="173" t="s">
        <v>297</v>
      </c>
      <c r="O54" s="174"/>
      <c r="P54" s="174"/>
      <c r="Q54" s="174">
        <v>45902.181620000003</v>
      </c>
      <c r="R54" s="175">
        <f t="shared" si="15"/>
        <v>45902.181620000003</v>
      </c>
      <c r="S54" s="183"/>
    </row>
    <row r="55" spans="1:19" ht="26.25" customHeight="1" x14ac:dyDescent="0.25">
      <c r="A55" s="184">
        <v>0</v>
      </c>
      <c r="B55" s="184">
        <v>167243.20000000001</v>
      </c>
      <c r="C55" s="184">
        <v>11245.9</v>
      </c>
      <c r="D55" s="184">
        <v>41710.5</v>
      </c>
      <c r="E55" s="184">
        <v>239258</v>
      </c>
      <c r="F55" s="184">
        <v>18848.599999999999</v>
      </c>
      <c r="G55" s="184">
        <v>59414.5</v>
      </c>
      <c r="H55" s="184">
        <v>10000</v>
      </c>
      <c r="I55" s="184">
        <v>0</v>
      </c>
      <c r="J55" s="168">
        <f>SUM(A55:I55)</f>
        <v>547720.69999999995</v>
      </c>
      <c r="K55" s="168">
        <v>504502</v>
      </c>
      <c r="L55" s="185">
        <f>J55/K55</f>
        <v>1.0856660627708115</v>
      </c>
      <c r="N55" s="173"/>
      <c r="O55" s="175">
        <f>SUM(O48:O54)</f>
        <v>49870.385681</v>
      </c>
      <c r="P55" s="175">
        <f>SUM(P48:P54)</f>
        <v>29988.738794999997</v>
      </c>
      <c r="Q55" s="175">
        <f>SUM(Q48:Q54)</f>
        <v>48891.421720000006</v>
      </c>
      <c r="R55" s="175">
        <f>SUM(R48:R54)</f>
        <v>128750.54619600001</v>
      </c>
      <c r="S55" s="174"/>
    </row>
    <row r="56" spans="1:19" ht="4.5" customHeight="1" x14ac:dyDescent="0.25">
      <c r="A56" s="157"/>
      <c r="B56" s="158"/>
      <c r="C56" s="158"/>
      <c r="D56" s="158"/>
      <c r="E56" s="158"/>
      <c r="F56" s="158"/>
      <c r="G56" s="158"/>
      <c r="H56" s="158"/>
      <c r="I56" s="158"/>
      <c r="J56" s="158"/>
      <c r="K56" s="158"/>
      <c r="L56" s="157"/>
    </row>
    <row r="57" spans="1:19" s="142" customFormat="1" ht="30" customHeight="1" x14ac:dyDescent="0.25">
      <c r="A57" s="186" t="s">
        <v>298</v>
      </c>
      <c r="B57" s="187" t="s">
        <v>299</v>
      </c>
      <c r="C57" s="187" t="s">
        <v>299</v>
      </c>
      <c r="D57" s="187" t="s">
        <v>299</v>
      </c>
      <c r="E57" s="187" t="s">
        <v>299</v>
      </c>
      <c r="F57" s="187" t="s">
        <v>299</v>
      </c>
      <c r="G57" s="187" t="s">
        <v>299</v>
      </c>
      <c r="H57" s="187" t="s">
        <v>299</v>
      </c>
      <c r="I57" s="187" t="s">
        <v>299</v>
      </c>
      <c r="J57" s="188">
        <f>J51+J55</f>
        <v>1768685.1919309997</v>
      </c>
      <c r="K57" s="188">
        <f>K51+K55</f>
        <v>1877542.9990000001</v>
      </c>
      <c r="L57" s="189">
        <f>J57/K57</f>
        <v>0.94202113766396867</v>
      </c>
      <c r="N57" s="190"/>
      <c r="O57" s="175"/>
    </row>
    <row r="58" spans="1:19" x14ac:dyDescent="0.25">
      <c r="N58" s="149">
        <v>67078.750276999999</v>
      </c>
    </row>
    <row r="59" spans="1:19" hidden="1" x14ac:dyDescent="0.25">
      <c r="B59" s="154">
        <f>B46-367036.6</f>
        <v>-2.2274999937508255E-2</v>
      </c>
      <c r="C59" s="154">
        <f>C46-94700</f>
        <v>-1.4889999991282821E-2</v>
      </c>
      <c r="D59" s="154">
        <f>D46-174459.2</f>
        <v>-0.10361300001386553</v>
      </c>
      <c r="E59" s="154"/>
      <c r="F59" s="154">
        <f>F46-234575.4</f>
        <v>6.0000000230502337E-3</v>
      </c>
      <c r="G59" s="154">
        <f>G46-66842.5</f>
        <v>1.0999999998603016E-2</v>
      </c>
      <c r="H59" s="154">
        <f>H46-48529.6</f>
        <v>-3.0000000042491592E-3</v>
      </c>
      <c r="I59" s="132"/>
      <c r="J59" s="194">
        <f>J51-1220964.5</f>
        <v>-8.069000206887722E-3</v>
      </c>
      <c r="K59" s="154"/>
      <c r="L59" s="195"/>
      <c r="N59" s="142"/>
      <c r="O59" s="174"/>
    </row>
    <row r="60" spans="1:19" hidden="1" x14ac:dyDescent="0.25">
      <c r="A60" s="196"/>
      <c r="O60" s="174"/>
    </row>
    <row r="61" spans="1:19" hidden="1" x14ac:dyDescent="0.25">
      <c r="F61" s="164"/>
      <c r="H61" s="195"/>
      <c r="I61" s="164"/>
    </row>
    <row r="62" spans="1:19" hidden="1" x14ac:dyDescent="0.25">
      <c r="D62" s="154"/>
      <c r="H62" s="164"/>
    </row>
    <row r="63" spans="1:19" hidden="1" x14ac:dyDescent="0.25"/>
    <row r="64" spans="1:19" hidden="1" x14ac:dyDescent="0.25">
      <c r="G64" s="154"/>
    </row>
  </sheetData>
  <sheetProtection algorithmName="SHA-512" hashValue="ASOz9b6JXVPqqLD6tZT8xodkKhGK8GrveolCbDBxMwF+K/X5rqTsQnTm47rMj8jMEENHYTEZH0QDZigl34u/Sg==" saltValue="/++jzvK7z2IIRTtbuLaLoA==" spinCount="100000" sheet="1" objects="1" scenarios="1"/>
  <mergeCells count="8">
    <mergeCell ref="A53:L53"/>
    <mergeCell ref="A1:L1"/>
    <mergeCell ref="A2:A3"/>
    <mergeCell ref="B2:E2"/>
    <mergeCell ref="F2:I2"/>
    <mergeCell ref="J2:J3"/>
    <mergeCell ref="K2:K3"/>
    <mergeCell ref="L2:L3"/>
  </mergeCells>
  <pageMargins left="0.70866141732283472" right="0.70866141732283472" top="0.74803149606299213" bottom="0.74803149606299213" header="0.31496062992125984" footer="0.31496062992125984"/>
  <pageSetup paperSize="9" scale="70" orientation="landscape" r:id="rId1"/>
  <headerFooter>
    <oddHeader>&amp;C&amp;"Arial,Gras"&amp;16TABLEAU D'EXECUTION DE LA LOI DE FINANCES 2019 AU 31 DECEMBRE (CLASSIFICATION ADMINISTRATIVE)
(en millions de FCFA)</oddHeader>
    <oddFooter>&amp;C&amp;"-,Italique"&amp;10&amp;P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67212-C975-4B9B-8477-C1B4630DC02C}">
  <dimension ref="A1:M49"/>
  <sheetViews>
    <sheetView zoomScaleNormal="100" workbookViewId="0">
      <selection activeCell="I14" sqref="I14"/>
    </sheetView>
  </sheetViews>
  <sheetFormatPr baseColWidth="10" defaultColWidth="11.42578125" defaultRowHeight="21" customHeight="1" x14ac:dyDescent="0.25"/>
  <cols>
    <col min="1" max="1" width="6.28515625" style="197" customWidth="1"/>
    <col min="2" max="2" width="45.85546875" style="197" customWidth="1"/>
    <col min="3" max="3" width="14.85546875" style="197" customWidth="1"/>
    <col min="4" max="4" width="17.140625" style="197" customWidth="1"/>
    <col min="5" max="5" width="11" style="198" customWidth="1"/>
    <col min="6" max="6" width="10" style="198" customWidth="1"/>
    <col min="7" max="7" width="50.28515625" style="197" customWidth="1"/>
    <col min="8" max="8" width="11.42578125" style="197"/>
    <col min="9" max="10" width="21.7109375" style="199" bestFit="1" customWidth="1"/>
    <col min="11" max="16384" width="11.42578125" style="197"/>
  </cols>
  <sheetData>
    <row r="1" spans="1:13" ht="8.25" customHeight="1" x14ac:dyDescent="0.25">
      <c r="A1" s="277"/>
      <c r="B1" s="277"/>
    </row>
    <row r="2" spans="1:13" s="201" customFormat="1" ht="35.25" customHeight="1" x14ac:dyDescent="0.25">
      <c r="A2" s="200" t="s">
        <v>300</v>
      </c>
      <c r="B2" s="200" t="s">
        <v>301</v>
      </c>
      <c r="C2" s="200" t="s">
        <v>0</v>
      </c>
      <c r="D2" s="200" t="s">
        <v>302</v>
      </c>
      <c r="E2" s="200" t="s">
        <v>303</v>
      </c>
      <c r="F2" s="200" t="s">
        <v>304</v>
      </c>
      <c r="G2" s="200" t="s">
        <v>305</v>
      </c>
      <c r="I2" s="202"/>
      <c r="J2" s="202"/>
    </row>
    <row r="3" spans="1:13" ht="45.75" customHeight="1" x14ac:dyDescent="0.25">
      <c r="A3" s="203" t="s">
        <v>306</v>
      </c>
      <c r="B3" s="204" t="s">
        <v>307</v>
      </c>
      <c r="C3" s="205">
        <v>400479.44900000002</v>
      </c>
      <c r="D3" s="205">
        <f>'[1]Détail par administration'!J18+'[1]Détail par administration'!J20+'[1]Détail par administration'!J34+'[1]Détail par administration'!J32+'[1]Détail par administration'!J30+'[1]Détail par administration'!J43+'[1]Détail par administration'!J39+D41-67078.750277+'[1]Détail par administration'!J37+'[1]Détail par administration'!J4</f>
        <v>258806.15079100002</v>
      </c>
      <c r="E3" s="206">
        <f>D3/C3</f>
        <v>0.6462407782402837</v>
      </c>
      <c r="F3" s="206">
        <f>D3/$D$14</f>
        <v>0.21196861895692579</v>
      </c>
      <c r="G3" s="207"/>
    </row>
    <row r="4" spans="1:13" ht="31.5" customHeight="1" x14ac:dyDescent="0.25">
      <c r="A4" s="203" t="s">
        <v>308</v>
      </c>
      <c r="B4" s="204" t="s">
        <v>309</v>
      </c>
      <c r="C4" s="154">
        <v>55911.065000000002</v>
      </c>
      <c r="D4" s="205">
        <f>'[1]Détail par administration'!J17+D39</f>
        <v>48653.170061999997</v>
      </c>
      <c r="E4" s="206">
        <f>D4/C4</f>
        <v>0.87018857648302705</v>
      </c>
      <c r="F4" s="206">
        <f>D4/$D$14</f>
        <v>3.9848145936248823E-2</v>
      </c>
      <c r="G4" s="207"/>
    </row>
    <row r="5" spans="1:13" ht="31.5" customHeight="1" x14ac:dyDescent="0.25">
      <c r="A5" s="203" t="s">
        <v>310</v>
      </c>
      <c r="B5" s="204" t="s">
        <v>311</v>
      </c>
      <c r="C5" s="205">
        <v>55646.565000000002</v>
      </c>
      <c r="D5" s="205">
        <f>'[1]Détail par administration'!J19+'[1]Détail par administration'!J33</f>
        <v>52219.662464000008</v>
      </c>
      <c r="E5" s="206">
        <f t="shared" ref="E5:E12" si="0">D5/C5</f>
        <v>0.93841663836752554</v>
      </c>
      <c r="F5" s="206">
        <f t="shared" ref="F5:F12" si="1">D5/$D$14</f>
        <v>4.2769191153535058E-2</v>
      </c>
      <c r="G5" s="207"/>
    </row>
    <row r="6" spans="1:13" ht="31.5" customHeight="1" x14ac:dyDescent="0.25">
      <c r="A6" s="203" t="s">
        <v>312</v>
      </c>
      <c r="B6" s="204" t="s">
        <v>313</v>
      </c>
      <c r="C6" s="205">
        <v>270500.30699999997</v>
      </c>
      <c r="D6" s="205">
        <f>'[1]Détail par administration'!J31+'[1]Détail par administration'!J21+'[1]Détail par administration'!J38+'[1]Détail par administration'!J25+'[1]Détail par administration'!J26+'[1]Détail par administration'!J23+'[1]Détail par administration'!J44+D43+67078.750277</f>
        <v>400601.684183</v>
      </c>
      <c r="E6" s="206">
        <f t="shared" si="0"/>
        <v>1.4809657283790072</v>
      </c>
      <c r="F6" s="206">
        <f t="shared" si="1"/>
        <v>0.32810265709899028</v>
      </c>
      <c r="G6" s="207"/>
    </row>
    <row r="7" spans="1:13" ht="31.5" customHeight="1" x14ac:dyDescent="0.25">
      <c r="A7" s="203" t="s">
        <v>314</v>
      </c>
      <c r="B7" s="204" t="s">
        <v>315</v>
      </c>
      <c r="C7" s="205">
        <v>12514</v>
      </c>
      <c r="D7" s="205">
        <f>'[1]Détail par administration'!J22</f>
        <v>54342.871984000005</v>
      </c>
      <c r="E7" s="206">
        <f t="shared" si="0"/>
        <v>4.3425660847051306</v>
      </c>
      <c r="F7" s="206">
        <f t="shared" si="1"/>
        <v>4.4508152103014342E-2</v>
      </c>
      <c r="G7" s="207"/>
    </row>
    <row r="8" spans="1:13" ht="31.5" customHeight="1" x14ac:dyDescent="0.25">
      <c r="A8" s="203" t="s">
        <v>316</v>
      </c>
      <c r="B8" s="204" t="s">
        <v>317</v>
      </c>
      <c r="C8" s="205">
        <v>114358.46</v>
      </c>
      <c r="D8" s="208" t="s">
        <v>299</v>
      </c>
      <c r="E8" s="208" t="s">
        <v>299</v>
      </c>
      <c r="F8" s="208" t="s">
        <v>299</v>
      </c>
      <c r="G8" s="207" t="s">
        <v>318</v>
      </c>
    </row>
    <row r="9" spans="1:13" ht="31.5" customHeight="1" x14ac:dyDescent="0.25">
      <c r="A9" s="203" t="s">
        <v>319</v>
      </c>
      <c r="B9" s="204" t="s">
        <v>265</v>
      </c>
      <c r="C9" s="205">
        <v>63609.8</v>
      </c>
      <c r="D9" s="205">
        <f>'[1]Détail par administration'!J24+D42+D44</f>
        <v>54990.191811000004</v>
      </c>
      <c r="E9" s="206">
        <f t="shared" si="0"/>
        <v>0.86449244944961312</v>
      </c>
      <c r="F9" s="206">
        <f t="shared" si="1"/>
        <v>4.5038323002481999E-2</v>
      </c>
      <c r="G9" s="207"/>
    </row>
    <row r="10" spans="1:13" ht="23.25" customHeight="1" x14ac:dyDescent="0.25">
      <c r="A10" s="203" t="s">
        <v>320</v>
      </c>
      <c r="B10" s="204" t="s">
        <v>321</v>
      </c>
      <c r="C10" s="205">
        <v>58365.190999999999</v>
      </c>
      <c r="D10" s="205">
        <f>'[1]Détail par administration'!J27</f>
        <v>28918.898432999998</v>
      </c>
      <c r="E10" s="206">
        <f t="shared" si="0"/>
        <v>0.49548194630254871</v>
      </c>
      <c r="F10" s="206">
        <f t="shared" si="1"/>
        <v>2.3685290878379627E-2</v>
      </c>
      <c r="G10" s="207"/>
    </row>
    <row r="11" spans="1:13" ht="31.5" customHeight="1" x14ac:dyDescent="0.25">
      <c r="A11" s="203" t="s">
        <v>322</v>
      </c>
      <c r="B11" s="204" t="s">
        <v>323</v>
      </c>
      <c r="C11" s="205">
        <v>250033.13699999999</v>
      </c>
      <c r="D11" s="205">
        <f>'[1]Détail par administration'!J29+'[1]Détail par administration'!J35+'[1]Détail par administration'!J36+D40</f>
        <v>230373.02662299998</v>
      </c>
      <c r="E11" s="206">
        <f t="shared" si="0"/>
        <v>0.92136998074379239</v>
      </c>
      <c r="F11" s="206">
        <f t="shared" si="1"/>
        <v>0.18868118917945953</v>
      </c>
      <c r="G11" s="207"/>
    </row>
    <row r="12" spans="1:13" ht="31.5" customHeight="1" x14ac:dyDescent="0.25">
      <c r="A12" s="203" t="s">
        <v>324</v>
      </c>
      <c r="B12" s="204" t="s">
        <v>325</v>
      </c>
      <c r="C12" s="205">
        <v>91623.026398999995</v>
      </c>
      <c r="D12" s="205">
        <f>+'[1]Détail par administration'!J28+'[1]Détail par administration'!J48</f>
        <v>92058.80558</v>
      </c>
      <c r="E12" s="206">
        <f t="shared" si="0"/>
        <v>1.0047562190218677</v>
      </c>
      <c r="F12" s="206">
        <f t="shared" si="1"/>
        <v>7.5398431690964732E-2</v>
      </c>
      <c r="G12" s="207"/>
    </row>
    <row r="13" spans="1:13" ht="5.25" customHeight="1" x14ac:dyDescent="0.25">
      <c r="A13" s="209"/>
      <c r="B13" s="209"/>
      <c r="C13" s="209"/>
      <c r="D13" s="209"/>
      <c r="E13" s="209"/>
      <c r="F13" s="209"/>
      <c r="G13" s="209"/>
      <c r="H13" s="210"/>
      <c r="I13" s="211"/>
      <c r="J13" s="211"/>
      <c r="K13" s="210"/>
      <c r="L13" s="210"/>
      <c r="M13" s="210"/>
    </row>
    <row r="14" spans="1:13" s="132" customFormat="1" ht="36.75" customHeight="1" x14ac:dyDescent="0.25">
      <c r="A14" s="278" t="s">
        <v>326</v>
      </c>
      <c r="B14" s="278"/>
      <c r="C14" s="212">
        <f>SUM(C3:C12)</f>
        <v>1373041.000399</v>
      </c>
      <c r="D14" s="212">
        <f>SUM(D3:D12)</f>
        <v>1220964.4619309998</v>
      </c>
      <c r="E14" s="213">
        <f>D14/C14</f>
        <v>0.8892410798921464</v>
      </c>
      <c r="F14" s="214">
        <f>SUM(F3:F12)</f>
        <v>1.0000000000000002</v>
      </c>
      <c r="G14" s="212"/>
      <c r="I14" s="215"/>
      <c r="J14" s="215"/>
    </row>
    <row r="16" spans="1:13" ht="21" customHeight="1" x14ac:dyDescent="0.25">
      <c r="C16" s="216"/>
    </row>
    <row r="17" spans="2:4" ht="21" hidden="1" customHeight="1" x14ac:dyDescent="0.25">
      <c r="B17" s="217" t="s">
        <v>301</v>
      </c>
      <c r="C17" s="218" t="s">
        <v>0</v>
      </c>
      <c r="D17" s="219" t="s">
        <v>302</v>
      </c>
    </row>
    <row r="18" spans="2:4" ht="21" hidden="1" customHeight="1" x14ac:dyDescent="0.25">
      <c r="B18" s="220" t="s">
        <v>317</v>
      </c>
      <c r="C18" s="221">
        <v>114358.46</v>
      </c>
      <c r="D18" s="222" t="s">
        <v>299</v>
      </c>
    </row>
    <row r="19" spans="2:4" ht="21" hidden="1" customHeight="1" x14ac:dyDescent="0.25">
      <c r="B19" s="220" t="s">
        <v>313</v>
      </c>
      <c r="C19" s="223">
        <v>270500.30699999997</v>
      </c>
      <c r="D19" s="224">
        <v>400601.684183</v>
      </c>
    </row>
    <row r="20" spans="2:4" ht="21" hidden="1" customHeight="1" x14ac:dyDescent="0.25">
      <c r="B20" s="220" t="s">
        <v>307</v>
      </c>
      <c r="C20" s="223">
        <v>400479.44900000002</v>
      </c>
      <c r="D20" s="224">
        <v>258806.15079100002</v>
      </c>
    </row>
    <row r="21" spans="2:4" ht="21" hidden="1" customHeight="1" x14ac:dyDescent="0.25">
      <c r="B21" s="220" t="s">
        <v>323</v>
      </c>
      <c r="C21" s="223">
        <v>250033.13699999999</v>
      </c>
      <c r="D21" s="224">
        <v>230373.02662299998</v>
      </c>
    </row>
    <row r="22" spans="2:4" ht="21" hidden="1" customHeight="1" x14ac:dyDescent="0.25">
      <c r="B22" s="220" t="s">
        <v>325</v>
      </c>
      <c r="C22" s="225">
        <v>91623.026398999995</v>
      </c>
      <c r="D22" s="224">
        <v>92058.80558</v>
      </c>
    </row>
    <row r="23" spans="2:4" ht="21" hidden="1" customHeight="1" x14ac:dyDescent="0.25">
      <c r="B23" s="220" t="s">
        <v>265</v>
      </c>
      <c r="C23" s="223">
        <v>63609.8</v>
      </c>
      <c r="D23" s="224">
        <v>54990.191811000004</v>
      </c>
    </row>
    <row r="24" spans="2:4" ht="21" hidden="1" customHeight="1" x14ac:dyDescent="0.25">
      <c r="B24" s="220" t="s">
        <v>315</v>
      </c>
      <c r="C24" s="221">
        <v>12514</v>
      </c>
      <c r="D24" s="224">
        <v>54342.871984000005</v>
      </c>
    </row>
    <row r="25" spans="2:4" ht="21" hidden="1" customHeight="1" x14ac:dyDescent="0.25">
      <c r="B25" s="226" t="s">
        <v>311</v>
      </c>
      <c r="C25" s="225">
        <v>55646.565000000002</v>
      </c>
      <c r="D25" s="227">
        <v>52219.662464000008</v>
      </c>
    </row>
    <row r="26" spans="2:4" ht="21" hidden="1" customHeight="1" x14ac:dyDescent="0.25">
      <c r="B26" s="226" t="s">
        <v>309</v>
      </c>
      <c r="C26" s="225">
        <v>55911.065000000002</v>
      </c>
      <c r="D26" s="227">
        <v>48653.170061999997</v>
      </c>
    </row>
    <row r="27" spans="2:4" ht="21" hidden="1" customHeight="1" x14ac:dyDescent="0.25">
      <c r="B27" s="226" t="s">
        <v>321</v>
      </c>
      <c r="C27" s="225">
        <v>58365.190999999999</v>
      </c>
      <c r="D27" s="227">
        <v>28918.898432999998</v>
      </c>
    </row>
    <row r="28" spans="2:4" ht="21" hidden="1" customHeight="1" x14ac:dyDescent="0.25">
      <c r="B28" s="226"/>
      <c r="C28" s="225"/>
      <c r="D28" s="225"/>
    </row>
    <row r="29" spans="2:4" ht="21" hidden="1" customHeight="1" x14ac:dyDescent="0.25">
      <c r="B29" s="226"/>
      <c r="C29" s="225"/>
      <c r="D29" s="225"/>
    </row>
    <row r="30" spans="2:4" ht="21" hidden="1" customHeight="1" x14ac:dyDescent="0.25">
      <c r="B30" s="226"/>
      <c r="C30" s="225"/>
      <c r="D30" s="225"/>
    </row>
    <row r="31" spans="2:4" ht="21" hidden="1" customHeight="1" x14ac:dyDescent="0.25">
      <c r="B31" s="226"/>
      <c r="C31" s="225"/>
      <c r="D31" s="225"/>
    </row>
    <row r="32" spans="2:4" ht="21" hidden="1" customHeight="1" x14ac:dyDescent="0.25">
      <c r="B32" s="226"/>
      <c r="C32" s="225"/>
      <c r="D32" s="225"/>
    </row>
    <row r="33" spans="1:11" ht="21" hidden="1" customHeight="1" x14ac:dyDescent="0.25">
      <c r="B33" s="226"/>
      <c r="C33" s="225"/>
      <c r="D33" s="225"/>
    </row>
    <row r="34" spans="1:11" ht="21" hidden="1" customHeight="1" x14ac:dyDescent="0.25">
      <c r="C34" s="228">
        <f>SUM(C17:C24)</f>
        <v>1203118.179399</v>
      </c>
      <c r="D34" s="228">
        <f>SUM(D17:D24)</f>
        <v>1091172.7309719999</v>
      </c>
    </row>
    <row r="35" spans="1:11" ht="21" hidden="1" customHeight="1" x14ac:dyDescent="0.25">
      <c r="C35" s="228"/>
      <c r="D35" s="228"/>
    </row>
    <row r="36" spans="1:11" ht="21" hidden="1" customHeight="1" x14ac:dyDescent="0.25">
      <c r="C36" s="229"/>
      <c r="D36" s="229">
        <v>1220964.5800989997</v>
      </c>
    </row>
    <row r="37" spans="1:11" ht="21" hidden="1" customHeight="1" x14ac:dyDescent="0.25">
      <c r="D37" s="230">
        <f>D34-D36</f>
        <v>-129791.84912699973</v>
      </c>
    </row>
    <row r="38" spans="1:11" ht="35.25" hidden="1" customHeight="1" x14ac:dyDescent="0.25">
      <c r="A38" s="198"/>
      <c r="B38" s="132" t="s">
        <v>327</v>
      </c>
      <c r="C38" s="132" t="s">
        <v>328</v>
      </c>
      <c r="D38" s="210" t="s">
        <v>329</v>
      </c>
      <c r="F38" s="197"/>
    </row>
    <row r="39" spans="1:11" ht="21" hidden="1" customHeight="1" x14ac:dyDescent="0.25">
      <c r="A39" s="198">
        <v>4</v>
      </c>
      <c r="B39" s="197" t="s">
        <v>330</v>
      </c>
      <c r="C39" s="199">
        <v>16000</v>
      </c>
      <c r="D39" s="231">
        <v>3917.99</v>
      </c>
      <c r="F39" s="197"/>
      <c r="G39" s="232"/>
    </row>
    <row r="40" spans="1:11" ht="21" hidden="1" customHeight="1" x14ac:dyDescent="0.25">
      <c r="A40" s="198">
        <v>3</v>
      </c>
      <c r="B40" s="197" t="s">
        <v>331</v>
      </c>
      <c r="C40" s="199">
        <v>0</v>
      </c>
      <c r="D40" s="231">
        <v>1068.96</v>
      </c>
      <c r="F40" s="197"/>
      <c r="I40" s="197"/>
      <c r="J40" s="197"/>
    </row>
    <row r="41" spans="1:11" ht="21" hidden="1" customHeight="1" x14ac:dyDescent="0.25">
      <c r="A41" s="198">
        <v>2</v>
      </c>
      <c r="B41" s="197" t="s">
        <v>332</v>
      </c>
      <c r="C41" s="199">
        <v>2000</v>
      </c>
      <c r="D41" s="231">
        <v>1568.52</v>
      </c>
      <c r="F41" s="197"/>
      <c r="I41" s="197"/>
      <c r="J41" s="197"/>
    </row>
    <row r="42" spans="1:11" ht="21" hidden="1" customHeight="1" x14ac:dyDescent="0.25">
      <c r="A42" s="198">
        <v>6</v>
      </c>
      <c r="B42" s="197" t="s">
        <v>333</v>
      </c>
      <c r="C42" s="199">
        <v>0</v>
      </c>
      <c r="D42" s="231">
        <v>0</v>
      </c>
      <c r="F42" s="197"/>
      <c r="I42" s="197"/>
      <c r="J42" s="197"/>
    </row>
    <row r="43" spans="1:11" ht="21" hidden="1" customHeight="1" x14ac:dyDescent="0.25">
      <c r="A43" s="198">
        <v>1</v>
      </c>
      <c r="B43" s="197" t="s">
        <v>334</v>
      </c>
      <c r="C43" s="199">
        <v>4500</v>
      </c>
      <c r="D43" s="231"/>
      <c r="F43" s="197"/>
      <c r="I43" s="197"/>
      <c r="J43" s="197"/>
    </row>
    <row r="44" spans="1:11" ht="21" hidden="1" customHeight="1" x14ac:dyDescent="0.25">
      <c r="A44" s="198">
        <v>6</v>
      </c>
      <c r="B44" s="197" t="s">
        <v>335</v>
      </c>
      <c r="C44" s="233">
        <v>802</v>
      </c>
      <c r="D44" s="234">
        <v>533.9</v>
      </c>
      <c r="F44" s="197"/>
      <c r="I44" s="197"/>
      <c r="J44" s="197"/>
    </row>
    <row r="45" spans="1:11" s="132" customFormat="1" ht="21" hidden="1" customHeight="1" x14ac:dyDescent="0.25">
      <c r="B45" s="132" t="s">
        <v>87</v>
      </c>
      <c r="C45" s="215">
        <f>SUM(C39:C44)</f>
        <v>23302</v>
      </c>
      <c r="D45" s="235">
        <f>SUM(D39:D44)</f>
        <v>7089.369999999999</v>
      </c>
      <c r="E45" s="236"/>
      <c r="F45" s="197"/>
      <c r="G45" s="197"/>
      <c r="H45" s="197"/>
      <c r="I45" s="197"/>
      <c r="J45" s="197"/>
      <c r="K45" s="197"/>
    </row>
    <row r="46" spans="1:11" ht="21" hidden="1" customHeight="1" x14ac:dyDescent="0.25">
      <c r="C46" s="199"/>
      <c r="F46" s="197"/>
      <c r="I46" s="197"/>
      <c r="J46" s="197"/>
    </row>
    <row r="47" spans="1:11" ht="21" customHeight="1" x14ac:dyDescent="0.25">
      <c r="I47" s="197"/>
      <c r="J47" s="197"/>
    </row>
    <row r="48" spans="1:11" ht="21" customHeight="1" x14ac:dyDescent="0.25">
      <c r="I48" s="197"/>
      <c r="J48" s="197"/>
    </row>
    <row r="49" spans="9:10" ht="21" customHeight="1" x14ac:dyDescent="0.25">
      <c r="I49" s="197"/>
      <c r="J49" s="197"/>
    </row>
  </sheetData>
  <sheetProtection algorithmName="SHA-512" hashValue="YmmNLWm53/5x37iautAq165dp7jzmcWqK697SMCPw5ryj+fJkpdKm670ZpjOBlhTVeg3kPvh3vs6yOXVvDP+AA==" saltValue="8+qdiXAZjVHUFuoSOMqpZw==" spinCount="100000" sheet="1" objects="1" scenarios="1"/>
  <mergeCells count="2">
    <mergeCell ref="A1:B1"/>
    <mergeCell ref="A14:B14"/>
  </mergeCells>
  <pageMargins left="0.70866141732283472" right="0.70866141732283472" top="0.74803149606299213" bottom="0.74803149606299213" header="0.31496062992125984" footer="0.31496062992125984"/>
  <pageSetup paperSize="9" scale="55" fitToHeight="0" orientation="portrait" r:id="rId1"/>
  <headerFooter>
    <oddHeader>&amp;C&amp;"Arial,Gras"&amp;14EXECUTION LOI DE FINANCES 2018 au 31 DECEMBRE PAR FONCTION &amp;"-,Normal"&amp;11
&amp;"Arial,Italique"&amp;12(en millions de FCFA)</oddHeader>
    <oddFooter>&amp;R&amp;P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95BF-B96E-44BD-8C3F-F9F40693B1EF}">
  <dimension ref="B3:J17"/>
  <sheetViews>
    <sheetView showGridLines="0" workbookViewId="0">
      <selection activeCell="H22" sqref="H22"/>
    </sheetView>
  </sheetViews>
  <sheetFormatPr baseColWidth="10" defaultRowHeight="15" x14ac:dyDescent="0.25"/>
  <cols>
    <col min="1" max="1" width="11.42578125" style="56"/>
    <col min="2" max="2" width="17.5703125" style="56" customWidth="1"/>
    <col min="3" max="9" width="11.42578125" style="56"/>
    <col min="10" max="10" width="14.7109375" style="56" customWidth="1"/>
    <col min="11" max="16384" width="11.42578125" style="56"/>
  </cols>
  <sheetData>
    <row r="3" spans="2:10" ht="16.5" x14ac:dyDescent="0.25">
      <c r="B3" s="240" t="s">
        <v>197</v>
      </c>
      <c r="C3" s="240"/>
      <c r="D3" s="240"/>
      <c r="E3" s="240"/>
      <c r="F3" s="240"/>
      <c r="G3" s="240"/>
      <c r="H3" s="240"/>
      <c r="I3" s="240"/>
      <c r="J3" s="240"/>
    </row>
    <row r="4" spans="2:10" ht="24" customHeight="1" thickBot="1" x14ac:dyDescent="0.3"/>
    <row r="5" spans="2:10" ht="16.5" thickTop="1" thickBot="1" x14ac:dyDescent="0.3">
      <c r="B5" s="279" t="s">
        <v>98</v>
      </c>
      <c r="C5" s="280">
        <v>2018</v>
      </c>
      <c r="D5" s="280"/>
      <c r="E5" s="280"/>
      <c r="F5" s="279">
        <v>2019</v>
      </c>
      <c r="G5" s="279"/>
      <c r="H5" s="279"/>
      <c r="I5" s="268" t="s">
        <v>45</v>
      </c>
      <c r="J5" s="268" t="s">
        <v>5</v>
      </c>
    </row>
    <row r="6" spans="2:10" ht="16.5" thickTop="1" thickBot="1" x14ac:dyDescent="0.3">
      <c r="B6" s="279"/>
      <c r="C6" s="77" t="s">
        <v>46</v>
      </c>
      <c r="D6" s="77" t="s">
        <v>99</v>
      </c>
      <c r="E6" s="77" t="s">
        <v>5</v>
      </c>
      <c r="F6" s="88" t="s">
        <v>46</v>
      </c>
      <c r="G6" s="88" t="s">
        <v>99</v>
      </c>
      <c r="H6" s="88" t="s">
        <v>5</v>
      </c>
      <c r="I6" s="268"/>
      <c r="J6" s="268"/>
    </row>
    <row r="7" spans="2:10" ht="16.5" thickTop="1" thickBot="1" x14ac:dyDescent="0.3">
      <c r="B7" s="89" t="s">
        <v>100</v>
      </c>
      <c r="C7" s="90">
        <v>0</v>
      </c>
      <c r="D7" s="90">
        <v>14.3</v>
      </c>
      <c r="E7" s="71" t="e">
        <f>D7/C7*100</f>
        <v>#DIV/0!</v>
      </c>
      <c r="F7" s="90">
        <v>3827</v>
      </c>
      <c r="G7" s="90">
        <v>0</v>
      </c>
      <c r="H7" s="71">
        <f>G7/F7*100</f>
        <v>0</v>
      </c>
      <c r="I7" s="70">
        <f>G7-D7</f>
        <v>-14.3</v>
      </c>
      <c r="J7" s="71">
        <f>I7/D7*100</f>
        <v>-100</v>
      </c>
    </row>
    <row r="8" spans="2:10" ht="16.5" thickTop="1" thickBot="1" x14ac:dyDescent="0.3">
      <c r="B8" s="91" t="s">
        <v>101</v>
      </c>
      <c r="C8" s="92">
        <v>167600</v>
      </c>
      <c r="D8" s="93">
        <v>162573.20000000001</v>
      </c>
      <c r="E8" s="71">
        <f t="shared" ref="E8:E16" si="0">D8/C8*100</f>
        <v>97.000715990453472</v>
      </c>
      <c r="F8" s="92">
        <v>167244</v>
      </c>
      <c r="G8" s="93">
        <v>167243.20000000001</v>
      </c>
      <c r="H8" s="71">
        <f t="shared" ref="H8:H16" si="1">G8/F8*100</f>
        <v>99.999521656980221</v>
      </c>
      <c r="I8" s="70">
        <f>G8-D8</f>
        <v>4670</v>
      </c>
      <c r="J8" s="71">
        <f t="shared" ref="J8:J15" si="2">I8/D8*100</f>
        <v>2.8725521795720326</v>
      </c>
    </row>
    <row r="9" spans="2:10" ht="16.5" thickTop="1" thickBot="1" x14ac:dyDescent="0.3">
      <c r="B9" s="89" t="s">
        <v>102</v>
      </c>
      <c r="C9" s="94">
        <v>12500</v>
      </c>
      <c r="D9" s="95">
        <v>11159</v>
      </c>
      <c r="E9" s="71">
        <f t="shared" si="0"/>
        <v>89.271999999999991</v>
      </c>
      <c r="F9" s="94">
        <v>12500</v>
      </c>
      <c r="G9" s="95">
        <v>11245.9</v>
      </c>
      <c r="H9" s="71">
        <f t="shared" si="1"/>
        <v>89.967199999999991</v>
      </c>
      <c r="I9" s="70">
        <f>G9-D9</f>
        <v>86.899999999999636</v>
      </c>
      <c r="J9" s="71">
        <f t="shared" si="2"/>
        <v>0.7787436150192637</v>
      </c>
    </row>
    <row r="10" spans="2:10" ht="16.5" thickTop="1" thickBot="1" x14ac:dyDescent="0.3">
      <c r="B10" s="91" t="s">
        <v>103</v>
      </c>
      <c r="C10" s="92">
        <v>35300</v>
      </c>
      <c r="D10" s="93">
        <v>28781.9</v>
      </c>
      <c r="E10" s="71">
        <f t="shared" si="0"/>
        <v>81.535127478753537</v>
      </c>
      <c r="F10" s="92">
        <v>38239</v>
      </c>
      <c r="G10" s="93">
        <v>41710.5</v>
      </c>
      <c r="H10" s="71">
        <f t="shared" si="1"/>
        <v>109.07842778315333</v>
      </c>
      <c r="I10" s="70">
        <f>G10-D10</f>
        <v>12928.599999999999</v>
      </c>
      <c r="J10" s="71">
        <f t="shared" si="2"/>
        <v>44.91920269335936</v>
      </c>
    </row>
    <row r="11" spans="2:10" ht="16.5" thickTop="1" thickBot="1" x14ac:dyDescent="0.3">
      <c r="B11" s="89" t="s">
        <v>104</v>
      </c>
      <c r="C11" s="94">
        <v>154000</v>
      </c>
      <c r="D11" s="95">
        <v>181373</v>
      </c>
      <c r="E11" s="71">
        <f t="shared" si="0"/>
        <v>117.77467532467531</v>
      </c>
      <c r="F11" s="94">
        <v>180112</v>
      </c>
      <c r="G11" s="95">
        <v>239258</v>
      </c>
      <c r="H11" s="71">
        <f t="shared" si="1"/>
        <v>132.83845607177756</v>
      </c>
      <c r="I11" s="70">
        <f>G11-D11</f>
        <v>57885</v>
      </c>
      <c r="J11" s="71">
        <f t="shared" si="2"/>
        <v>31.914893617021278</v>
      </c>
    </row>
    <row r="12" spans="2:10" ht="16.5" thickTop="1" thickBot="1" x14ac:dyDescent="0.3">
      <c r="B12" s="91" t="s">
        <v>105</v>
      </c>
      <c r="C12" s="92">
        <v>5000</v>
      </c>
      <c r="D12" s="93">
        <v>5000</v>
      </c>
      <c r="E12" s="71">
        <f t="shared" si="0"/>
        <v>100</v>
      </c>
      <c r="F12" s="92">
        <v>18000</v>
      </c>
      <c r="G12" s="93">
        <v>18848.599999999999</v>
      </c>
      <c r="H12" s="71">
        <f t="shared" si="1"/>
        <v>104.71444444444444</v>
      </c>
      <c r="I12" s="70">
        <f t="shared" ref="I12:I14" si="3">G12-D12</f>
        <v>13848.599999999999</v>
      </c>
      <c r="J12" s="71">
        <f t="shared" si="2"/>
        <v>276.97199999999998</v>
      </c>
    </row>
    <row r="13" spans="2:10" ht="16.5" thickTop="1" thickBot="1" x14ac:dyDescent="0.3">
      <c r="B13" s="89" t="s">
        <v>106</v>
      </c>
      <c r="C13" s="94">
        <v>72200</v>
      </c>
      <c r="D13" s="95">
        <v>216788.3</v>
      </c>
      <c r="E13" s="71">
        <f t="shared" si="0"/>
        <v>300.2608033240997</v>
      </c>
      <c r="F13" s="94">
        <v>74580</v>
      </c>
      <c r="G13" s="95">
        <v>59414.5</v>
      </c>
      <c r="H13" s="71">
        <f t="shared" si="1"/>
        <v>79.66545990882274</v>
      </c>
      <c r="I13" s="70">
        <f t="shared" si="3"/>
        <v>-157373.79999999999</v>
      </c>
      <c r="J13" s="71">
        <f t="shared" si="2"/>
        <v>-72.593308771737213</v>
      </c>
    </row>
    <row r="14" spans="2:10" ht="16.5" thickTop="1" thickBot="1" x14ac:dyDescent="0.3">
      <c r="B14" s="91" t="s">
        <v>107</v>
      </c>
      <c r="C14" s="92">
        <v>10000</v>
      </c>
      <c r="D14" s="93">
        <v>10000</v>
      </c>
      <c r="E14" s="71">
        <f t="shared" si="0"/>
        <v>100</v>
      </c>
      <c r="F14" s="92">
        <v>10000</v>
      </c>
      <c r="G14" s="93">
        <v>10000</v>
      </c>
      <c r="H14" s="71">
        <f t="shared" si="1"/>
        <v>100</v>
      </c>
      <c r="I14" s="70">
        <f t="shared" si="3"/>
        <v>0</v>
      </c>
      <c r="J14" s="71">
        <f t="shared" si="2"/>
        <v>0</v>
      </c>
    </row>
    <row r="15" spans="2:10" ht="37.5" thickTop="1" thickBot="1" x14ac:dyDescent="0.3">
      <c r="B15" s="96" t="s">
        <v>108</v>
      </c>
      <c r="C15" s="94">
        <v>0</v>
      </c>
      <c r="D15" s="95">
        <v>129677.4</v>
      </c>
      <c r="E15" s="71" t="e">
        <f t="shared" si="0"/>
        <v>#DIV/0!</v>
      </c>
      <c r="F15" s="94">
        <v>0</v>
      </c>
      <c r="G15" s="95">
        <v>0</v>
      </c>
      <c r="H15" s="71" t="e">
        <f t="shared" si="1"/>
        <v>#DIV/0!</v>
      </c>
      <c r="I15" s="70">
        <f>G15-D15</f>
        <v>-129677.4</v>
      </c>
      <c r="J15" s="71">
        <f t="shared" si="2"/>
        <v>-100</v>
      </c>
    </row>
    <row r="16" spans="2:10" ht="16.5" thickTop="1" thickBot="1" x14ac:dyDescent="0.3">
      <c r="B16" s="97" t="s">
        <v>48</v>
      </c>
      <c r="C16" s="69">
        <f t="shared" ref="C16" si="4">SUM(C7:C15)</f>
        <v>456600</v>
      </c>
      <c r="D16" s="70">
        <f>SUM(D7:D15)</f>
        <v>745367.1</v>
      </c>
      <c r="E16" s="70">
        <f t="shared" si="0"/>
        <v>163.24290407358737</v>
      </c>
      <c r="F16" s="69">
        <f>SUM(F7:F15)</f>
        <v>504502</v>
      </c>
      <c r="G16" s="70">
        <f>SUM(G7:G15)</f>
        <v>547720.69999999995</v>
      </c>
      <c r="H16" s="70">
        <f t="shared" si="1"/>
        <v>108.56660627708115</v>
      </c>
      <c r="I16" s="70">
        <f>SUM(I7:I15)</f>
        <v>-197646.4</v>
      </c>
      <c r="J16" s="70">
        <f>I16/D16*100</f>
        <v>-26.516651996043294</v>
      </c>
    </row>
    <row r="17" ht="15.75" thickTop="1" x14ac:dyDescent="0.25"/>
  </sheetData>
  <sheetProtection algorithmName="SHA-512" hashValue="CJA9pnL5tKeGeJMh6BpP68Tl0c/cBR3UOwgc6xLfKb3WF6I1CwchLEBCEqYWWBJMPDiGCmoDZe77NTv9D8P/CQ==" saltValue="V4ipDd2dJxb8UzjOV/yCLw==" spinCount="100000" sheet="1" objects="1" scenarios="1"/>
  <mergeCells count="6">
    <mergeCell ref="B3:J3"/>
    <mergeCell ref="B5:B6"/>
    <mergeCell ref="C5:E5"/>
    <mergeCell ref="F5:H5"/>
    <mergeCell ref="I5:I6"/>
    <mergeCell ref="J5:J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6DC9B553-6D1E-4BEB-A3C8-342279780F43}"/>
</file>

<file path=customXml/itemProps2.xml><?xml version="1.0" encoding="utf-8"?>
<ds:datastoreItem xmlns:ds="http://schemas.openxmlformats.org/officeDocument/2006/customXml" ds:itemID="{AF12D6A8-4ADE-4C2C-8EA2-908270933E57}"/>
</file>

<file path=customXml/itemProps3.xml><?xml version="1.0" encoding="utf-8"?>
<ds:datastoreItem xmlns:ds="http://schemas.openxmlformats.org/officeDocument/2006/customXml" ds:itemID="{0AA1C68B-0427-4DA9-969A-E7C3A36F14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27</vt:i4>
      </vt:variant>
    </vt:vector>
  </HeadingPairs>
  <TitlesOfParts>
    <vt:vector size="40" baseType="lpstr">
      <vt:lpstr>Introduction</vt:lpstr>
      <vt:lpstr>Agrégats macroéconomiques</vt:lpstr>
      <vt:lpstr>Recettes fiscales</vt:lpstr>
      <vt:lpstr>Recettes non fiscales</vt:lpstr>
      <vt:lpstr>Autres recettes</vt:lpstr>
      <vt:lpstr>Dépenses budgétaires</vt:lpstr>
      <vt:lpstr>Détail par administration</vt:lpstr>
      <vt:lpstr>Regroupement par fonction</vt:lpstr>
      <vt:lpstr>Rembousements de la dette</vt:lpstr>
      <vt:lpstr>Nouveaux emprunts publics</vt:lpstr>
      <vt:lpstr>Dépenses sociales 2019</vt:lpstr>
      <vt:lpstr>Transferts aux communes</vt:lpstr>
      <vt:lpstr>Exécution entreprises publiques</vt:lpstr>
      <vt:lpstr>'Agrégats macroéconomiques'!_ftn1</vt:lpstr>
      <vt:lpstr>'Agrégats macroéconomiques'!_ftn2</vt:lpstr>
      <vt:lpstr>'Agrégats macroéconomiques'!_ftn3</vt:lpstr>
      <vt:lpstr>'Agrégats macroéconomiques'!_ftnref1</vt:lpstr>
      <vt:lpstr>'Agrégats macroéconomiques'!_ftnref2</vt:lpstr>
      <vt:lpstr>'Agrégats macroéconomiques'!_ftnref3</vt:lpstr>
      <vt:lpstr>'Recettes fiscales'!_GoBack</vt:lpstr>
      <vt:lpstr>'Exécution entreprises publiques'!_Toc40732476</vt:lpstr>
      <vt:lpstr>'Agrégats macroéconomiques'!_Toc41040447</vt:lpstr>
      <vt:lpstr>'Recettes fiscales'!_Toc41040448</vt:lpstr>
      <vt:lpstr>'Recettes non fiscales'!_Toc41040449</vt:lpstr>
      <vt:lpstr>'Autres recettes'!_Toc41040450</vt:lpstr>
      <vt:lpstr>'Dépenses budgétaires'!_Toc41040451</vt:lpstr>
      <vt:lpstr>'Dépenses budgétaires'!_Toc41040452</vt:lpstr>
      <vt:lpstr>'Rembousements de la dette'!_Toc41040455</vt:lpstr>
      <vt:lpstr>'Nouveaux emprunts publics'!_Toc41040456</vt:lpstr>
      <vt:lpstr>'Nouveaux emprunts publics'!_Toc41040457</vt:lpstr>
      <vt:lpstr>'Dépenses sociales 2019'!_Toc41040465</vt:lpstr>
      <vt:lpstr>'Transferts aux communes'!_Toc41040467</vt:lpstr>
      <vt:lpstr>'Exécution entreprises publiques'!_Toc41040470</vt:lpstr>
      <vt:lpstr>'Transferts aux communes'!_Toc503263181</vt:lpstr>
      <vt:lpstr>'Dépenses budgétaires'!_Toc505353637</vt:lpstr>
      <vt:lpstr>'Détail par administration'!Impression_des_titres</vt:lpstr>
      <vt:lpstr>'Regroupement par fonction'!Impression_des_titres</vt:lpstr>
      <vt:lpstr>'Détail par administration'!Zone_d_impression</vt:lpstr>
      <vt:lpstr>Introduction!Zone_d_impression</vt:lpstr>
      <vt:lpstr>'Regroupement par fonction'!Zone_d_impression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 23</dc:creator>
  <cp:lastModifiedBy>Pavilion 23</cp:lastModifiedBy>
  <cp:lastPrinted>2020-05-19T19:19:00Z</cp:lastPrinted>
  <dcterms:created xsi:type="dcterms:W3CDTF">2018-08-31T08:00:39Z</dcterms:created>
  <dcterms:modified xsi:type="dcterms:W3CDTF">2020-05-27T18:23:54Z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