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8_{1C5AD200-DECE-4040-AFB8-B57603490029}" xr6:coauthVersionLast="46" xr6:coauthVersionMax="46" xr10:uidLastSave="{00000000-0000-0000-0000-000000000000}"/>
  <bookViews>
    <workbookView xWindow="-120" yWindow="-120" windowWidth="29040" windowHeight="15840" activeTab="3" xr2:uid="{00000000-000D-0000-FFFF-FFFF00000000}"/>
  </bookViews>
  <sheets>
    <sheet name="Détail par administration" sheetId="9" r:id="rId1"/>
    <sheet name="Récap par administration" sheetId="6" state="hidden" r:id="rId2"/>
    <sheet name="Regroupement par fonction" sheetId="12" r:id="rId3"/>
    <sheet name="Graphes" sheetId="14" r:id="rId4"/>
  </sheets>
  <definedNames>
    <definedName name="_xlnm.Print_Titles" localSheetId="0">'Détail par administration'!$2:$3</definedName>
    <definedName name="_xlnm.Print_Titles" localSheetId="2">'Regroupement par fonction'!$2:$2</definedName>
    <definedName name="_xlnm.Print_Area" localSheetId="0">'Détail par administration'!$A$1:$L$61</definedName>
    <definedName name="_xlnm.Print_Area" localSheetId="2">'Regroupement par fonction'!$A$1:$G$14</definedName>
  </definedNames>
  <calcPr calcId="181029"/>
</workbook>
</file>

<file path=xl/calcChain.xml><?xml version="1.0" encoding="utf-8"?>
<calcChain xmlns="http://schemas.openxmlformats.org/spreadsheetml/2006/main">
  <c r="B11" i="6" l="1"/>
  <c r="B15" i="6"/>
  <c r="B43" i="9"/>
  <c r="E43" i="9" s="1"/>
  <c r="F20" i="9"/>
  <c r="C42" i="9" l="1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K29" i="9"/>
  <c r="B21" i="6" s="1"/>
  <c r="K42" i="9"/>
  <c r="B28" i="6" s="1"/>
  <c r="K35" i="9"/>
  <c r="B23" i="6" s="1"/>
  <c r="K32" i="9"/>
  <c r="B36" i="6" s="1"/>
  <c r="K28" i="9"/>
  <c r="B24" i="6" s="1"/>
  <c r="K20" i="9"/>
  <c r="K10" i="9"/>
  <c r="B8" i="6" s="1"/>
  <c r="B29" i="6" l="1"/>
  <c r="C52" i="9"/>
  <c r="B59" i="9" l="1"/>
  <c r="K48" i="9"/>
  <c r="K23" i="9" l="1"/>
  <c r="B40" i="6" s="1"/>
  <c r="D23" i="9"/>
  <c r="D42" i="9"/>
  <c r="K41" i="9"/>
  <c r="B32" i="6" s="1"/>
  <c r="D41" i="9"/>
  <c r="K40" i="9"/>
  <c r="B22" i="6" s="1"/>
  <c r="D40" i="9"/>
  <c r="B40" i="9"/>
  <c r="K39" i="9"/>
  <c r="B20" i="6" s="1"/>
  <c r="D39" i="9"/>
  <c r="B39" i="9"/>
  <c r="K38" i="9"/>
  <c r="D38" i="9"/>
  <c r="K37" i="9"/>
  <c r="B27" i="6" s="1"/>
  <c r="D37" i="9"/>
  <c r="K36" i="9"/>
  <c r="B37" i="6" s="1"/>
  <c r="D36" i="9"/>
  <c r="B36" i="9"/>
  <c r="D35" i="9"/>
  <c r="K34" i="9"/>
  <c r="B39" i="6" s="1"/>
  <c r="D34" i="9"/>
  <c r="K33" i="9"/>
  <c r="B25" i="6" s="1"/>
  <c r="D33" i="9"/>
  <c r="F33" i="9"/>
  <c r="B33" i="9"/>
  <c r="D32" i="9"/>
  <c r="K31" i="9"/>
  <c r="B33" i="6" s="1"/>
  <c r="D31" i="9"/>
  <c r="D29" i="9"/>
  <c r="K30" i="9"/>
  <c r="B30" i="6" s="1"/>
  <c r="D30" i="9"/>
  <c r="D28" i="9"/>
  <c r="K27" i="9"/>
  <c r="B19" i="6" s="1"/>
  <c r="D27" i="9"/>
  <c r="K26" i="9"/>
  <c r="B41" i="6" s="1"/>
  <c r="D26" i="9"/>
  <c r="B26" i="9"/>
  <c r="K25" i="9"/>
  <c r="B18" i="6" s="1"/>
  <c r="D25" i="9"/>
  <c r="B25" i="9"/>
  <c r="K24" i="9"/>
  <c r="D24" i="9"/>
  <c r="B24" i="9"/>
  <c r="D22" i="9"/>
  <c r="K22" i="9"/>
  <c r="B35" i="6" s="1"/>
  <c r="K21" i="9"/>
  <c r="B34" i="6" s="1"/>
  <c r="D21" i="9"/>
  <c r="D20" i="9"/>
  <c r="K19" i="9"/>
  <c r="F19" i="9"/>
  <c r="D19" i="9"/>
  <c r="B31" i="6" l="1"/>
  <c r="C11" i="12"/>
  <c r="B26" i="6"/>
  <c r="B38" i="6"/>
  <c r="C4" i="12"/>
  <c r="K5" i="9"/>
  <c r="B4" i="6" s="1"/>
  <c r="C5" i="9"/>
  <c r="D5" i="9"/>
  <c r="D16" i="9"/>
  <c r="C13" i="9"/>
  <c r="K9" i="9"/>
  <c r="B6" i="6" s="1"/>
  <c r="K7" i="9"/>
  <c r="B9" i="6" s="1"/>
  <c r="K6" i="9"/>
  <c r="B5" i="6" s="1"/>
  <c r="K11" i="9"/>
  <c r="B7" i="6" s="1"/>
  <c r="K12" i="9"/>
  <c r="B12" i="6" s="1"/>
  <c r="D12" i="9"/>
  <c r="C12" i="9"/>
  <c r="B12" i="9"/>
  <c r="D11" i="9"/>
  <c r="C11" i="9"/>
  <c r="D10" i="9"/>
  <c r="C10" i="9"/>
  <c r="D9" i="9"/>
  <c r="B9" i="9"/>
  <c r="C9" i="9"/>
  <c r="C7" i="9"/>
  <c r="D7" i="9"/>
  <c r="B7" i="9"/>
  <c r="C6" i="9"/>
  <c r="D6" i="9"/>
  <c r="C12" i="12" l="1"/>
  <c r="C6" i="12"/>
  <c r="I16" i="9" l="1"/>
  <c r="E29" i="9" l="1"/>
  <c r="I29" i="9"/>
  <c r="I23" i="9"/>
  <c r="J29" i="9" l="1"/>
  <c r="C21" i="6" s="1"/>
  <c r="E23" i="9"/>
  <c r="J23" i="9" s="1"/>
  <c r="C40" i="6" s="1"/>
  <c r="F22" i="9"/>
  <c r="C8" i="12" l="1"/>
  <c r="C5" i="12"/>
  <c r="C10" i="12"/>
  <c r="C7" i="12"/>
  <c r="C9" i="12"/>
  <c r="E15" i="9" l="1"/>
  <c r="I15" i="9"/>
  <c r="J15" i="9" l="1"/>
  <c r="C15" i="6" s="1"/>
  <c r="L15" i="9"/>
  <c r="H18" i="9"/>
  <c r="I8" i="9"/>
  <c r="E8" i="9"/>
  <c r="J8" i="9" s="1"/>
  <c r="C11" i="6" s="1"/>
  <c r="K16" i="9"/>
  <c r="B13" i="6" s="1"/>
  <c r="K14" i="9"/>
  <c r="B10" i="6" s="1"/>
  <c r="K13" i="9"/>
  <c r="B14" i="6" s="1"/>
  <c r="E40" i="9"/>
  <c r="F43" i="9"/>
  <c r="E36" i="9"/>
  <c r="L8" i="9" l="1"/>
  <c r="E31" i="9"/>
  <c r="I31" i="9"/>
  <c r="F24" i="9"/>
  <c r="J31" i="9" l="1"/>
  <c r="G18" i="9"/>
  <c r="H4" i="9"/>
  <c r="H45" i="9" s="1"/>
  <c r="L31" i="9" l="1"/>
  <c r="C33" i="6"/>
  <c r="L23" i="9"/>
  <c r="B18" i="9" l="1"/>
  <c r="E16" i="9"/>
  <c r="J16" i="9" s="1"/>
  <c r="C13" i="6" s="1"/>
  <c r="D13" i="6" s="1"/>
  <c r="D4" i="9" l="1"/>
  <c r="G4" i="9"/>
  <c r="F4" i="9"/>
  <c r="F18" i="9"/>
  <c r="F45" i="9" s="1"/>
  <c r="I19" i="9"/>
  <c r="I20" i="9"/>
  <c r="I21" i="9"/>
  <c r="I22" i="9"/>
  <c r="I24" i="9"/>
  <c r="I25" i="9"/>
  <c r="I26" i="9"/>
  <c r="I27" i="9"/>
  <c r="I28" i="9"/>
  <c r="I30" i="9"/>
  <c r="I32" i="9"/>
  <c r="I33" i="9"/>
  <c r="I34" i="9"/>
  <c r="I35" i="9"/>
  <c r="I36" i="9"/>
  <c r="I37" i="9"/>
  <c r="I38" i="9"/>
  <c r="I39" i="9"/>
  <c r="I40" i="9"/>
  <c r="I41" i="9"/>
  <c r="I42" i="9"/>
  <c r="I43" i="9"/>
  <c r="J43" i="9" s="1"/>
  <c r="I6" i="9"/>
  <c r="I7" i="9"/>
  <c r="I9" i="9"/>
  <c r="I10" i="9"/>
  <c r="I11" i="9"/>
  <c r="I12" i="9"/>
  <c r="I13" i="9"/>
  <c r="I14" i="9"/>
  <c r="I5" i="9"/>
  <c r="I18" i="9" l="1"/>
  <c r="F50" i="9"/>
  <c r="I4" i="9"/>
  <c r="J59" i="9" l="1"/>
  <c r="E5" i="9" l="1"/>
  <c r="J5" i="9" s="1"/>
  <c r="C4" i="6" s="1"/>
  <c r="L5" i="9" l="1"/>
  <c r="E52" i="9" l="1"/>
  <c r="E37" i="9"/>
  <c r="J37" i="9" s="1"/>
  <c r="C27" i="6" s="1"/>
  <c r="E9" i="9"/>
  <c r="J9" i="9" s="1"/>
  <c r="C6" i="6" s="1"/>
  <c r="D24" i="12" l="1"/>
  <c r="C24" i="12"/>
  <c r="B45" i="6" l="1"/>
  <c r="K4" i="9" l="1"/>
  <c r="C3" i="12" s="1"/>
  <c r="C4" i="9" l="1"/>
  <c r="B4" i="9"/>
  <c r="B45" i="9" s="1"/>
  <c r="C14" i="12" l="1"/>
  <c r="E38" i="9"/>
  <c r="J38" i="9" s="1"/>
  <c r="C31" i="6" s="1"/>
  <c r="E39" i="9"/>
  <c r="J40" i="9"/>
  <c r="C22" i="6" s="1"/>
  <c r="E41" i="9"/>
  <c r="J41" i="9" s="1"/>
  <c r="E42" i="9"/>
  <c r="J42" i="9" s="1"/>
  <c r="C28" i="6" s="1"/>
  <c r="C32" i="6" l="1"/>
  <c r="J39" i="9"/>
  <c r="C20" i="6" s="1"/>
  <c r="D12" i="12"/>
  <c r="D33" i="6"/>
  <c r="L41" i="9" l="1"/>
  <c r="L16" i="9"/>
  <c r="L39" i="9"/>
  <c r="L37" i="9"/>
  <c r="L40" i="9"/>
  <c r="L38" i="9"/>
  <c r="L42" i="9"/>
  <c r="L43" i="9"/>
  <c r="L54" i="9" l="1"/>
  <c r="E30" i="9"/>
  <c r="J30" i="9" s="1"/>
  <c r="C30" i="6" s="1"/>
  <c r="D30" i="6" s="1"/>
  <c r="E21" i="9"/>
  <c r="J21" i="9" s="1"/>
  <c r="E7" i="9"/>
  <c r="E28" i="9"/>
  <c r="J28" i="9" s="1"/>
  <c r="C24" i="6" s="1"/>
  <c r="E24" i="9"/>
  <c r="J24" i="9" s="1"/>
  <c r="C38" i="6" s="1"/>
  <c r="E26" i="9"/>
  <c r="J26" i="9" s="1"/>
  <c r="C41" i="6" s="1"/>
  <c r="D18" i="9"/>
  <c r="E19" i="9"/>
  <c r="L59" i="9"/>
  <c r="E12" i="9"/>
  <c r="J12" i="9" s="1"/>
  <c r="C12" i="6" s="1"/>
  <c r="E6" i="9"/>
  <c r="J6" i="9" s="1"/>
  <c r="C5" i="6" s="1"/>
  <c r="J36" i="9"/>
  <c r="C37" i="6" s="1"/>
  <c r="E27" i="9"/>
  <c r="J27" i="9" s="1"/>
  <c r="C19" i="6" s="1"/>
  <c r="E22" i="9"/>
  <c r="J22" i="9" s="1"/>
  <c r="C35" i="6" s="1"/>
  <c r="E34" i="9"/>
  <c r="J34" i="9" s="1"/>
  <c r="C39" i="6" s="1"/>
  <c r="E25" i="9"/>
  <c r="J25" i="9" s="1"/>
  <c r="C18" i="9"/>
  <c r="K18" i="9"/>
  <c r="E11" i="9"/>
  <c r="J11" i="9" s="1"/>
  <c r="C7" i="6" s="1"/>
  <c r="E20" i="9"/>
  <c r="J20" i="9" s="1"/>
  <c r="E14" i="9"/>
  <c r="J14" i="9" s="1"/>
  <c r="E10" i="9"/>
  <c r="J10" i="9" s="1"/>
  <c r="C8" i="6" s="1"/>
  <c r="E35" i="9"/>
  <c r="J35" i="9" s="1"/>
  <c r="C23" i="6" s="1"/>
  <c r="E33" i="9"/>
  <c r="J33" i="9" s="1"/>
  <c r="L48" i="9"/>
  <c r="E32" i="9"/>
  <c r="J32" i="9" s="1"/>
  <c r="C36" i="6" s="1"/>
  <c r="E13" i="9"/>
  <c r="J13" i="9" s="1"/>
  <c r="C14" i="6" s="1"/>
  <c r="C29" i="6" l="1"/>
  <c r="D6" i="12"/>
  <c r="C18" i="6"/>
  <c r="D5" i="12"/>
  <c r="E5" i="12" s="1"/>
  <c r="C25" i="6"/>
  <c r="D7" i="6"/>
  <c r="C10" i="6"/>
  <c r="D10" i="6" s="1"/>
  <c r="D9" i="12"/>
  <c r="E9" i="12" s="1"/>
  <c r="C34" i="6"/>
  <c r="L33" i="9"/>
  <c r="L32" i="9"/>
  <c r="D10" i="12"/>
  <c r="D7" i="12"/>
  <c r="E6" i="12"/>
  <c r="J19" i="9"/>
  <c r="E18" i="9"/>
  <c r="J18" i="9" s="1"/>
  <c r="E4" i="9"/>
  <c r="J4" i="9" s="1"/>
  <c r="J7" i="9"/>
  <c r="C9" i="6" s="1"/>
  <c r="D45" i="9"/>
  <c r="D50" i="9" s="1"/>
  <c r="L12" i="9"/>
  <c r="K45" i="9"/>
  <c r="K50" i="9" s="1"/>
  <c r="K55" i="9" s="1"/>
  <c r="C16" i="12" s="1"/>
  <c r="G45" i="9"/>
  <c r="I45" i="9" s="1"/>
  <c r="C45" i="9"/>
  <c r="C50" i="9" s="1"/>
  <c r="D11" i="12" l="1"/>
  <c r="C26" i="6"/>
  <c r="E10" i="12"/>
  <c r="E11" i="12"/>
  <c r="D41" i="6"/>
  <c r="B50" i="9"/>
  <c r="D40" i="6"/>
  <c r="D22" i="6"/>
  <c r="K61" i="9"/>
  <c r="D15" i="6"/>
  <c r="D24" i="6"/>
  <c r="D32" i="6"/>
  <c r="D23" i="6"/>
  <c r="D28" i="6"/>
  <c r="D55" i="9"/>
  <c r="H50" i="9"/>
  <c r="D35" i="6"/>
  <c r="D14" i="6"/>
  <c r="D20" i="6"/>
  <c r="D31" i="6"/>
  <c r="D39" i="6"/>
  <c r="D26" i="6"/>
  <c r="D21" i="6"/>
  <c r="D38" i="6"/>
  <c r="D18" i="6"/>
  <c r="D37" i="6"/>
  <c r="D27" i="6"/>
  <c r="D25" i="6"/>
  <c r="D19" i="6"/>
  <c r="D29" i="6"/>
  <c r="C55" i="9"/>
  <c r="D4" i="6"/>
  <c r="L13" i="9"/>
  <c r="L10" i="9"/>
  <c r="D9" i="6"/>
  <c r="L6" i="9"/>
  <c r="D5" i="6"/>
  <c r="L36" i="9"/>
  <c r="D36" i="6"/>
  <c r="L27" i="9"/>
  <c r="L7" i="9"/>
  <c r="D12" i="6"/>
  <c r="L11" i="9"/>
  <c r="D11" i="6"/>
  <c r="L9" i="9"/>
  <c r="D8" i="6"/>
  <c r="L29" i="9"/>
  <c r="L14" i="9"/>
  <c r="D6" i="6"/>
  <c r="L35" i="9"/>
  <c r="L26" i="9"/>
  <c r="L21" i="9"/>
  <c r="L28" i="9"/>
  <c r="L30" i="9"/>
  <c r="L19" i="9"/>
  <c r="L24" i="9"/>
  <c r="L22" i="9"/>
  <c r="E45" i="9"/>
  <c r="J45" i="9" s="1"/>
  <c r="L34" i="9"/>
  <c r="L20" i="9"/>
  <c r="L25" i="9"/>
  <c r="L18" i="9"/>
  <c r="B55" i="9" l="1"/>
  <c r="E7" i="12"/>
  <c r="E12" i="12"/>
  <c r="H55" i="9"/>
  <c r="D34" i="6"/>
  <c r="C45" i="6"/>
  <c r="L4" i="9"/>
  <c r="L45" i="9" l="1"/>
  <c r="D45" i="6" l="1"/>
  <c r="E47" i="9" l="1"/>
  <c r="D3" i="12" s="1"/>
  <c r="E3" i="12" s="1"/>
  <c r="E50" i="9" l="1"/>
  <c r="E55" i="9" l="1"/>
  <c r="F55" i="9" l="1"/>
  <c r="I52" i="9" l="1"/>
  <c r="J52" i="9" s="1"/>
  <c r="L52" i="9" l="1"/>
  <c r="D8" i="12"/>
  <c r="E8" i="12" l="1"/>
  <c r="I47" i="9"/>
  <c r="D4" i="12" s="1"/>
  <c r="G50" i="9"/>
  <c r="J47" i="9" l="1"/>
  <c r="L47" i="9" s="1"/>
  <c r="E4" i="12"/>
  <c r="G55" i="9"/>
  <c r="I55" i="9" s="1"/>
  <c r="I50" i="9"/>
  <c r="J50" i="9" l="1"/>
  <c r="L50" i="9" s="1"/>
  <c r="D14" i="12"/>
  <c r="F12" i="12" s="1"/>
  <c r="J55" i="9" l="1"/>
  <c r="D16" i="12"/>
  <c r="F4" i="12"/>
  <c r="F9" i="12"/>
  <c r="F10" i="12"/>
  <c r="F6" i="12"/>
  <c r="F7" i="12"/>
  <c r="F8" i="12"/>
  <c r="F5" i="12"/>
  <c r="E14" i="12"/>
  <c r="F11" i="12"/>
  <c r="F3" i="12"/>
  <c r="L55" i="9"/>
  <c r="J61" i="9"/>
  <c r="F14" i="12" l="1"/>
  <c r="L61" i="9"/>
</calcChain>
</file>

<file path=xl/sharedStrings.xml><?xml version="1.0" encoding="utf-8"?>
<sst xmlns="http://schemas.openxmlformats.org/spreadsheetml/2006/main" count="173" uniqueCount="126">
  <si>
    <t>SECTEURS</t>
  </si>
  <si>
    <t>Dépenses de personnel</t>
  </si>
  <si>
    <t>Santé</t>
  </si>
  <si>
    <t>Plan et Développement</t>
  </si>
  <si>
    <t>Justice &amp; Législation</t>
  </si>
  <si>
    <t>Affaires étrangères &amp; Coopération</t>
  </si>
  <si>
    <t>Cour Suprême</t>
  </si>
  <si>
    <t>Médiateur de la République</t>
  </si>
  <si>
    <t>Dépenses d'acquisitions de biens et services</t>
  </si>
  <si>
    <t>Dépenses de transfert</t>
  </si>
  <si>
    <t>Ressources Intérieures</t>
  </si>
  <si>
    <t>Ressources extérieures (dons)</t>
  </si>
  <si>
    <t>Ressources extérieures (prêts)</t>
  </si>
  <si>
    <t>Budget annexe du FNRB</t>
  </si>
  <si>
    <t>TOTAL MINISTERES ET INSTITUTIONS</t>
  </si>
  <si>
    <t>Total dépenses en capital (b)</t>
  </si>
  <si>
    <t>Prêts et avances</t>
  </si>
  <si>
    <t>Présidence de la République</t>
  </si>
  <si>
    <t>Assemblée Nationale</t>
  </si>
  <si>
    <t>Cour Constitutionnelle</t>
  </si>
  <si>
    <t>Conseil Economique et Social</t>
  </si>
  <si>
    <t>Haute Autorité de l'Audiovisuel et de la Communication</t>
  </si>
  <si>
    <t>Haute Cour de Justice</t>
  </si>
  <si>
    <t>Commission Electorale Nationale Autonome</t>
  </si>
  <si>
    <t>Prévisions</t>
  </si>
  <si>
    <t>Exécution</t>
  </si>
  <si>
    <t>1. Institutions</t>
  </si>
  <si>
    <t>TOTAL MINISTERES ET INSTITUTIONS (3) = (1)+(2)</t>
  </si>
  <si>
    <t>TOTAL BUDGET DE L'ETAT</t>
  </si>
  <si>
    <t>TOTAL EXECUTION (C)= (a+b)</t>
  </si>
  <si>
    <t>Prévision loi de finances (D)</t>
  </si>
  <si>
    <t>Taux d'exé. ( C)*100/(D)</t>
  </si>
  <si>
    <t>DEPENSES ORDINAIRES</t>
  </si>
  <si>
    <t>DEPENSES EN CAPITAL</t>
  </si>
  <si>
    <t>Amortissement tirages FMI</t>
  </si>
  <si>
    <t>Amortissement Bons du Trésor</t>
  </si>
  <si>
    <t>Indemnités de vacation des enseignants</t>
  </si>
  <si>
    <t>Amortissement dettes banques locales</t>
  </si>
  <si>
    <t>Variation des instances de paiement</t>
  </si>
  <si>
    <t>Total exécution</t>
  </si>
  <si>
    <t>Prévision Loi de Finances</t>
  </si>
  <si>
    <t>Comptes d'affectation spéciale</t>
  </si>
  <si>
    <t>2. Ministères</t>
  </si>
  <si>
    <t>TOTAL LOI DE FINANCES (I)+(II)</t>
  </si>
  <si>
    <t>Enseignement supérieur</t>
  </si>
  <si>
    <t>Taux d'exécution</t>
  </si>
  <si>
    <t>Taux d'exéc.</t>
  </si>
  <si>
    <t>N°</t>
  </si>
  <si>
    <t>FONCTION</t>
  </si>
  <si>
    <t>Observations</t>
  </si>
  <si>
    <t>TOTAL FONCTIONS</t>
  </si>
  <si>
    <t>Taux d'exé</t>
  </si>
  <si>
    <t>Poids d'exec</t>
  </si>
  <si>
    <t>II- OPERATIONS DE TRESORERIE</t>
  </si>
  <si>
    <t>I- OPERATIONS BUDGETAIRES</t>
  </si>
  <si>
    <t>-</t>
  </si>
  <si>
    <t>Defense Nationale</t>
  </si>
  <si>
    <t>Economie &amp; Finances</t>
  </si>
  <si>
    <t>Cadre de vie et Développement Durable</t>
  </si>
  <si>
    <t>Industrie et Commerce</t>
  </si>
  <si>
    <t>Energie</t>
  </si>
  <si>
    <t>Agriculture, Elevage et Pêche</t>
  </si>
  <si>
    <t>Affaires Sociales &amp; Microfinance</t>
  </si>
  <si>
    <t>PME &amp; Prom. Emploi</t>
  </si>
  <si>
    <t>Infrastructures &amp; Transports</t>
  </si>
  <si>
    <t>Fonction Publique</t>
  </si>
  <si>
    <t>Intérieur &amp; Sécurité Publique</t>
  </si>
  <si>
    <t>Décentralisation &amp; Gouv. Locale</t>
  </si>
  <si>
    <t>Enseignement Maternel &amp; Primaire</t>
  </si>
  <si>
    <t>Enseignement Secondaire, Tech &amp; Prof.</t>
  </si>
  <si>
    <t>Eau &amp; Mines</t>
  </si>
  <si>
    <t>Caisse Autonome d'Amortissement</t>
  </si>
  <si>
    <t>PME</t>
  </si>
  <si>
    <t>Total dépenses ordinaires (a)</t>
  </si>
  <si>
    <t>Compte</t>
  </si>
  <si>
    <t>Prévision</t>
  </si>
  <si>
    <t>OME</t>
  </si>
  <si>
    <t>Impôts</t>
  </si>
  <si>
    <t>RAMU</t>
  </si>
  <si>
    <t>Recherche agricole</t>
  </si>
  <si>
    <t>Prévention et gest. Des catastrophes</t>
  </si>
  <si>
    <t>TOTAL</t>
  </si>
  <si>
    <t>Crédits globaux (4)</t>
  </si>
  <si>
    <t>Charges financières de la dette publique (5)</t>
  </si>
  <si>
    <t>TOTAL BUDGET GENERAL (3)+(4)+(5)</t>
  </si>
  <si>
    <t>Autorité de Protection des Données Personnelles (ex CNIL)</t>
  </si>
  <si>
    <t>Numérique et Digitalisation</t>
  </si>
  <si>
    <t>Tourisme, Culture &amp; Art</t>
  </si>
  <si>
    <t>Sports</t>
  </si>
  <si>
    <t>Commission Beninoise des Droits de l'Homme</t>
  </si>
  <si>
    <t>Services généraux des administrations publiques</t>
  </si>
  <si>
    <t>Défense</t>
  </si>
  <si>
    <t>Ordre et sécurité publique</t>
  </si>
  <si>
    <t>Affaires économiques</t>
  </si>
  <si>
    <t>Protection de l’environnement</t>
  </si>
  <si>
    <t>Logement, aménagement et services collectifs</t>
  </si>
  <si>
    <t>Loisirs, culture et culte</t>
  </si>
  <si>
    <t>Enseignement</t>
  </si>
  <si>
    <t>Protection sociale</t>
  </si>
  <si>
    <t>MDN, OME</t>
  </si>
  <si>
    <t>MJL, MISP, Prévention et gestion des castatrophes</t>
  </si>
  <si>
    <t>MCVDD (Pilotage et soutien, environnement et climat, eau et forêt et chasse)</t>
  </si>
  <si>
    <t>MCVDD (Ville et territoire, Habitat), MEM</t>
  </si>
  <si>
    <t>MS</t>
  </si>
  <si>
    <t>MTCA, M SPORT</t>
  </si>
  <si>
    <t>MEMP, MESFTP, MESRS, PME</t>
  </si>
  <si>
    <t>MASFM, Assurance retraite des agents de l'Etat</t>
  </si>
  <si>
    <t>MEF, MAEP, MCP, MIT, MIC, MPMEPE, ME, MND, MEM, CAA, Modernisation des régies, Investissement en portefeuille</t>
  </si>
  <si>
    <t>Communication &amp; Poste</t>
  </si>
  <si>
    <t>Cour des Comptes</t>
  </si>
  <si>
    <t>Amortissement emprunts banques internationales</t>
  </si>
  <si>
    <t>Amortissement emprunts bilatéral+multilatéral</t>
  </si>
  <si>
    <t>MDGL, MPD, MAEC, MTFP, Toutes les institutions, Dépénses fiscales, Dépenses communes, dépenses exercices clos, Etude et faisabilité, Promotion recherche agricole, Charges financières de la dette publique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</si>
  <si>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</si>
  <si>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</si>
  <si>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</si>
  <si>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</si>
  <si>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</si>
  <si>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</si>
  <si>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</si>
  <si>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</si>
  <si>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</si>
  <si>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</si>
  <si>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Amortissement Obligations du Trésor</t>
  </si>
  <si>
    <t>Tableau d'exécution de la loi de Finances 2020 au 31 décembre (en millions de FCFA)</t>
  </si>
  <si>
    <t>Exécution 
31/12/2020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</si>
</sst>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€_-;\-* #,##0.00\ _€_-;_-* &quot;-&quot;??\ _€_-;_-@_-"/>
    <numFmt numFmtId="165" formatCode="_-* #,##0\ _€_-;\-* #,##0\ _€_-;_-* &quot;-&quot;??\ _€_-;_-@_-"/>
    <numFmt numFmtId="166" formatCode="0.0%"/>
    <numFmt numFmtId="167" formatCode="#,##0.0"/>
    <numFmt numFmtId="168" formatCode="_-* #,##0.0\ _€_-;\-* #,##0.0\ _€_-;_-* &quot;-&quot;??\ _€_-;_-@_-"/>
  </numFmts>
  <fonts count="27" x14ac:knownFonts="1">
    <font>
      <sz val="11"/>
      <color theme="1"/>
      <name val="Calibri"/>
      <family val="2"/>
      <scheme val="minor"/>
    </font>
    <font>
      <b/>
      <sz val="12"/>
      <color theme="4" tint="-0.249977111117893"/>
      <name val="Tw Cen MT"/>
      <family val="2"/>
    </font>
    <font>
      <sz val="11"/>
      <color theme="1"/>
      <name val="Calibri"/>
      <family val="2"/>
      <scheme val="minor"/>
    </font>
    <font>
      <b/>
      <sz val="8"/>
      <color theme="1"/>
      <name val="Arial Narrow"/>
      <family val="2"/>
    </font>
    <font>
      <b/>
      <sz val="8"/>
      <color theme="1"/>
      <name val="Calibri"/>
      <family val="2"/>
      <scheme val="minor"/>
    </font>
    <font>
      <b/>
      <sz val="11"/>
      <color theme="4" tint="-0.249977111117893"/>
      <name val="Tw Cen MT"/>
      <family val="2"/>
    </font>
    <font>
      <b/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b/>
      <sz val="12"/>
      <color theme="1"/>
      <name val="Segoe UI"/>
      <family val="2"/>
    </font>
    <font>
      <b/>
      <sz val="9"/>
      <color theme="1"/>
      <name val="Segoe UI"/>
      <family val="2"/>
    </font>
    <font>
      <sz val="10"/>
      <color rgb="FF000000"/>
      <name val="Segoe UI"/>
      <family val="2"/>
    </font>
    <font>
      <sz val="10"/>
      <name val="Segoe UI"/>
      <family val="2"/>
    </font>
    <font>
      <b/>
      <sz val="10"/>
      <name val="Segoe UI"/>
      <family val="2"/>
    </font>
    <font>
      <b/>
      <sz val="10"/>
      <color rgb="FF000000"/>
      <name val="Segoe UI"/>
      <family val="2"/>
    </font>
    <font>
      <b/>
      <sz val="10"/>
      <color theme="1"/>
      <name val="Segoe UI"/>
      <family val="2"/>
    </font>
    <font>
      <sz val="10"/>
      <color theme="1"/>
      <name val="Segoe UI"/>
      <family val="2"/>
    </font>
    <font>
      <b/>
      <sz val="9"/>
      <color theme="1"/>
      <name val="Book Antiqua"/>
      <family val="1"/>
    </font>
    <font>
      <b/>
      <sz val="16"/>
      <color theme="1"/>
      <name val="Segoe UI"/>
      <family val="2"/>
    </font>
    <font>
      <sz val="16"/>
      <color theme="1"/>
      <name val="Segoe UI"/>
      <family val="2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rgb="FF000000"/>
      <name val="Segoe UI"/>
      <family val="2"/>
    </font>
    <font>
      <sz val="10"/>
      <name val="Arial"/>
      <family val="2"/>
    </font>
    <font>
      <b/>
      <sz val="12"/>
      <color rgb="FFFF0000"/>
      <name val="Segoe UI"/>
      <family val="2"/>
    </font>
    <font>
      <b/>
      <sz val="9"/>
      <name val="Book Antiqua"/>
      <family val="1"/>
    </font>
    <font>
      <sz val="8"/>
      <name val="Calibri"/>
      <family val="2"/>
      <scheme val="minor"/>
    </font>
    <font>
      <sz val="10"/>
      <color rgb="FFFF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22" fillId="0" borderId="0"/>
    <xf numFmtId="164" fontId="22" fillId="0" borderId="0" applyFill="0" applyBorder="0" applyAlignment="0" applyProtection="0"/>
  </cellStyleXfs>
  <cellXfs count="132">
    <xf numFmtId="0" fontId="0" fillId="0" borderId="0" xfId="0"/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165" fontId="4" fillId="3" borderId="1" xfId="1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3" fontId="10" fillId="0" borderId="8" xfId="0" applyNumberFormat="1" applyFont="1" applyBorder="1" applyAlignment="1">
      <alignment vertical="center"/>
    </xf>
    <xf numFmtId="0" fontId="11" fillId="0" borderId="8" xfId="0" applyFont="1" applyBorder="1" applyAlignment="1">
      <alignment vertical="center" wrapText="1"/>
    </xf>
    <xf numFmtId="0" fontId="12" fillId="0" borderId="8" xfId="0" applyFont="1" applyBorder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166" fontId="10" fillId="0" borderId="8" xfId="2" applyNumberFormat="1" applyFont="1" applyBorder="1" applyAlignment="1">
      <alignment horizontal="center" vertical="center"/>
    </xf>
    <xf numFmtId="0" fontId="16" fillId="7" borderId="0" xfId="0" applyFont="1" applyFill="1" applyAlignment="1">
      <alignment vertical="center" wrapText="1"/>
    </xf>
    <xf numFmtId="3" fontId="10" fillId="0" borderId="3" xfId="0" applyNumberFormat="1" applyFont="1" applyBorder="1" applyAlignment="1">
      <alignment vertical="center"/>
    </xf>
    <xf numFmtId="166" fontId="10" fillId="0" borderId="3" xfId="2" applyNumberFormat="1" applyFont="1" applyBorder="1" applyAlignment="1">
      <alignment horizontal="center" vertical="center"/>
    </xf>
    <xf numFmtId="0" fontId="12" fillId="4" borderId="1" xfId="0" applyFont="1" applyFill="1" applyBorder="1" applyAlignment="1">
      <alignment vertical="center" wrapText="1"/>
    </xf>
    <xf numFmtId="166" fontId="13" fillId="4" borderId="1" xfId="2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vertical="center" wrapText="1"/>
    </xf>
    <xf numFmtId="166" fontId="13" fillId="6" borderId="1" xfId="2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167" fontId="10" fillId="0" borderId="8" xfId="0" applyNumberFormat="1" applyFont="1" applyBorder="1" applyAlignment="1">
      <alignment horizontal="center" vertical="center"/>
    </xf>
    <xf numFmtId="167" fontId="13" fillId="0" borderId="8" xfId="0" applyNumberFormat="1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vertical="center"/>
    </xf>
    <xf numFmtId="166" fontId="21" fillId="0" borderId="8" xfId="2" applyNumberFormat="1" applyFont="1" applyBorder="1" applyAlignment="1">
      <alignment horizontal="center" vertical="center"/>
    </xf>
    <xf numFmtId="0" fontId="19" fillId="7" borderId="0" xfId="0" applyFont="1" applyFill="1" applyAlignment="1">
      <alignment vertical="center" wrapText="1"/>
    </xf>
    <xf numFmtId="0" fontId="19" fillId="0" borderId="0" xfId="0" applyFont="1" applyAlignment="1">
      <alignment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21" fillId="0" borderId="12" xfId="0" applyFont="1" applyBorder="1" applyAlignment="1">
      <alignment vertical="center" wrapText="1"/>
    </xf>
    <xf numFmtId="0" fontId="20" fillId="0" borderId="8" xfId="0" quotePrefix="1" applyFont="1" applyBorder="1" applyAlignment="1">
      <alignment horizontal="center" vertical="center"/>
    </xf>
    <xf numFmtId="165" fontId="20" fillId="0" borderId="0" xfId="1" applyNumberFormat="1" applyFont="1" applyAlignment="1">
      <alignment vertical="center"/>
    </xf>
    <xf numFmtId="165" fontId="19" fillId="0" borderId="0" xfId="1" applyNumberFormat="1" applyFont="1" applyAlignment="1">
      <alignment horizontal="center" vertical="center" wrapText="1"/>
    </xf>
    <xf numFmtId="165" fontId="19" fillId="0" borderId="0" xfId="1" applyNumberFormat="1" applyFont="1" applyAlignment="1">
      <alignment vertical="center"/>
    </xf>
    <xf numFmtId="165" fontId="19" fillId="0" borderId="0" xfId="1" applyNumberFormat="1" applyFont="1" applyAlignment="1">
      <alignment vertical="center" wrapText="1"/>
    </xf>
    <xf numFmtId="166" fontId="13" fillId="0" borderId="1" xfId="2" applyNumberFormat="1" applyFont="1" applyBorder="1" applyAlignment="1">
      <alignment horizontal="center" vertical="center"/>
    </xf>
    <xf numFmtId="167" fontId="13" fillId="4" borderId="1" xfId="0" applyNumberFormat="1" applyFont="1" applyFill="1" applyBorder="1" applyAlignment="1">
      <alignment vertical="center"/>
    </xf>
    <xf numFmtId="167" fontId="13" fillId="5" borderId="1" xfId="0" applyNumberFormat="1" applyFont="1" applyFill="1" applyBorder="1" applyAlignment="1">
      <alignment vertical="center"/>
    </xf>
    <xf numFmtId="167" fontId="13" fillId="8" borderId="1" xfId="0" applyNumberFormat="1" applyFont="1" applyFill="1" applyBorder="1" applyAlignment="1">
      <alignment vertical="center"/>
    </xf>
    <xf numFmtId="167" fontId="10" fillId="0" borderId="8" xfId="0" applyNumberFormat="1" applyFont="1" applyBorder="1" applyAlignment="1">
      <alignment vertical="center"/>
    </xf>
    <xf numFmtId="167" fontId="10" fillId="5" borderId="8" xfId="0" applyNumberFormat="1" applyFont="1" applyFill="1" applyBorder="1" applyAlignment="1">
      <alignment vertical="center"/>
    </xf>
    <xf numFmtId="167" fontId="16" fillId="7" borderId="0" xfId="0" applyNumberFormat="1" applyFont="1" applyFill="1" applyAlignment="1">
      <alignment vertical="center" wrapText="1"/>
    </xf>
    <xf numFmtId="167" fontId="10" fillId="0" borderId="3" xfId="0" applyNumberFormat="1" applyFont="1" applyBorder="1" applyAlignment="1">
      <alignment vertical="center"/>
    </xf>
    <xf numFmtId="167" fontId="10" fillId="5" borderId="3" xfId="0" applyNumberFormat="1" applyFont="1" applyFill="1" applyBorder="1" applyAlignment="1">
      <alignment vertical="center"/>
    </xf>
    <xf numFmtId="167" fontId="13" fillId="6" borderId="1" xfId="0" applyNumberFormat="1" applyFont="1" applyFill="1" applyBorder="1" applyAlignment="1">
      <alignment vertical="center"/>
    </xf>
    <xf numFmtId="167" fontId="10" fillId="0" borderId="1" xfId="0" applyNumberFormat="1" applyFont="1" applyBorder="1" applyAlignment="1">
      <alignment vertical="center"/>
    </xf>
    <xf numFmtId="167" fontId="13" fillId="0" borderId="1" xfId="0" applyNumberFormat="1" applyFont="1" applyBorder="1" applyAlignment="1">
      <alignment vertical="center"/>
    </xf>
    <xf numFmtId="167" fontId="21" fillId="0" borderId="8" xfId="0" applyNumberFormat="1" applyFont="1" applyBorder="1" applyAlignment="1">
      <alignment vertical="center"/>
    </xf>
    <xf numFmtId="167" fontId="19" fillId="2" borderId="1" xfId="0" applyNumberFormat="1" applyFont="1" applyFill="1" applyBorder="1" applyAlignment="1">
      <alignment vertical="center"/>
    </xf>
    <xf numFmtId="166" fontId="19" fillId="2" borderId="1" xfId="2" applyNumberFormat="1" applyFont="1" applyFill="1" applyBorder="1" applyAlignment="1">
      <alignment horizontal="center" vertical="center"/>
    </xf>
    <xf numFmtId="167" fontId="10" fillId="0" borderId="8" xfId="0" applyNumberFormat="1" applyFont="1" applyBorder="1" applyAlignment="1">
      <alignment vertical="center" wrapText="1"/>
    </xf>
    <xf numFmtId="167" fontId="13" fillId="0" borderId="8" xfId="0" applyNumberFormat="1" applyFont="1" applyBorder="1" applyAlignment="1">
      <alignment vertical="center"/>
    </xf>
    <xf numFmtId="0" fontId="12" fillId="9" borderId="1" xfId="0" applyFont="1" applyFill="1" applyBorder="1" applyAlignment="1">
      <alignment vertical="center" wrapText="1"/>
    </xf>
    <xf numFmtId="167" fontId="13" fillId="9" borderId="1" xfId="0" quotePrefix="1" applyNumberFormat="1" applyFont="1" applyFill="1" applyBorder="1" applyAlignment="1">
      <alignment horizontal="center" vertical="center"/>
    </xf>
    <xf numFmtId="167" fontId="13" fillId="9" borderId="1" xfId="0" applyNumberFormat="1" applyFont="1" applyFill="1" applyBorder="1" applyAlignment="1">
      <alignment vertical="center"/>
    </xf>
    <xf numFmtId="166" fontId="13" fillId="9" borderId="1" xfId="2" applyNumberFormat="1" applyFont="1" applyFill="1" applyBorder="1" applyAlignment="1">
      <alignment horizontal="center" vertical="center"/>
    </xf>
    <xf numFmtId="167" fontId="20" fillId="0" borderId="0" xfId="0" applyNumberFormat="1" applyFont="1" applyAlignment="1">
      <alignment vertical="center"/>
    </xf>
    <xf numFmtId="9" fontId="19" fillId="2" borderId="1" xfId="2" applyFont="1" applyFill="1" applyBorder="1" applyAlignment="1">
      <alignment horizontal="center" vertical="center"/>
    </xf>
    <xf numFmtId="165" fontId="7" fillId="0" borderId="0" xfId="1" applyNumberFormat="1" applyFont="1" applyAlignment="1">
      <alignment horizontal="center" vertical="center" wrapText="1"/>
    </xf>
    <xf numFmtId="164" fontId="20" fillId="0" borderId="0" xfId="1" applyFont="1" applyAlignment="1">
      <alignment vertical="center"/>
    </xf>
    <xf numFmtId="164" fontId="19" fillId="0" borderId="0" xfId="1" applyFont="1" applyAlignment="1">
      <alignment vertical="center"/>
    </xf>
    <xf numFmtId="167" fontId="7" fillId="0" borderId="0" xfId="0" applyNumberFormat="1" applyFont="1" applyAlignment="1">
      <alignment vertical="center"/>
    </xf>
    <xf numFmtId="167" fontId="0" fillId="0" borderId="0" xfId="0" applyNumberFormat="1" applyAlignment="1">
      <alignment vertical="center"/>
    </xf>
    <xf numFmtId="168" fontId="19" fillId="0" borderId="0" xfId="1" applyNumberFormat="1" applyFont="1" applyAlignment="1">
      <alignment vertical="center"/>
    </xf>
    <xf numFmtId="0" fontId="12" fillId="0" borderId="1" xfId="0" applyFont="1" applyBorder="1" applyAlignment="1">
      <alignment vertical="center" wrapText="1"/>
    </xf>
    <xf numFmtId="167" fontId="8" fillId="0" borderId="0" xfId="0" applyNumberFormat="1" applyFont="1" applyAlignment="1">
      <alignment vertical="center"/>
    </xf>
    <xf numFmtId="167" fontId="11" fillId="0" borderId="3" xfId="0" applyNumberFormat="1" applyFont="1" applyBorder="1" applyAlignment="1">
      <alignment vertical="center"/>
    </xf>
    <xf numFmtId="167" fontId="10" fillId="0" borderId="3" xfId="0" applyNumberFormat="1" applyFont="1" applyFill="1" applyBorder="1" applyAlignment="1">
      <alignment vertical="center"/>
    </xf>
    <xf numFmtId="167" fontId="13" fillId="0" borderId="1" xfId="0" applyNumberFormat="1" applyFont="1" applyFill="1" applyBorder="1" applyAlignment="1">
      <alignment vertical="center"/>
    </xf>
    <xf numFmtId="167" fontId="23" fillId="0" borderId="0" xfId="0" applyNumberFormat="1" applyFont="1" applyAlignment="1">
      <alignment horizontal="center" vertical="center"/>
    </xf>
    <xf numFmtId="168" fontId="20" fillId="0" borderId="0" xfId="1" applyNumberFormat="1" applyFont="1" applyAlignment="1">
      <alignment vertical="center"/>
    </xf>
    <xf numFmtId="167" fontId="20" fillId="0" borderId="0" xfId="0" applyNumberFormat="1" applyFont="1" applyAlignment="1">
      <alignment horizontal="center" vertical="center"/>
    </xf>
    <xf numFmtId="0" fontId="11" fillId="0" borderId="8" xfId="0" applyFont="1" applyFill="1" applyBorder="1" applyAlignment="1">
      <alignment vertical="center" wrapText="1"/>
    </xf>
    <xf numFmtId="166" fontId="10" fillId="0" borderId="8" xfId="2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167" fontId="24" fillId="7" borderId="0" xfId="0" applyNumberFormat="1" applyFont="1" applyFill="1" applyAlignment="1">
      <alignment vertical="center" wrapText="1"/>
    </xf>
    <xf numFmtId="167" fontId="11" fillId="0" borderId="1" xfId="0" applyNumberFormat="1" applyFont="1" applyBorder="1" applyAlignment="1">
      <alignment vertical="center"/>
    </xf>
    <xf numFmtId="167" fontId="10" fillId="0" borderId="8" xfId="0" applyNumberFormat="1" applyFont="1" applyFill="1" applyBorder="1" applyAlignment="1">
      <alignment vertical="center"/>
    </xf>
    <xf numFmtId="167" fontId="13" fillId="8" borderId="11" xfId="0" applyNumberFormat="1" applyFont="1" applyFill="1" applyBorder="1" applyAlignment="1">
      <alignment vertical="center"/>
    </xf>
    <xf numFmtId="167" fontId="13" fillId="8" borderId="13" xfId="0" applyNumberFormat="1" applyFont="1" applyFill="1" applyBorder="1" applyAlignment="1">
      <alignment vertical="center"/>
    </xf>
    <xf numFmtId="167" fontId="13" fillId="5" borderId="9" xfId="0" applyNumberFormat="1" applyFont="1" applyFill="1" applyBorder="1" applyAlignment="1">
      <alignment vertical="center"/>
    </xf>
    <xf numFmtId="167" fontId="13" fillId="5" borderId="10" xfId="0" applyNumberFormat="1" applyFont="1" applyFill="1" applyBorder="1" applyAlignment="1">
      <alignment vertical="center"/>
    </xf>
    <xf numFmtId="167" fontId="13" fillId="8" borderId="12" xfId="0" applyNumberFormat="1" applyFont="1" applyFill="1" applyBorder="1" applyAlignment="1">
      <alignment vertical="center"/>
    </xf>
    <xf numFmtId="167" fontId="13" fillId="5" borderId="8" xfId="0" applyNumberFormat="1" applyFont="1" applyFill="1" applyBorder="1" applyAlignment="1">
      <alignment vertical="center"/>
    </xf>
    <xf numFmtId="167" fontId="13" fillId="5" borderId="7" xfId="0" applyNumberFormat="1" applyFont="1" applyFill="1" applyBorder="1" applyAlignment="1">
      <alignment vertical="center"/>
    </xf>
    <xf numFmtId="167" fontId="13" fillId="8" borderId="7" xfId="0" applyNumberFormat="1" applyFont="1" applyFill="1" applyBorder="1" applyAlignment="1">
      <alignment vertical="center"/>
    </xf>
    <xf numFmtId="167" fontId="10" fillId="0" borderId="10" xfId="0" applyNumberFormat="1" applyFont="1" applyBorder="1" applyAlignment="1">
      <alignment vertical="center"/>
    </xf>
    <xf numFmtId="167" fontId="10" fillId="0" borderId="10" xfId="0" applyNumberFormat="1" applyFont="1" applyFill="1" applyBorder="1" applyAlignment="1">
      <alignment vertical="center"/>
    </xf>
    <xf numFmtId="167" fontId="7" fillId="0" borderId="8" xfId="0" applyNumberFormat="1" applyFont="1" applyBorder="1" applyAlignment="1">
      <alignment vertical="center"/>
    </xf>
    <xf numFmtId="167" fontId="21" fillId="0" borderId="0" xfId="0" applyNumberFormat="1" applyFont="1" applyBorder="1" applyAlignment="1">
      <alignment vertical="center"/>
    </xf>
    <xf numFmtId="3" fontId="10" fillId="0" borderId="8" xfId="0" applyNumberFormat="1" applyFont="1" applyFill="1" applyBorder="1" applyAlignment="1">
      <alignment vertical="center"/>
    </xf>
    <xf numFmtId="167" fontId="21" fillId="0" borderId="12" xfId="0" applyNumberFormat="1" applyFont="1" applyBorder="1" applyAlignment="1">
      <alignment vertical="center"/>
    </xf>
    <xf numFmtId="167" fontId="21" fillId="0" borderId="14" xfId="0" applyNumberFormat="1" applyFont="1" applyBorder="1" applyAlignment="1">
      <alignment vertical="center"/>
    </xf>
    <xf numFmtId="0" fontId="11" fillId="0" borderId="10" xfId="0" applyFont="1" applyFill="1" applyBorder="1" applyAlignment="1">
      <alignment vertical="center" wrapText="1"/>
    </xf>
    <xf numFmtId="3" fontId="10" fillId="0" borderId="10" xfId="0" applyNumberFormat="1" applyFont="1" applyFill="1" applyBorder="1" applyAlignment="1">
      <alignment vertical="center"/>
    </xf>
    <xf numFmtId="166" fontId="10" fillId="0" borderId="10" xfId="2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vertical="center" wrapText="1"/>
    </xf>
    <xf numFmtId="166" fontId="13" fillId="0" borderId="1" xfId="2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167" fontId="26" fillId="0" borderId="8" xfId="0" applyNumberFormat="1" applyFont="1" applyFill="1" applyBorder="1" applyAlignment="1">
      <alignment vertical="center"/>
    </xf>
    <xf numFmtId="167" fontId="12" fillId="8" borderId="1" xfId="0" applyNumberFormat="1" applyFont="1" applyFill="1" applyBorder="1" applyAlignment="1">
      <alignment vertical="center"/>
    </xf>
    <xf numFmtId="167" fontId="11" fillId="0" borderId="8" xfId="0" applyNumberFormat="1" applyFont="1" applyFill="1" applyBorder="1" applyAlignment="1">
      <alignment vertical="center"/>
    </xf>
    <xf numFmtId="167" fontId="9" fillId="0" borderId="0" xfId="0" applyNumberFormat="1" applyFont="1" applyAlignment="1">
      <alignment vertical="center"/>
    </xf>
    <xf numFmtId="167" fontId="26" fillId="0" borderId="3" xfId="0" applyNumberFormat="1" applyFont="1" applyBorder="1" applyAlignment="1">
      <alignment vertical="center"/>
    </xf>
    <xf numFmtId="167" fontId="13" fillId="0" borderId="8" xfId="0" applyNumberFormat="1" applyFont="1" applyFill="1" applyBorder="1" applyAlignment="1">
      <alignment vertical="center"/>
    </xf>
    <xf numFmtId="167" fontId="13" fillId="8" borderId="10" xfId="0" applyNumberFormat="1" applyFont="1" applyFill="1" applyBorder="1" applyAlignment="1">
      <alignment vertical="center"/>
    </xf>
    <xf numFmtId="167" fontId="12" fillId="8" borderId="8" xfId="0" applyNumberFormat="1" applyFont="1" applyFill="1" applyBorder="1" applyAlignment="1">
      <alignment vertical="center"/>
    </xf>
    <xf numFmtId="167" fontId="13" fillId="8" borderId="8" xfId="0" applyNumberFormat="1" applyFont="1" applyFill="1" applyBorder="1" applyAlignment="1">
      <alignment vertical="center"/>
    </xf>
    <xf numFmtId="167" fontId="12" fillId="5" borderId="8" xfId="0" applyNumberFormat="1" applyFont="1" applyFill="1" applyBorder="1" applyAlignment="1">
      <alignment vertical="center"/>
    </xf>
    <xf numFmtId="0" fontId="17" fillId="0" borderId="2" xfId="0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4" fillId="8" borderId="6" xfId="0" applyFont="1" applyFill="1" applyBorder="1" applyAlignment="1">
      <alignment horizontal="center" vertical="center" wrapText="1"/>
    </xf>
    <xf numFmtId="0" fontId="14" fillId="8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6">
    <cellStyle name="Comma 2" xfId="5" xr:uid="{6E75A21F-C2A0-4CF2-918E-A9DCF35BA7AF}"/>
    <cellStyle name="Milliers" xfId="1" builtinId="3"/>
    <cellStyle name="Normal" xfId="0" builtinId="0"/>
    <cellStyle name="Normal 2" xfId="4" xr:uid="{00000000-0005-0000-0000-000002000000}"/>
    <cellStyle name="Pourcentage" xfId="2" builtinId="5"/>
    <cellStyle name="Pourcentage 2" xfId="3" xr:uid="{00000000-0005-0000-0000-000004000000}"/>
  </cellStyles>
  <dxfs count="0"/>
  <tableStyles count="0" defaultTableStyle="TableStyleMedium2" defaultPivotStyle="PivotStyleMedium9"/>
  <colors>
    <mruColors>
      <color rgb="FFE1EBCD"/>
      <color rgb="FFFFD5D5"/>
      <color rgb="FFFFA3A3"/>
      <color rgb="FFFF6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fr-FR" sz="1200" b="1" i="0" baseline="0"/>
              <a:t>Exécution des dépenses </a:t>
            </a:r>
            <a:r>
              <a:rPr lang="fr-FR" sz="1200" b="1" i="0" u="none" strike="noStrike" baseline="0"/>
              <a:t>budgétaires </a:t>
            </a:r>
            <a:r>
              <a:rPr lang="fr-FR" sz="1200" b="1" i="0" baseline="0"/>
              <a:t>de la loi de Finances </a:t>
            </a:r>
            <a:r>
              <a:rPr lang="fr-FR" sz="1200" b="1" i="0" u="none" strike="noStrike" baseline="0"/>
              <a:t>2020 au 31 décembre </a:t>
            </a:r>
            <a:r>
              <a:rPr lang="fr-FR" sz="1200" b="1" i="0" baseline="0"/>
              <a:t>par fonction budgétaire (en millions de FCFA)</a:t>
            </a:r>
            <a:endParaRPr lang="fr-FR" sz="1200"/>
          </a:p>
        </c:rich>
      </c:tx>
      <c:layout>
        <c:manualLayout>
          <c:xMode val="edge"/>
          <c:yMode val="edge"/>
          <c:x val="0.11144026519594744"/>
          <c:y val="0.84537324127521951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901634109178038"/>
          <c:y val="0.22120086840996728"/>
          <c:w val="0.65959775306186375"/>
          <c:h val="0.4619267036064970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'Regroupement par fonction'!$D$2</c:f>
              <c:strCache>
                <c:ptCount val="1"/>
                <c:pt idx="0">
                  <c:v>Exécution</c:v>
                </c:pt>
              </c:strCache>
            </c:strRef>
          </c:tx>
          <c:invertIfNegative val="0"/>
          <c:dLbls>
            <c:dLbl>
              <c:idx val="2"/>
              <c:layout>
                <c:manualLayout>
                  <c:x val="-2.2315200271015817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D94-45CE-A3A3-BCCF6F7CDB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600" b="1"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'Regroupement par fonction'!$B$3:$B$12</c:f>
              <c:strCache>
                <c:ptCount val="10"/>
                <c:pt idx="0">
                  <c:v>Services généraux des administrations publiques</c:v>
                </c:pt>
                <c:pt idx="1">
                  <c:v>Affaires économiques</c:v>
                </c:pt>
                <c:pt idx="2">
                  <c:v>Enseignement</c:v>
                </c:pt>
                <c:pt idx="3">
                  <c:v>Protection de l’environnement</c:v>
                </c:pt>
                <c:pt idx="4">
                  <c:v>Santé</c:v>
                </c:pt>
                <c:pt idx="5">
                  <c:v>Protection sociale</c:v>
                </c:pt>
                <c:pt idx="6">
                  <c:v>Ordre et sécurité publique</c:v>
                </c:pt>
                <c:pt idx="7">
                  <c:v>Loisirs, culture et culte</c:v>
                </c:pt>
                <c:pt idx="8">
                  <c:v>Défense</c:v>
                </c:pt>
                <c:pt idx="9">
                  <c:v>Logement, aménagement et services collectifs</c:v>
                </c:pt>
              </c:strCache>
            </c:strRef>
          </c:cat>
          <c:val>
            <c:numRef>
              <c:f>'Regroupement par fonction'!$D$3:$D$12</c:f>
              <c:numCache>
                <c:formatCode>#\ ##0.0</c:formatCode>
                <c:ptCount val="10"/>
                <c:pt idx="0">
                  <c:v>488579.94956800004</c:v>
                </c:pt>
                <c:pt idx="1">
                  <c:v>282246.353619</c:v>
                </c:pt>
                <c:pt idx="2">
                  <c:v>261164.72130099998</c:v>
                </c:pt>
                <c:pt idx="3">
                  <c:v>200541.75061400002</c:v>
                </c:pt>
                <c:pt idx="4">
                  <c:v>142585.78385099999</c:v>
                </c:pt>
                <c:pt idx="5">
                  <c:v>101120.51504499999</c:v>
                </c:pt>
                <c:pt idx="6">
                  <c:v>59133.328582000009</c:v>
                </c:pt>
                <c:pt idx="7">
                  <c:v>47770.483892999997</c:v>
                </c:pt>
                <c:pt idx="8">
                  <c:v>45157.933508999995</c:v>
                </c:pt>
                <c:pt idx="9">
                  <c:v>33010.368114999997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94-45CE-A3A3-BCCF6F7CD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626624"/>
        <c:axId val="81628160"/>
      </c:barChart>
      <c:catAx>
        <c:axId val="8162662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 rot="-1800000"/>
          <a:lstStyle/>
          <a:p>
            <a:pPr>
              <a:defRPr sz="500"/>
            </a:pPr>
            <a:endParaRPr lang="fr-FR"/>
          </a:p>
        </c:txPr>
        <c:crossAx val="81628160"/>
        <c:crosses val="autoZero"/>
        <c:auto val="1"/>
        <c:lblAlgn val="ctr"/>
        <c:lblOffset val="100"/>
        <c:noMultiLvlLbl val="0"/>
      </c:catAx>
      <c:valAx>
        <c:axId val="81628160"/>
        <c:scaling>
          <c:orientation val="minMax"/>
        </c:scaling>
        <c:delete val="0"/>
        <c:axPos val="b"/>
        <c:numFmt formatCode="#\ ##0.0" sourceLinked="1"/>
        <c:majorTickMark val="none"/>
        <c:minorTickMark val="none"/>
        <c:tickLblPos val="nextTo"/>
        <c:spPr>
          <a:noFill/>
        </c:spPr>
        <c:txPr>
          <a:bodyPr/>
          <a:lstStyle/>
          <a:p>
            <a:pPr>
              <a:defRPr sz="800"/>
            </a:pPr>
            <a:endParaRPr lang="fr-FR"/>
          </a:p>
        </c:txPr>
        <c:crossAx val="816266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6955087408815401"/>
          <c:y val="0.33321818226381683"/>
          <c:w val="6.9082325166555783E-2"/>
          <c:h val="9.3955553102430991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>
          <a:latin typeface="Segoe UI" pitchFamily="34" charset="0"/>
          <a:cs typeface="Segoe UI" pitchFamily="34" charset="0"/>
        </a:defRPr>
      </a:pPr>
      <a:endParaRPr lang="fr-FR"/>
    </a:p>
  </c:txPr>
  <c:printSettings>
    <c:headerFooter/>
    <c:pageMargins b="0.74803149606299291" l="0.70866141732283561" r="0.70866141732283561" t="0.74803149606299291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u="sng"/>
            </a:pPr>
            <a:r>
              <a:rPr lang="fr-FR" sz="1400" u="sng"/>
              <a:t>Exécution des dépenses </a:t>
            </a:r>
            <a:r>
              <a:rPr lang="fr-FR" sz="1400" b="1" i="0" u="sng" strike="noStrike" baseline="0"/>
              <a:t>budgétaires </a:t>
            </a:r>
            <a:r>
              <a:rPr lang="fr-FR" sz="1400" u="sng"/>
              <a:t>de la loi de Finances</a:t>
            </a:r>
            <a:r>
              <a:rPr lang="fr-FR" sz="1400" u="sng" baseline="0"/>
              <a:t> </a:t>
            </a:r>
            <a:r>
              <a:rPr lang="fr-FR" sz="1400" b="1" i="0" u="sng" strike="noStrike" baseline="0"/>
              <a:t>2020 au 31 déc</a:t>
            </a:r>
            <a:r>
              <a:rPr lang="fr-FR" sz="1400" b="1" i="0" u="sng" strike="noStrike" baseline="0">
                <a:effectLst/>
              </a:rPr>
              <a:t>embre</a:t>
            </a:r>
            <a:r>
              <a:rPr lang="fr-FR" sz="1400" b="1" i="0" u="sng" strike="noStrike" baseline="0"/>
              <a:t> </a:t>
            </a:r>
            <a:r>
              <a:rPr lang="fr-FR" sz="1400" u="sng"/>
              <a:t>par ministère (en millions de FCFA)</a:t>
            </a:r>
          </a:p>
        </c:rich>
      </c:tx>
      <c:layout>
        <c:manualLayout>
          <c:xMode val="edge"/>
          <c:yMode val="edge"/>
          <c:x val="0.15109585724343624"/>
          <c:y val="0.86494981233708801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5305565950711898E-2"/>
          <c:y val="9.4309388612209027E-2"/>
          <c:w val="0.76893658598315906"/>
          <c:h val="0.6909893230452026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'Récap par administration'!$C$3</c:f>
              <c:strCache>
                <c:ptCount val="1"/>
                <c:pt idx="0">
                  <c:v> Exécution 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8.6496188713330505E-5"/>
                  <c:y val="2.1504667229611205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020-491B-B11F-AF6D27ED91DB}"/>
                </c:ext>
              </c:extLst>
            </c:dLbl>
            <c:dLbl>
              <c:idx val="12"/>
              <c:layout>
                <c:manualLayout>
                  <c:x val="-1.7921148217844294E-3"/>
                  <c:y val="4.04040404040399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020-491B-B11F-AF6D27ED91DB}"/>
                </c:ext>
              </c:extLst>
            </c:dLbl>
            <c:dLbl>
              <c:idx val="15"/>
              <c:layout>
                <c:manualLayout>
                  <c:x val="-2.6881722326766626E-3"/>
                  <c:y val="-4.040404040404040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020-491B-B11F-AF6D27ED91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600" b="1"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'Récap par administration'!$A$18:$A$41</c:f>
              <c:strCache>
                <c:ptCount val="24"/>
                <c:pt idx="0">
                  <c:v>Cadre de vie et Développement Durable</c:v>
                </c:pt>
                <c:pt idx="1">
                  <c:v>Santé</c:v>
                </c:pt>
                <c:pt idx="2">
                  <c:v>Enseignement Maternel &amp; Primaire</c:v>
                </c:pt>
                <c:pt idx="3">
                  <c:v>Agriculture, Elevage et Pêche</c:v>
                </c:pt>
                <c:pt idx="4">
                  <c:v>Enseignement Secondaire, Tech &amp; Prof.</c:v>
                </c:pt>
                <c:pt idx="5">
                  <c:v>Infrastructures &amp; Transports</c:v>
                </c:pt>
                <c:pt idx="6">
                  <c:v>Energie</c:v>
                </c:pt>
                <c:pt idx="7">
                  <c:v>Enseignement supérieur</c:v>
                </c:pt>
                <c:pt idx="8">
                  <c:v>Defense Nationale</c:v>
                </c:pt>
                <c:pt idx="9">
                  <c:v>Intérieur &amp; Sécurité Publique</c:v>
                </c:pt>
                <c:pt idx="10">
                  <c:v>Eau &amp; Mines</c:v>
                </c:pt>
                <c:pt idx="11">
                  <c:v>Economie &amp; Finances</c:v>
                </c:pt>
                <c:pt idx="12">
                  <c:v>Tourisme, Culture &amp; Art</c:v>
                </c:pt>
                <c:pt idx="13">
                  <c:v>Décentralisation &amp; Gouv. Locale</c:v>
                </c:pt>
                <c:pt idx="14">
                  <c:v>Affaires étrangères &amp; Coopération</c:v>
                </c:pt>
                <c:pt idx="15">
                  <c:v>Sports</c:v>
                </c:pt>
                <c:pt idx="16">
                  <c:v>Justice &amp; Législation</c:v>
                </c:pt>
                <c:pt idx="17">
                  <c:v>Plan et Développement</c:v>
                </c:pt>
                <c:pt idx="18">
                  <c:v>Affaires Sociales &amp; Microfinance</c:v>
                </c:pt>
                <c:pt idx="19">
                  <c:v>Fonction Publique</c:v>
                </c:pt>
                <c:pt idx="20">
                  <c:v>Communication &amp; Poste</c:v>
                </c:pt>
                <c:pt idx="21">
                  <c:v>PME &amp; Prom. Emploi</c:v>
                </c:pt>
                <c:pt idx="22">
                  <c:v>Numérique et Digitalisation</c:v>
                </c:pt>
                <c:pt idx="23">
                  <c:v>Industrie et Commerce</c:v>
                </c:pt>
              </c:strCache>
            </c:strRef>
          </c:cat>
          <c:val>
            <c:numRef>
              <c:f>'Récap par administration'!$C$18:$C$41</c:f>
              <c:numCache>
                <c:formatCode>#\ ##0.0</c:formatCode>
                <c:ptCount val="24"/>
                <c:pt idx="0">
                  <c:v>200541.75061400002</c:v>
                </c:pt>
                <c:pt idx="1">
                  <c:v>142585.78385099999</c:v>
                </c:pt>
                <c:pt idx="2">
                  <c:v>119755.18031599998</c:v>
                </c:pt>
                <c:pt idx="3">
                  <c:v>83485.090515999997</c:v>
                </c:pt>
                <c:pt idx="4">
                  <c:v>82071.96835499999</c:v>
                </c:pt>
                <c:pt idx="5">
                  <c:v>76546.608603000001</c:v>
                </c:pt>
                <c:pt idx="6">
                  <c:v>63788.234948999998</c:v>
                </c:pt>
                <c:pt idx="7">
                  <c:v>58375.56263</c:v>
                </c:pt>
                <c:pt idx="8">
                  <c:v>41846.733508999998</c:v>
                </c:pt>
                <c:pt idx="9">
                  <c:v>41724.847987000008</c:v>
                </c:pt>
                <c:pt idx="10">
                  <c:v>33010.368114999997</c:v>
                </c:pt>
                <c:pt idx="11">
                  <c:v>28369.437921000001</c:v>
                </c:pt>
                <c:pt idx="12">
                  <c:v>26482.197833000002</c:v>
                </c:pt>
                <c:pt idx="13">
                  <c:v>23935.979848000003</c:v>
                </c:pt>
                <c:pt idx="14">
                  <c:v>22792.550117999999</c:v>
                </c:pt>
                <c:pt idx="15">
                  <c:v>21288.286059999999</c:v>
                </c:pt>
                <c:pt idx="16">
                  <c:v>16873.160594999998</c:v>
                </c:pt>
                <c:pt idx="17">
                  <c:v>12307.358253</c:v>
                </c:pt>
                <c:pt idx="18">
                  <c:v>11292.244536000002</c:v>
                </c:pt>
                <c:pt idx="19">
                  <c:v>7263.6212049999995</c:v>
                </c:pt>
                <c:pt idx="20">
                  <c:v>5264.375454</c:v>
                </c:pt>
                <c:pt idx="21">
                  <c:v>5145.9409999999998</c:v>
                </c:pt>
                <c:pt idx="22">
                  <c:v>5068.703657</c:v>
                </c:pt>
                <c:pt idx="23">
                  <c:v>3313.0463750000004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20-491B-B11F-AF6D27ED9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81815424"/>
        <c:axId val="81816960"/>
      </c:barChart>
      <c:catAx>
        <c:axId val="818154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-1800000" vert="horz"/>
          <a:lstStyle/>
          <a:p>
            <a:pPr>
              <a:defRPr sz="700"/>
            </a:pPr>
            <a:endParaRPr lang="fr-FR"/>
          </a:p>
        </c:txPr>
        <c:crossAx val="81816960"/>
        <c:crosses val="autoZero"/>
        <c:auto val="1"/>
        <c:lblAlgn val="ctr"/>
        <c:lblOffset val="100"/>
        <c:noMultiLvlLbl val="0"/>
      </c:catAx>
      <c:valAx>
        <c:axId val="81816960"/>
        <c:scaling>
          <c:orientation val="minMax"/>
        </c:scaling>
        <c:delete val="0"/>
        <c:axPos val="b"/>
        <c:numFmt formatCode="#\ ##0.0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fr-FR"/>
          </a:p>
        </c:txPr>
        <c:crossAx val="81815424"/>
        <c:crosses val="autoZero"/>
        <c:crossBetween val="between"/>
      </c:valAx>
      <c:spPr>
        <a:noFill/>
        <a:ln w="6350">
          <a:noFill/>
        </a:ln>
      </c:spPr>
    </c:plotArea>
    <c:plotVisOnly val="1"/>
    <c:dispBlanksAs val="gap"/>
    <c:showDLblsOverMax val="0"/>
  </c:chart>
  <c:txPr>
    <a:bodyPr/>
    <a:lstStyle/>
    <a:p>
      <a:pPr>
        <a:defRPr>
          <a:latin typeface="Segoe UI" pitchFamily="34" charset="0"/>
          <a:cs typeface="Segoe UI" pitchFamily="34" charset="0"/>
        </a:defRPr>
      </a:pPr>
      <a:endParaRPr lang="fr-FR"/>
    </a:p>
  </c:txPr>
  <c:printSettings>
    <c:headerFooter/>
    <c:pageMargins b="0.74803149606299291" l="0.70866141732283561" r="0.70866141732283561" t="0.74803149606299291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u="sng"/>
            </a:pPr>
            <a:r>
              <a:rPr lang="fr-FR" sz="1200" b="1" i="0" u="sng" baseline="0"/>
              <a:t>Exécution des dépenses </a:t>
            </a:r>
            <a:r>
              <a:rPr lang="fr-FR" sz="1200" b="1" i="0" u="sng" strike="noStrike" baseline="0"/>
              <a:t>budgétaires </a:t>
            </a:r>
            <a:r>
              <a:rPr lang="fr-FR" sz="1200" b="1" i="0" u="sng" baseline="0"/>
              <a:t>de la loi de Finances </a:t>
            </a:r>
            <a:r>
              <a:rPr lang="fr-FR" sz="1200" b="1" i="0" u="sng" strike="noStrike" baseline="0"/>
              <a:t>2020 au 31 déc</a:t>
            </a:r>
            <a:r>
              <a:rPr lang="fr-FR" sz="1200" b="1" i="0" u="sng" strike="noStrike" baseline="0">
                <a:effectLst/>
              </a:rPr>
              <a:t>embre</a:t>
            </a:r>
            <a:r>
              <a:rPr lang="fr-FR" sz="1200" b="1" i="0" u="sng" strike="noStrike" baseline="0"/>
              <a:t> </a:t>
            </a:r>
            <a:r>
              <a:rPr lang="fr-FR" sz="1200" b="1" i="0" u="sng" baseline="0"/>
              <a:t>par Institution de l'Etat (en millions de FCFA)</a:t>
            </a:r>
            <a:endParaRPr lang="fr-FR" sz="1200" u="sng"/>
          </a:p>
        </c:rich>
      </c:tx>
      <c:layout>
        <c:manualLayout>
          <c:xMode val="edge"/>
          <c:yMode val="edge"/>
          <c:x val="0.11144026519594744"/>
          <c:y val="0.84537324127521951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901634109178038"/>
          <c:y val="0.22120086840996728"/>
          <c:w val="0.65959775306186375"/>
          <c:h val="0.4619267036064970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'Récap par administration'!$C$3</c:f>
              <c:strCache>
                <c:ptCount val="1"/>
                <c:pt idx="0">
                  <c:v> Exécution </c:v>
                </c:pt>
              </c:strCache>
            </c:strRef>
          </c:tx>
          <c:invertIfNegative val="0"/>
          <c:dLbls>
            <c:dLbl>
              <c:idx val="2"/>
              <c:layout>
                <c:manualLayout>
                  <c:x val="-2.2315200271015817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26A-4E0B-B69F-104ADCD2B9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600" b="1"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'Récap par administration'!$A$4:$A$15</c:f>
              <c:strCache>
                <c:ptCount val="12"/>
                <c:pt idx="0">
                  <c:v>Présidence de la République</c:v>
                </c:pt>
                <c:pt idx="1">
                  <c:v>Assemblée Nationale</c:v>
                </c:pt>
                <c:pt idx="2">
                  <c:v>Cour Suprême</c:v>
                </c:pt>
                <c:pt idx="3">
                  <c:v>Haute Autorité de l'Audiovisuel et de la Communication</c:v>
                </c:pt>
                <c:pt idx="4">
                  <c:v>Conseil Economique et Social</c:v>
                </c:pt>
                <c:pt idx="5">
                  <c:v>Cour Constitutionnelle</c:v>
                </c:pt>
                <c:pt idx="6">
                  <c:v>Commission Electorale Nationale Autonome</c:v>
                </c:pt>
                <c:pt idx="7">
                  <c:v>Commission Beninoise des Droits de l'Homme</c:v>
                </c:pt>
                <c:pt idx="8">
                  <c:v>Haute Cour de Justice</c:v>
                </c:pt>
                <c:pt idx="9">
                  <c:v>Autorité de Protection des Données Personnelles (ex CNIL)</c:v>
                </c:pt>
                <c:pt idx="10">
                  <c:v>Médiateur de la République</c:v>
                </c:pt>
                <c:pt idx="11">
                  <c:v>Cour des Comptes</c:v>
                </c:pt>
              </c:strCache>
            </c:strRef>
          </c:cat>
          <c:val>
            <c:numRef>
              <c:f>'Récap par administration'!$C$4:$C$15</c:f>
              <c:numCache>
                <c:formatCode>#\ ##0.0</c:formatCode>
                <c:ptCount val="12"/>
                <c:pt idx="0">
                  <c:v>24337.132396000001</c:v>
                </c:pt>
                <c:pt idx="1">
                  <c:v>13957.379057999999</c:v>
                </c:pt>
                <c:pt idx="2">
                  <c:v>3166.6953729999996</c:v>
                </c:pt>
                <c:pt idx="3">
                  <c:v>1938.9366879999998</c:v>
                </c:pt>
                <c:pt idx="4">
                  <c:v>1702.126964</c:v>
                </c:pt>
                <c:pt idx="5">
                  <c:v>1512.7687370000001</c:v>
                </c:pt>
                <c:pt idx="6">
                  <c:v>890</c:v>
                </c:pt>
                <c:pt idx="7">
                  <c:v>524.96317199999999</c:v>
                </c:pt>
                <c:pt idx="8">
                  <c:v>501.97887700000001</c:v>
                </c:pt>
                <c:pt idx="9">
                  <c:v>354.35199999999998</c:v>
                </c:pt>
                <c:pt idx="10">
                  <c:v>276.59887700000002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A-4E0B-B69F-104ADCD2B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626624"/>
        <c:axId val="81628160"/>
      </c:barChart>
      <c:catAx>
        <c:axId val="8162662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 rot="-1800000"/>
          <a:lstStyle/>
          <a:p>
            <a:pPr>
              <a:defRPr sz="500"/>
            </a:pPr>
            <a:endParaRPr lang="fr-FR"/>
          </a:p>
        </c:txPr>
        <c:crossAx val="81628160"/>
        <c:crosses val="autoZero"/>
        <c:auto val="1"/>
        <c:lblAlgn val="ctr"/>
        <c:lblOffset val="100"/>
        <c:noMultiLvlLbl val="0"/>
      </c:catAx>
      <c:valAx>
        <c:axId val="81628160"/>
        <c:scaling>
          <c:orientation val="minMax"/>
        </c:scaling>
        <c:delete val="0"/>
        <c:axPos val="b"/>
        <c:numFmt formatCode="#\ ##0.0" sourceLinked="1"/>
        <c:majorTickMark val="none"/>
        <c:minorTickMark val="none"/>
        <c:tickLblPos val="nextTo"/>
        <c:spPr>
          <a:noFill/>
        </c:spPr>
        <c:txPr>
          <a:bodyPr/>
          <a:lstStyle/>
          <a:p>
            <a:pPr>
              <a:defRPr sz="800"/>
            </a:pPr>
            <a:endParaRPr lang="fr-FR"/>
          </a:p>
        </c:txPr>
        <c:crossAx val="816266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>
          <a:latin typeface="Segoe UI" pitchFamily="34" charset="0"/>
          <a:cs typeface="Segoe UI" pitchFamily="34" charset="0"/>
        </a:defRPr>
      </a:pPr>
      <a:endParaRPr lang="fr-FR"/>
    </a:p>
  </c:txPr>
  <c:printSettings>
    <c:headerFooter/>
    <c:pageMargins b="0.74803149606299291" l="0.70866141732283561" r="0.70866141732283561" t="0.74803149606299291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0</xdr:rowOff>
    </xdr:from>
    <xdr:to>
      <xdr:col>8</xdr:col>
      <xdr:colOff>561976</xdr:colOff>
      <xdr:row>46</xdr:row>
      <xdr:rowOff>114299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FC21C37-7FF7-4E41-839C-78D89FD4A4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85726</xdr:rowOff>
    </xdr:from>
    <xdr:to>
      <xdr:col>17</xdr:col>
      <xdr:colOff>161925</xdr:colOff>
      <xdr:row>48</xdr:row>
      <xdr:rowOff>9525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76198</xdr:colOff>
      <xdr:row>50</xdr:row>
      <xdr:rowOff>19051</xdr:rowOff>
    </xdr:from>
    <xdr:to>
      <xdr:col>16</xdr:col>
      <xdr:colOff>28574</xdr:colOff>
      <xdr:row>77</xdr:row>
      <xdr:rowOff>57150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8"/>
  <sheetViews>
    <sheetView zoomScaleNormal="100" workbookViewId="0">
      <pane xSplit="1" ySplit="3" topLeftCell="B43" activePane="bottomRight" state="frozen"/>
      <selection pane="topRight" activeCell="B1" sqref="B1"/>
      <selection pane="bottomLeft" activeCell="A4" sqref="A4"/>
      <selection pane="bottomRight" activeCell="O28" sqref="O28"/>
    </sheetView>
  </sheetViews>
  <sheetFormatPr baseColWidth="10" defaultColWidth="11.42578125" defaultRowHeight="17.25" x14ac:dyDescent="0.25"/>
  <cols>
    <col min="1" max="1" width="30" style="7" customWidth="1"/>
    <col min="2" max="2" width="13.140625" style="6" customWidth="1"/>
    <col min="3" max="3" width="15.140625" style="6" customWidth="1"/>
    <col min="4" max="4" width="14" style="6" customWidth="1"/>
    <col min="5" max="5" width="14.140625" style="8" customWidth="1"/>
    <col min="6" max="6" width="13.28515625" style="8" customWidth="1"/>
    <col min="7" max="7" width="14" style="8" customWidth="1"/>
    <col min="8" max="8" width="12.7109375" style="8" customWidth="1"/>
    <col min="9" max="9" width="14.140625" style="8" customWidth="1"/>
    <col min="10" max="10" width="13.85546875" style="9" customWidth="1"/>
    <col min="11" max="11" width="14" style="6" customWidth="1"/>
    <col min="12" max="12" width="10.28515625" style="10" customWidth="1"/>
    <col min="13" max="15" width="11.42578125" style="6" customWidth="1"/>
    <col min="16" max="16384" width="11.42578125" style="6"/>
  </cols>
  <sheetData>
    <row r="1" spans="1:12" s="27" customFormat="1" ht="23.25" customHeight="1" x14ac:dyDescent="0.25">
      <c r="A1" s="122" t="s">
        <v>54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</row>
    <row r="2" spans="1:12" s="14" customFormat="1" ht="22.5" customHeight="1" x14ac:dyDescent="0.25">
      <c r="A2" s="123" t="s">
        <v>0</v>
      </c>
      <c r="B2" s="124" t="s">
        <v>32</v>
      </c>
      <c r="C2" s="124"/>
      <c r="D2" s="124"/>
      <c r="E2" s="125"/>
      <c r="F2" s="123" t="s">
        <v>33</v>
      </c>
      <c r="G2" s="123"/>
      <c r="H2" s="123"/>
      <c r="I2" s="123"/>
      <c r="J2" s="126" t="s">
        <v>29</v>
      </c>
      <c r="K2" s="123" t="s">
        <v>30</v>
      </c>
      <c r="L2" s="128" t="s">
        <v>31</v>
      </c>
    </row>
    <row r="3" spans="1:12" s="14" customFormat="1" ht="51.75" customHeight="1" x14ac:dyDescent="0.25">
      <c r="A3" s="123"/>
      <c r="B3" s="15" t="s">
        <v>1</v>
      </c>
      <c r="C3" s="15" t="s">
        <v>8</v>
      </c>
      <c r="D3" s="15" t="s">
        <v>9</v>
      </c>
      <c r="E3" s="16" t="s">
        <v>73</v>
      </c>
      <c r="F3" s="15" t="s">
        <v>10</v>
      </c>
      <c r="G3" s="15" t="s">
        <v>11</v>
      </c>
      <c r="H3" s="15" t="s">
        <v>12</v>
      </c>
      <c r="I3" s="16" t="s">
        <v>15</v>
      </c>
      <c r="J3" s="127"/>
      <c r="K3" s="123"/>
      <c r="L3" s="128"/>
    </row>
    <row r="4" spans="1:12" s="8" customFormat="1" ht="30" customHeight="1" x14ac:dyDescent="0.25">
      <c r="A4" s="21" t="s">
        <v>26</v>
      </c>
      <c r="B4" s="49">
        <f t="shared" ref="B4:I4" si="0">SUM(B5:B16)</f>
        <v>17586.662314999998</v>
      </c>
      <c r="C4" s="49">
        <f t="shared" si="0"/>
        <v>12539.194099999999</v>
      </c>
      <c r="D4" s="49">
        <f t="shared" si="0"/>
        <v>19037.075726999999</v>
      </c>
      <c r="E4" s="50">
        <f t="shared" si="0"/>
        <v>49162.932142000005</v>
      </c>
      <c r="F4" s="49">
        <f t="shared" si="0"/>
        <v>0</v>
      </c>
      <c r="G4" s="49">
        <f t="shared" si="0"/>
        <v>0</v>
      </c>
      <c r="H4" s="49">
        <f t="shared" si="0"/>
        <v>0</v>
      </c>
      <c r="I4" s="50">
        <f t="shared" si="0"/>
        <v>0</v>
      </c>
      <c r="J4" s="51">
        <f>E4+I4</f>
        <v>49162.932142000005</v>
      </c>
      <c r="K4" s="49">
        <f>SUM(K5:K16)</f>
        <v>59332.410000000011</v>
      </c>
      <c r="L4" s="22">
        <f>J4/K4</f>
        <v>0.82860163849740798</v>
      </c>
    </row>
    <row r="5" spans="1:12" s="87" customFormat="1" ht="20.25" customHeight="1" x14ac:dyDescent="0.25">
      <c r="A5" s="85" t="s">
        <v>17</v>
      </c>
      <c r="B5" s="90">
        <v>1685.777237</v>
      </c>
      <c r="C5" s="90">
        <f>240.468179+3618.150402+2046.958439+155.881506</f>
        <v>6061.4585260000003</v>
      </c>
      <c r="D5" s="90">
        <f>10996.162132+5593.734501</f>
        <v>16589.896633</v>
      </c>
      <c r="E5" s="53">
        <f>B5+C5+D5</f>
        <v>24337.132396000001</v>
      </c>
      <c r="F5" s="90"/>
      <c r="G5" s="90"/>
      <c r="H5" s="90">
        <v>0</v>
      </c>
      <c r="I5" s="50">
        <f>+F5+G5+H5</f>
        <v>0</v>
      </c>
      <c r="J5" s="51">
        <f t="shared" ref="J5:J16" si="1">E5+I5</f>
        <v>24337.132396000001</v>
      </c>
      <c r="K5" s="90">
        <f>20795.064+12952.088</f>
        <v>33747.152000000002</v>
      </c>
      <c r="L5" s="86">
        <f t="shared" ref="L5:L52" si="2">J5/K5</f>
        <v>0.72116107445155664</v>
      </c>
    </row>
    <row r="6" spans="1:12" ht="20.25" customHeight="1" x14ac:dyDescent="0.25">
      <c r="A6" s="12" t="s">
        <v>18</v>
      </c>
      <c r="B6" s="52">
        <v>10068.713057999999</v>
      </c>
      <c r="C6" s="52">
        <f>1705.62+1565+353.046</f>
        <v>3623.6659999999997</v>
      </c>
      <c r="D6" s="52">
        <f>265</f>
        <v>265</v>
      </c>
      <c r="E6" s="53">
        <f>B6+C6+D6</f>
        <v>13957.379057999999</v>
      </c>
      <c r="F6" s="52"/>
      <c r="G6" s="11"/>
      <c r="H6" s="11"/>
      <c r="I6" s="96">
        <f t="shared" ref="I6:I16" si="3">+F6+G6+H6</f>
        <v>0</v>
      </c>
      <c r="J6" s="95">
        <f t="shared" si="1"/>
        <v>13957.379057999999</v>
      </c>
      <c r="K6" s="52">
        <f>13928.75+28.216</f>
        <v>13956.966</v>
      </c>
      <c r="L6" s="17">
        <f t="shared" si="2"/>
        <v>1.0000295951140097</v>
      </c>
    </row>
    <row r="7" spans="1:12" ht="20.25" customHeight="1" x14ac:dyDescent="0.25">
      <c r="A7" s="12" t="s">
        <v>19</v>
      </c>
      <c r="B7" s="52">
        <f>1085.262036</f>
        <v>1085.2620360000001</v>
      </c>
      <c r="C7" s="52">
        <f>378.46681+21.21925+24.865889</f>
        <v>424.55194899999998</v>
      </c>
      <c r="D7" s="52">
        <f>2.954752</f>
        <v>2.954752</v>
      </c>
      <c r="E7" s="53">
        <f t="shared" ref="E7:E47" si="4">B7+C7+D7</f>
        <v>1512.7687370000001</v>
      </c>
      <c r="F7" s="52"/>
      <c r="G7" s="11"/>
      <c r="H7" s="11"/>
      <c r="I7" s="96">
        <f t="shared" si="3"/>
        <v>0</v>
      </c>
      <c r="J7" s="95">
        <f t="shared" si="1"/>
        <v>1512.7687370000001</v>
      </c>
      <c r="K7" s="52">
        <f>1561.469+138.076</f>
        <v>1699.5450000000001</v>
      </c>
      <c r="L7" s="17">
        <f t="shared" si="2"/>
        <v>0.89010219617603537</v>
      </c>
    </row>
    <row r="8" spans="1:12" ht="26.25" customHeight="1" x14ac:dyDescent="0.25">
      <c r="A8" s="85" t="s">
        <v>89</v>
      </c>
      <c r="B8" s="52">
        <v>239.063604</v>
      </c>
      <c r="C8" s="52">
        <v>96.820672000000002</v>
      </c>
      <c r="D8" s="52">
        <v>189.07889599999999</v>
      </c>
      <c r="E8" s="53">
        <f t="shared" si="4"/>
        <v>524.96317199999999</v>
      </c>
      <c r="F8" s="52"/>
      <c r="G8" s="11"/>
      <c r="H8" s="11"/>
      <c r="I8" s="96">
        <f t="shared" si="3"/>
        <v>0</v>
      </c>
      <c r="J8" s="95">
        <f t="shared" si="1"/>
        <v>524.96317199999999</v>
      </c>
      <c r="K8" s="52">
        <v>570</v>
      </c>
      <c r="L8" s="17">
        <f t="shared" si="2"/>
        <v>0.92098802105263156</v>
      </c>
    </row>
    <row r="9" spans="1:12" ht="20.25" customHeight="1" x14ac:dyDescent="0.25">
      <c r="A9" s="12" t="s">
        <v>6</v>
      </c>
      <c r="B9" s="52">
        <f>1889.447234+17.5</f>
        <v>1906.947234</v>
      </c>
      <c r="C9" s="52">
        <f>450.411043+207.354+74.235606</f>
        <v>732.00064899999995</v>
      </c>
      <c r="D9" s="52">
        <f>409.92485+117.82264</f>
        <v>527.74748999999997</v>
      </c>
      <c r="E9" s="53">
        <f>B9+C9+D9</f>
        <v>3166.6953729999996</v>
      </c>
      <c r="F9" s="52"/>
      <c r="G9" s="11"/>
      <c r="H9" s="11"/>
      <c r="I9" s="96">
        <f t="shared" si="3"/>
        <v>0</v>
      </c>
      <c r="J9" s="95">
        <f t="shared" si="1"/>
        <v>3166.6953729999996</v>
      </c>
      <c r="K9" s="52">
        <f>3094.558+3.394</f>
        <v>3097.9519999999998</v>
      </c>
      <c r="L9" s="17">
        <f t="shared" si="2"/>
        <v>1.022189941290246</v>
      </c>
    </row>
    <row r="10" spans="1:12" ht="20.25" customHeight="1" x14ac:dyDescent="0.25">
      <c r="A10" s="12" t="s">
        <v>20</v>
      </c>
      <c r="B10" s="52">
        <v>1191.1259010000001</v>
      </c>
      <c r="C10" s="52">
        <f>265.141388+161.175184+44.019002</f>
        <v>470.33557400000001</v>
      </c>
      <c r="D10" s="52">
        <f>11.845212+28.820277</f>
        <v>40.665489000000001</v>
      </c>
      <c r="E10" s="53">
        <f t="shared" si="4"/>
        <v>1702.126964</v>
      </c>
      <c r="F10" s="52"/>
      <c r="G10" s="11"/>
      <c r="H10" s="11"/>
      <c r="I10" s="96">
        <f t="shared" si="3"/>
        <v>0</v>
      </c>
      <c r="J10" s="95">
        <f t="shared" si="1"/>
        <v>1702.126964</v>
      </c>
      <c r="K10" s="52">
        <f>1882.894+54.387</f>
        <v>1937.2809999999999</v>
      </c>
      <c r="L10" s="17">
        <f t="shared" si="2"/>
        <v>0.87861645471152616</v>
      </c>
    </row>
    <row r="11" spans="1:12" ht="27" customHeight="1" x14ac:dyDescent="0.25">
      <c r="A11" s="12" t="s">
        <v>21</v>
      </c>
      <c r="B11" s="52">
        <v>1119.2701979999999</v>
      </c>
      <c r="C11" s="52">
        <f>355.717529+169.763071+194.218811</f>
        <v>719.69941099999994</v>
      </c>
      <c r="D11" s="52">
        <f>49.99587+49.971209</f>
        <v>99.967078999999998</v>
      </c>
      <c r="E11" s="53">
        <f t="shared" si="4"/>
        <v>1938.9366879999998</v>
      </c>
      <c r="F11" s="52"/>
      <c r="G11" s="11"/>
      <c r="H11" s="11"/>
      <c r="I11" s="96">
        <f t="shared" si="3"/>
        <v>0</v>
      </c>
      <c r="J11" s="95">
        <f t="shared" si="1"/>
        <v>1938.9366879999998</v>
      </c>
      <c r="K11" s="52">
        <f>1850.558+193.047</f>
        <v>2043.605</v>
      </c>
      <c r="L11" s="17">
        <f t="shared" si="2"/>
        <v>0.94878251325476293</v>
      </c>
    </row>
    <row r="12" spans="1:12" ht="20.25" customHeight="1" x14ac:dyDescent="0.25">
      <c r="A12" s="12" t="s">
        <v>22</v>
      </c>
      <c r="B12" s="52">
        <f>290.503047</f>
        <v>290.50304699999998</v>
      </c>
      <c r="C12" s="52">
        <f>160.99583+38.685+10.795</f>
        <v>210.47583</v>
      </c>
      <c r="D12" s="52">
        <f>1</f>
        <v>1</v>
      </c>
      <c r="E12" s="53">
        <f t="shared" si="4"/>
        <v>501.97887700000001</v>
      </c>
      <c r="F12" s="52"/>
      <c r="G12" s="11"/>
      <c r="H12" s="11"/>
      <c r="I12" s="96">
        <f t="shared" si="3"/>
        <v>0</v>
      </c>
      <c r="J12" s="95">
        <f t="shared" si="1"/>
        <v>501.97887700000001</v>
      </c>
      <c r="K12" s="52">
        <f>515.14-10.74</f>
        <v>504.4</v>
      </c>
      <c r="L12" s="17">
        <f t="shared" si="2"/>
        <v>0.9951999940523395</v>
      </c>
    </row>
    <row r="13" spans="1:12" ht="20.25" customHeight="1" x14ac:dyDescent="0.25">
      <c r="A13" s="12" t="s">
        <v>7</v>
      </c>
      <c r="B13" s="52">
        <v>0</v>
      </c>
      <c r="C13" s="52">
        <f>73.895761+126.289728</f>
        <v>200.18548899999999</v>
      </c>
      <c r="D13" s="52">
        <v>76.413387999999998</v>
      </c>
      <c r="E13" s="53">
        <f t="shared" si="4"/>
        <v>276.59887700000002</v>
      </c>
      <c r="F13" s="52"/>
      <c r="G13" s="11"/>
      <c r="H13" s="11"/>
      <c r="I13" s="96">
        <f t="shared" si="3"/>
        <v>0</v>
      </c>
      <c r="J13" s="95">
        <f t="shared" si="1"/>
        <v>276.59887700000002</v>
      </c>
      <c r="K13" s="52">
        <f>400.548</f>
        <v>400.548</v>
      </c>
      <c r="L13" s="17">
        <f t="shared" si="2"/>
        <v>0.69055113744170493</v>
      </c>
    </row>
    <row r="14" spans="1:12" ht="31.5" customHeight="1" x14ac:dyDescent="0.25">
      <c r="A14" s="12" t="s">
        <v>23</v>
      </c>
      <c r="B14" s="52">
        <v>0</v>
      </c>
      <c r="C14" s="52">
        <v>0</v>
      </c>
      <c r="D14" s="52">
        <v>890</v>
      </c>
      <c r="E14" s="53">
        <f t="shared" si="4"/>
        <v>890</v>
      </c>
      <c r="F14" s="52"/>
      <c r="G14" s="11"/>
      <c r="H14" s="11"/>
      <c r="I14" s="96">
        <f t="shared" si="3"/>
        <v>0</v>
      </c>
      <c r="J14" s="95">
        <f t="shared" si="1"/>
        <v>890</v>
      </c>
      <c r="K14" s="52">
        <f>890</f>
        <v>890</v>
      </c>
      <c r="L14" s="17">
        <f t="shared" si="2"/>
        <v>1</v>
      </c>
    </row>
    <row r="15" spans="1:12" s="87" customFormat="1" ht="20.25" customHeight="1" x14ac:dyDescent="0.25">
      <c r="A15" s="85" t="s">
        <v>109</v>
      </c>
      <c r="B15" s="90"/>
      <c r="C15" s="90"/>
      <c r="D15" s="90"/>
      <c r="E15" s="53">
        <f t="shared" si="4"/>
        <v>0</v>
      </c>
      <c r="F15" s="90"/>
      <c r="G15" s="103"/>
      <c r="H15" s="103"/>
      <c r="I15" s="96">
        <f t="shared" si="3"/>
        <v>0</v>
      </c>
      <c r="J15" s="95">
        <f t="shared" si="1"/>
        <v>0</v>
      </c>
      <c r="K15" s="90">
        <v>100</v>
      </c>
      <c r="L15" s="86">
        <f t="shared" si="2"/>
        <v>0</v>
      </c>
    </row>
    <row r="16" spans="1:12" ht="31.5" customHeight="1" x14ac:dyDescent="0.25">
      <c r="A16" s="12" t="s">
        <v>85</v>
      </c>
      <c r="B16" s="52"/>
      <c r="C16" s="52"/>
      <c r="D16" s="52">
        <f>354.352</f>
        <v>354.35199999999998</v>
      </c>
      <c r="E16" s="53">
        <f t="shared" si="4"/>
        <v>354.35199999999998</v>
      </c>
      <c r="F16" s="52"/>
      <c r="G16" s="11"/>
      <c r="H16" s="11"/>
      <c r="I16" s="94">
        <f t="shared" si="3"/>
        <v>0</v>
      </c>
      <c r="J16" s="92">
        <f t="shared" si="1"/>
        <v>354.35199999999998</v>
      </c>
      <c r="K16" s="52">
        <f>384.961</f>
        <v>384.96100000000001</v>
      </c>
      <c r="L16" s="17">
        <f t="shared" si="2"/>
        <v>0.92048804943877427</v>
      </c>
    </row>
    <row r="17" spans="1:12" ht="3.75" customHeight="1" x14ac:dyDescent="0.25">
      <c r="A17" s="18"/>
      <c r="B17" s="54"/>
      <c r="C17" s="54"/>
      <c r="D17" s="54"/>
      <c r="E17" s="54"/>
      <c r="F17" s="54"/>
      <c r="G17" s="54"/>
      <c r="H17" s="54"/>
      <c r="I17" s="50"/>
      <c r="J17" s="51"/>
      <c r="K17" s="54"/>
      <c r="L17" s="18"/>
    </row>
    <row r="18" spans="1:12" s="8" customFormat="1" ht="30.75" customHeight="1" x14ac:dyDescent="0.25">
      <c r="A18" s="21" t="s">
        <v>42</v>
      </c>
      <c r="B18" s="49">
        <f t="shared" ref="B18:I18" si="5">SUM(B19:B43)</f>
        <v>326880.413864</v>
      </c>
      <c r="C18" s="49">
        <f t="shared" si="5"/>
        <v>58110.155182000002</v>
      </c>
      <c r="D18" s="49">
        <f t="shared" si="5"/>
        <v>126878.091535</v>
      </c>
      <c r="E18" s="50">
        <f t="shared" si="5"/>
        <v>511868.66058099997</v>
      </c>
      <c r="F18" s="49">
        <f t="shared" si="5"/>
        <v>357640.60002499999</v>
      </c>
      <c r="G18" s="49">
        <f t="shared" si="5"/>
        <v>46902.040842000002</v>
      </c>
      <c r="H18" s="49">
        <f t="shared" si="5"/>
        <v>219110.90690600005</v>
      </c>
      <c r="I18" s="50">
        <f t="shared" si="5"/>
        <v>623653.5477730002</v>
      </c>
      <c r="J18" s="51">
        <f>E18+I18</f>
        <v>1135522.2083540002</v>
      </c>
      <c r="K18" s="49">
        <f>SUM(K19:K43)</f>
        <v>1071990.4717350001</v>
      </c>
      <c r="L18" s="22">
        <f t="shared" si="2"/>
        <v>1.0592652064492467</v>
      </c>
    </row>
    <row r="19" spans="1:12" ht="20.25" customHeight="1" x14ac:dyDescent="0.25">
      <c r="A19" s="12" t="s">
        <v>56</v>
      </c>
      <c r="B19" s="55">
        <v>32597.268055</v>
      </c>
      <c r="C19" s="55">
        <f>36.38+3849.191541+2525.134501+302.230769</f>
        <v>6712.9368109999996</v>
      </c>
      <c r="D19" s="55">
        <f>154.478898+157.993+243.532263</f>
        <v>556.00416100000007</v>
      </c>
      <c r="E19" s="56">
        <f t="shared" si="4"/>
        <v>39866.209026999997</v>
      </c>
      <c r="F19" s="55">
        <f>1980.524482</f>
        <v>1980.524482</v>
      </c>
      <c r="G19" s="19"/>
      <c r="H19" s="19"/>
      <c r="I19" s="93">
        <f t="shared" ref="I19:I43" si="6">F19+G19+H19</f>
        <v>1980.524482</v>
      </c>
      <c r="J19" s="91">
        <f t="shared" ref="J19:J43" si="7">E19+I19</f>
        <v>41846.733508999998</v>
      </c>
      <c r="K19" s="55">
        <f>41328.937+1525.239</f>
        <v>42854.175999999999</v>
      </c>
      <c r="L19" s="20">
        <f t="shared" si="2"/>
        <v>0.97649138112001033</v>
      </c>
    </row>
    <row r="20" spans="1:12" ht="20.25" customHeight="1" x14ac:dyDescent="0.25">
      <c r="A20" s="12" t="s">
        <v>57</v>
      </c>
      <c r="B20" s="80">
        <v>10327.511704</v>
      </c>
      <c r="C20" s="55">
        <f>513.394923+1522.459118+37.25</f>
        <v>2073.1040410000001</v>
      </c>
      <c r="D20" s="55">
        <f>1943.988594+10687.891783</f>
        <v>12631.880376999999</v>
      </c>
      <c r="E20" s="53">
        <f t="shared" si="4"/>
        <v>25032.496122</v>
      </c>
      <c r="F20" s="55">
        <f>8471.838398-7291.58909</f>
        <v>1180.2493079999995</v>
      </c>
      <c r="G20" s="55">
        <v>2156.6924909999998</v>
      </c>
      <c r="H20" s="55"/>
      <c r="I20" s="96">
        <f t="shared" si="6"/>
        <v>3336.9417989999993</v>
      </c>
      <c r="J20" s="95">
        <f t="shared" si="7"/>
        <v>28369.437921000001</v>
      </c>
      <c r="K20" s="55">
        <f>18166.717+1371.1</f>
        <v>19537.816999999999</v>
      </c>
      <c r="L20" s="17">
        <f t="shared" si="2"/>
        <v>1.452027005934184</v>
      </c>
    </row>
    <row r="21" spans="1:12" ht="20.25" customHeight="1" x14ac:dyDescent="0.25">
      <c r="A21" s="12" t="s">
        <v>4</v>
      </c>
      <c r="B21" s="55">
        <v>6936.1685710000002</v>
      </c>
      <c r="C21" s="55">
        <f>1616.773277+674.41329+501.786824</f>
        <v>2792.9733909999995</v>
      </c>
      <c r="D21" s="55">
        <f>3751.013647+262.382172</f>
        <v>4013.3958190000003</v>
      </c>
      <c r="E21" s="53">
        <f t="shared" si="4"/>
        <v>13742.537780999999</v>
      </c>
      <c r="F21" s="55">
        <v>3130.6228139999998</v>
      </c>
      <c r="G21" s="55"/>
      <c r="H21" s="55"/>
      <c r="I21" s="96">
        <f t="shared" si="6"/>
        <v>3130.6228139999998</v>
      </c>
      <c r="J21" s="95">
        <f t="shared" si="7"/>
        <v>16873.160594999998</v>
      </c>
      <c r="K21" s="55">
        <f>17319.988-16.727</f>
        <v>17303.261000000002</v>
      </c>
      <c r="L21" s="17">
        <f t="shared" si="2"/>
        <v>0.97514339031238073</v>
      </c>
    </row>
    <row r="22" spans="1:12" ht="20.25" customHeight="1" x14ac:dyDescent="0.25">
      <c r="A22" s="12" t="s">
        <v>3</v>
      </c>
      <c r="B22" s="52">
        <v>1104.8078210000001</v>
      </c>
      <c r="C22" s="55">
        <f>717.053958+873.083122+699.587335</f>
        <v>2289.7244150000001</v>
      </c>
      <c r="D22" s="55">
        <f>1600+426.845334+310.606745</f>
        <v>2337.4520790000001</v>
      </c>
      <c r="E22" s="53">
        <f t="shared" si="4"/>
        <v>5731.9843149999997</v>
      </c>
      <c r="F22" s="55">
        <f>100</f>
        <v>100</v>
      </c>
      <c r="G22" s="55">
        <v>3402.2317370000001</v>
      </c>
      <c r="H22" s="55">
        <v>3073.1422010000001</v>
      </c>
      <c r="I22" s="96">
        <f t="shared" si="6"/>
        <v>6575.3739380000006</v>
      </c>
      <c r="J22" s="95">
        <f t="shared" si="7"/>
        <v>12307.358253</v>
      </c>
      <c r="K22" s="55">
        <f>20033.629-145.45</f>
        <v>19888.179</v>
      </c>
      <c r="L22" s="17">
        <f t="shared" si="2"/>
        <v>0.61882780987640951</v>
      </c>
    </row>
    <row r="23" spans="1:12" s="87" customFormat="1" ht="20.25" customHeight="1" x14ac:dyDescent="0.25">
      <c r="A23" s="85" t="s">
        <v>86</v>
      </c>
      <c r="B23" s="80">
        <v>10.989750000000001</v>
      </c>
      <c r="C23" s="55">
        <f>595.172916+64.72056+23.718668</f>
        <v>683.61214399999994</v>
      </c>
      <c r="D23" s="80">
        <f>257.05937+144.574815</f>
        <v>401.634185</v>
      </c>
      <c r="E23" s="53">
        <f t="shared" si="4"/>
        <v>1096.2360789999998</v>
      </c>
      <c r="F23" s="80">
        <v>3972.4675779999998</v>
      </c>
      <c r="G23" s="80"/>
      <c r="H23" s="80"/>
      <c r="I23" s="96">
        <f t="shared" ref="I23" si="8">F23+G23+H23</f>
        <v>3972.4675779999998</v>
      </c>
      <c r="J23" s="95">
        <f t="shared" ref="J23" si="9">E23+I23</f>
        <v>5068.703657</v>
      </c>
      <c r="K23" s="80">
        <f>13731.409-596.923</f>
        <v>13134.485999999999</v>
      </c>
      <c r="L23" s="86">
        <f t="shared" si="2"/>
        <v>0.38590803302085824</v>
      </c>
    </row>
    <row r="24" spans="1:12" ht="20.25" customHeight="1" x14ac:dyDescent="0.25">
      <c r="A24" s="12" t="s">
        <v>108</v>
      </c>
      <c r="B24" s="55">
        <f>788.091928+118.8</f>
        <v>906.89192800000001</v>
      </c>
      <c r="C24" s="55">
        <f>428.269633+36.077605+45.232428</f>
        <v>509.57966599999997</v>
      </c>
      <c r="D24" s="55">
        <f>3681.73284+106.330665+59.840355</f>
        <v>3847.9038599999999</v>
      </c>
      <c r="E24" s="53">
        <f t="shared" si="4"/>
        <v>5264.375454</v>
      </c>
      <c r="F24" s="55">
        <f>0</f>
        <v>0</v>
      </c>
      <c r="G24" s="55">
        <v>0</v>
      </c>
      <c r="H24" s="55">
        <v>0</v>
      </c>
      <c r="I24" s="96">
        <f t="shared" si="6"/>
        <v>0</v>
      </c>
      <c r="J24" s="95">
        <f t="shared" si="7"/>
        <v>5264.375454</v>
      </c>
      <c r="K24" s="55">
        <f>5249.242-2.067</f>
        <v>5247.1750000000002</v>
      </c>
      <c r="L24" s="17">
        <f t="shared" si="2"/>
        <v>1.0032780408505528</v>
      </c>
    </row>
    <row r="25" spans="1:12" ht="27.75" customHeight="1" x14ac:dyDescent="0.25">
      <c r="A25" s="12" t="s">
        <v>58</v>
      </c>
      <c r="B25" s="55">
        <f>3698.315688</f>
        <v>3698.3156880000001</v>
      </c>
      <c r="C25" s="55">
        <f>558.745439+21.723</f>
        <v>580.46843899999999</v>
      </c>
      <c r="D25" s="55">
        <f>1141.275383+159.1705</f>
        <v>1300.4458829999999</v>
      </c>
      <c r="E25" s="53">
        <f t="shared" si="4"/>
        <v>5579.2300099999993</v>
      </c>
      <c r="F25" s="55">
        <v>84420.078714000003</v>
      </c>
      <c r="G25" s="55">
        <v>2833.3227550000001</v>
      </c>
      <c r="H25" s="80">
        <v>107709.11913500002</v>
      </c>
      <c r="I25" s="96">
        <f t="shared" si="6"/>
        <v>194962.52060400002</v>
      </c>
      <c r="J25" s="95">
        <f t="shared" si="7"/>
        <v>200541.75061400002</v>
      </c>
      <c r="K25" s="55">
        <f>86318.445+23666.287</f>
        <v>109984.732</v>
      </c>
      <c r="L25" s="17">
        <f t="shared" si="2"/>
        <v>1.8233599061186057</v>
      </c>
    </row>
    <row r="26" spans="1:12" ht="20.25" customHeight="1" x14ac:dyDescent="0.25">
      <c r="A26" s="85" t="s">
        <v>59</v>
      </c>
      <c r="B26" s="55">
        <f>1148.849519</f>
        <v>1148.8495190000001</v>
      </c>
      <c r="C26" s="55">
        <f>29.68653+425.745017+423.22657+133.665696</f>
        <v>1012.323813</v>
      </c>
      <c r="D26" s="55">
        <f>510.5+287.417689</f>
        <v>797.917689</v>
      </c>
      <c r="E26" s="53">
        <f t="shared" si="4"/>
        <v>2959.0910210000002</v>
      </c>
      <c r="F26" s="55">
        <v>353.955354</v>
      </c>
      <c r="G26" s="55">
        <v>0</v>
      </c>
      <c r="H26" s="55"/>
      <c r="I26" s="96">
        <f t="shared" si="6"/>
        <v>353.955354</v>
      </c>
      <c r="J26" s="95">
        <f t="shared" si="7"/>
        <v>3313.0463750000004</v>
      </c>
      <c r="K26" s="55">
        <f>3381.188-18.463</f>
        <v>3362.7249999999999</v>
      </c>
      <c r="L26" s="17">
        <f t="shared" si="2"/>
        <v>0.98522667628188465</v>
      </c>
    </row>
    <row r="27" spans="1:12" ht="20.25" customHeight="1" x14ac:dyDescent="0.25">
      <c r="A27" s="12" t="s">
        <v>2</v>
      </c>
      <c r="B27" s="55">
        <v>24260.473813000001</v>
      </c>
      <c r="C27" s="55">
        <f>4799.739422+730.53455+1000.189385</f>
        <v>6530.4633569999996</v>
      </c>
      <c r="D27" s="55">
        <f>9160.889+5689.71964+2407.884439</f>
        <v>17258.493079</v>
      </c>
      <c r="E27" s="53">
        <f t="shared" si="4"/>
        <v>48049.430248999997</v>
      </c>
      <c r="F27" s="55">
        <v>59098.422015999997</v>
      </c>
      <c r="G27" s="79">
        <v>3026.8654940000001</v>
      </c>
      <c r="H27" s="55">
        <v>32411.066092000001</v>
      </c>
      <c r="I27" s="96">
        <f t="shared" si="6"/>
        <v>94536.353601999988</v>
      </c>
      <c r="J27" s="95">
        <f t="shared" si="7"/>
        <v>142585.78385099999</v>
      </c>
      <c r="K27" s="55">
        <f>70318.921+39152.898735</f>
        <v>109471.819735</v>
      </c>
      <c r="L27" s="17">
        <f t="shared" si="2"/>
        <v>1.302488477821593</v>
      </c>
    </row>
    <row r="28" spans="1:12" ht="20.25" customHeight="1" x14ac:dyDescent="0.25">
      <c r="A28" s="12" t="s">
        <v>60</v>
      </c>
      <c r="B28" s="55">
        <v>1619.651822</v>
      </c>
      <c r="C28" s="55">
        <f>242.447979+160.180661+56.7544</f>
        <v>459.38303999999999</v>
      </c>
      <c r="D28" s="55">
        <f>150+228.86095+9.90575</f>
        <v>388.76670000000001</v>
      </c>
      <c r="E28" s="53">
        <f t="shared" si="4"/>
        <v>2467.8015620000001</v>
      </c>
      <c r="F28" s="55">
        <v>35571.604874999997</v>
      </c>
      <c r="G28" s="55">
        <v>5545.1968429999997</v>
      </c>
      <c r="H28" s="55">
        <v>20203.631668999999</v>
      </c>
      <c r="I28" s="96">
        <f t="shared" si="6"/>
        <v>61320.433386999997</v>
      </c>
      <c r="J28" s="95">
        <f t="shared" si="7"/>
        <v>63788.234948999998</v>
      </c>
      <c r="K28" s="55">
        <f>45261.659+10879.5</f>
        <v>56141.159</v>
      </c>
      <c r="L28" s="17">
        <f t="shared" si="2"/>
        <v>1.13621157961844</v>
      </c>
    </row>
    <row r="29" spans="1:12" s="87" customFormat="1" ht="20.25" customHeight="1" x14ac:dyDescent="0.25">
      <c r="A29" s="85" t="s">
        <v>61</v>
      </c>
      <c r="B29" s="80">
        <v>8244.7591580000008</v>
      </c>
      <c r="C29" s="55">
        <f>2963.532256+314.7972+445.30122</f>
        <v>3723.6306759999998</v>
      </c>
      <c r="D29" s="80">
        <f>11590.995+5765.024459+316.865456</f>
        <v>17672.884915000002</v>
      </c>
      <c r="E29" s="53">
        <f t="shared" si="4"/>
        <v>29641.274749000004</v>
      </c>
      <c r="F29" s="80">
        <v>11146.93577</v>
      </c>
      <c r="G29" s="80">
        <v>16153.443211</v>
      </c>
      <c r="H29" s="80">
        <v>26543.436785999998</v>
      </c>
      <c r="I29" s="96">
        <f t="shared" ref="I29" si="10">F29+G29+H29</f>
        <v>53843.815767</v>
      </c>
      <c r="J29" s="95">
        <f t="shared" ref="J29" si="11">E29+I29</f>
        <v>83485.090515999997</v>
      </c>
      <c r="K29" s="55">
        <f>70906.669-7558.826-6.5</f>
        <v>63341.342999999993</v>
      </c>
      <c r="L29" s="86">
        <f t="shared" si="2"/>
        <v>1.3180189519505452</v>
      </c>
    </row>
    <row r="30" spans="1:12" ht="20.25" customHeight="1" x14ac:dyDescent="0.25">
      <c r="A30" s="12" t="s">
        <v>87</v>
      </c>
      <c r="B30" s="55">
        <v>584.68013499999995</v>
      </c>
      <c r="C30" s="55">
        <f>7.8706+750.250028+93.502636+55.624617</f>
        <v>907.24788100000001</v>
      </c>
      <c r="D30" s="55">
        <f>2893.195+627.008349</f>
        <v>3520.2033490000003</v>
      </c>
      <c r="E30" s="53">
        <f t="shared" si="4"/>
        <v>5012.1313650000002</v>
      </c>
      <c r="F30" s="55">
        <v>16745.775673</v>
      </c>
      <c r="G30" s="19"/>
      <c r="H30" s="55">
        <v>4724.2907949999999</v>
      </c>
      <c r="I30" s="96">
        <f t="shared" si="6"/>
        <v>21470.066468000001</v>
      </c>
      <c r="J30" s="95">
        <f t="shared" si="7"/>
        <v>26482.197833000002</v>
      </c>
      <c r="K30" s="55">
        <f>30105.167+216.277</f>
        <v>30321.444</v>
      </c>
      <c r="L30" s="17">
        <f t="shared" si="2"/>
        <v>0.87338181628157296</v>
      </c>
    </row>
    <row r="31" spans="1:12" ht="20.25" customHeight="1" x14ac:dyDescent="0.25">
      <c r="A31" s="12" t="s">
        <v>88</v>
      </c>
      <c r="B31" s="55">
        <v>1243.265924</v>
      </c>
      <c r="C31" s="116">
        <f>54.777601+677.41375+105.617923+18.95593</f>
        <v>856.76520400000004</v>
      </c>
      <c r="D31" s="55">
        <f>1510.055+3955.7267</f>
        <v>5465.7817000000005</v>
      </c>
      <c r="E31" s="53">
        <f t="shared" si="4"/>
        <v>7565.8128280000001</v>
      </c>
      <c r="F31" s="55">
        <v>13722.473232</v>
      </c>
      <c r="G31" s="19"/>
      <c r="H31" s="55"/>
      <c r="I31" s="96">
        <f t="shared" si="6"/>
        <v>13722.473232</v>
      </c>
      <c r="J31" s="95">
        <f>E31+I31</f>
        <v>21288.286059999999</v>
      </c>
      <c r="K31" s="55">
        <f>22101.911-500.32</f>
        <v>21601.591</v>
      </c>
      <c r="L31" s="17">
        <f t="shared" si="2"/>
        <v>0.98549620997823717</v>
      </c>
    </row>
    <row r="32" spans="1:12" ht="20.25" customHeight="1" x14ac:dyDescent="0.25">
      <c r="A32" s="12" t="s">
        <v>62</v>
      </c>
      <c r="B32" s="55">
        <v>705.21323900000004</v>
      </c>
      <c r="C32" s="55">
        <f>781.729792+279.709263+49.116267</f>
        <v>1110.5553220000002</v>
      </c>
      <c r="D32" s="55">
        <f>1271.901+1303.114792</f>
        <v>2575.0157920000001</v>
      </c>
      <c r="E32" s="53">
        <f t="shared" si="4"/>
        <v>4390.7843530000009</v>
      </c>
      <c r="F32" s="55">
        <v>1151.649171</v>
      </c>
      <c r="G32" s="55"/>
      <c r="H32" s="55">
        <v>5749.8110120000001</v>
      </c>
      <c r="I32" s="96">
        <f t="shared" si="6"/>
        <v>6901.4601830000001</v>
      </c>
      <c r="J32" s="95">
        <f t="shared" si="7"/>
        <v>11292.244536000002</v>
      </c>
      <c r="K32" s="55">
        <f>7700.996-1966.3</f>
        <v>5734.6959999999999</v>
      </c>
      <c r="L32" s="17">
        <f t="shared" si="2"/>
        <v>1.9691095283865094</v>
      </c>
    </row>
    <row r="33" spans="1:12" ht="20.25" customHeight="1" x14ac:dyDescent="0.25">
      <c r="A33" s="12" t="s">
        <v>44</v>
      </c>
      <c r="B33" s="55">
        <f>24852.341649+2914.2185</f>
        <v>27766.560149000001</v>
      </c>
      <c r="C33" s="55">
        <f>424.364171+53.968224+191.362099</f>
        <v>669.69449400000008</v>
      </c>
      <c r="D33" s="55">
        <f>10292+1338.690286+500+2630.876486</f>
        <v>14761.566772000002</v>
      </c>
      <c r="E33" s="53">
        <f t="shared" si="4"/>
        <v>43197.821414999999</v>
      </c>
      <c r="F33" s="55">
        <f>11248.057373</f>
        <v>11248.057373</v>
      </c>
      <c r="G33" s="55">
        <v>253.59257600000001</v>
      </c>
      <c r="H33" s="55">
        <v>3676.0912659999999</v>
      </c>
      <c r="I33" s="96">
        <f t="shared" si="6"/>
        <v>15177.741214999998</v>
      </c>
      <c r="J33" s="95">
        <f t="shared" si="7"/>
        <v>58375.56263</v>
      </c>
      <c r="K33" s="55">
        <f>63769.89-6083.823</f>
        <v>57686.066999999995</v>
      </c>
      <c r="L33" s="17">
        <f t="shared" si="2"/>
        <v>1.0119525505179614</v>
      </c>
    </row>
    <row r="34" spans="1:12" s="87" customFormat="1" ht="20.25" customHeight="1" x14ac:dyDescent="0.25">
      <c r="A34" s="85" t="s">
        <v>63</v>
      </c>
      <c r="B34" s="80">
        <v>87.652477000000005</v>
      </c>
      <c r="C34" s="116">
        <f>231.477923+275.821295+191.847401</f>
        <v>699.14661899999999</v>
      </c>
      <c r="D34" s="80">
        <f>3493.25+615.891904</f>
        <v>4109.1419040000001</v>
      </c>
      <c r="E34" s="53">
        <f t="shared" si="4"/>
        <v>4895.9409999999998</v>
      </c>
      <c r="F34" s="80">
        <v>0</v>
      </c>
      <c r="G34" s="80">
        <v>250</v>
      </c>
      <c r="H34" s="80">
        <v>0</v>
      </c>
      <c r="I34" s="96">
        <f t="shared" si="6"/>
        <v>250</v>
      </c>
      <c r="J34" s="95">
        <f t="shared" si="7"/>
        <v>5145.9409999999998</v>
      </c>
      <c r="K34" s="80">
        <f>6309.717-871.579</f>
        <v>5438.1379999999999</v>
      </c>
      <c r="L34" s="86">
        <f t="shared" si="2"/>
        <v>0.94626892513577254</v>
      </c>
    </row>
    <row r="35" spans="1:12" ht="20.25" customHeight="1" x14ac:dyDescent="0.25">
      <c r="A35" s="12" t="s">
        <v>64</v>
      </c>
      <c r="B35" s="55">
        <v>1092.202702</v>
      </c>
      <c r="C35" s="55">
        <f>435.786412+464.96838+24.630854</f>
        <v>925.38564599999995</v>
      </c>
      <c r="D35" s="55">
        <f>100+458.855968+500+26.534075</f>
        <v>1085.3900430000001</v>
      </c>
      <c r="E35" s="53">
        <f t="shared" si="4"/>
        <v>3102.9783910000001</v>
      </c>
      <c r="F35" s="55">
        <v>72578.413807000004</v>
      </c>
      <c r="G35" s="55"/>
      <c r="H35" s="55">
        <v>865.21640500000103</v>
      </c>
      <c r="I35" s="96">
        <f t="shared" si="6"/>
        <v>73443.630212000004</v>
      </c>
      <c r="J35" s="95">
        <f t="shared" si="7"/>
        <v>76546.608603000001</v>
      </c>
      <c r="K35" s="55">
        <f>91485.414+12065.629-23</f>
        <v>103528.04300000001</v>
      </c>
      <c r="L35" s="17">
        <f t="shared" si="2"/>
        <v>0.73938042664440196</v>
      </c>
    </row>
    <row r="36" spans="1:12" ht="20.25" customHeight="1" x14ac:dyDescent="0.25">
      <c r="A36" s="12" t="s">
        <v>65</v>
      </c>
      <c r="B36" s="55">
        <f>2774.591036+30</f>
        <v>2804.5910359999998</v>
      </c>
      <c r="C36" s="55">
        <f>812.04797+826.749055+146.77334</f>
        <v>1785.5703649999998</v>
      </c>
      <c r="D36" s="55">
        <f>475+1824.74871</f>
        <v>2299.7487099999998</v>
      </c>
      <c r="E36" s="53">
        <f t="shared" si="4"/>
        <v>6889.9101109999992</v>
      </c>
      <c r="F36" s="55">
        <v>373.711094</v>
      </c>
      <c r="G36" s="19"/>
      <c r="H36" s="55"/>
      <c r="I36" s="96">
        <f t="shared" si="6"/>
        <v>373.711094</v>
      </c>
      <c r="J36" s="95">
        <f t="shared" si="7"/>
        <v>7263.6212049999995</v>
      </c>
      <c r="K36" s="55">
        <f>7069.413+386.477</f>
        <v>7455.8899999999994</v>
      </c>
      <c r="L36" s="17">
        <f t="shared" si="2"/>
        <v>0.97421249575838698</v>
      </c>
    </row>
    <row r="37" spans="1:12" ht="20.25" customHeight="1" x14ac:dyDescent="0.25">
      <c r="A37" s="12" t="s">
        <v>66</v>
      </c>
      <c r="B37" s="55">
        <v>31474.964259</v>
      </c>
      <c r="C37" s="55">
        <f>367.098717+3472.132349+89.80403+294.017077</f>
        <v>4223.052173</v>
      </c>
      <c r="D37" s="55">
        <f>555+1976.71125+46.32824</f>
        <v>2578.0394900000001</v>
      </c>
      <c r="E37" s="53">
        <f t="shared" si="4"/>
        <v>38276.055922000007</v>
      </c>
      <c r="F37" s="55">
        <v>3448.7920650000001</v>
      </c>
      <c r="G37" s="19">
        <v>0</v>
      </c>
      <c r="H37" s="55">
        <v>0</v>
      </c>
      <c r="I37" s="96">
        <f t="shared" si="6"/>
        <v>3448.7920650000001</v>
      </c>
      <c r="J37" s="95">
        <f t="shared" si="7"/>
        <v>41724.847987000008</v>
      </c>
      <c r="K37" s="55">
        <f>54445.849-12468.887</f>
        <v>41976.962</v>
      </c>
      <c r="L37" s="17">
        <f t="shared" si="2"/>
        <v>0.99399399096580665</v>
      </c>
    </row>
    <row r="38" spans="1:12" ht="20.25" customHeight="1" x14ac:dyDescent="0.25">
      <c r="A38" s="12" t="s">
        <v>67</v>
      </c>
      <c r="B38" s="55">
        <v>1990.30501</v>
      </c>
      <c r="C38" s="116">
        <f>16.753922+57.69245+1880.73705+1253.011</f>
        <v>3208.194422</v>
      </c>
      <c r="D38" s="55">
        <f>315.999+3839.721298</f>
        <v>4155.7202980000002</v>
      </c>
      <c r="E38" s="53">
        <f t="shared" si="4"/>
        <v>9354.2197300000007</v>
      </c>
      <c r="F38" s="55">
        <v>14197.957775999999</v>
      </c>
      <c r="G38" s="55">
        <v>383.80234200000001</v>
      </c>
      <c r="H38" s="55">
        <v>0</v>
      </c>
      <c r="I38" s="96">
        <f t="shared" si="6"/>
        <v>14581.760118</v>
      </c>
      <c r="J38" s="95">
        <f t="shared" si="7"/>
        <v>23935.979848000003</v>
      </c>
      <c r="K38" s="55">
        <f>44256.76+131.589</f>
        <v>44388.349000000002</v>
      </c>
      <c r="L38" s="17">
        <f t="shared" si="2"/>
        <v>0.53924014718366753</v>
      </c>
    </row>
    <row r="39" spans="1:12" ht="20.25" customHeight="1" x14ac:dyDescent="0.25">
      <c r="A39" s="12" t="s">
        <v>68</v>
      </c>
      <c r="B39" s="55">
        <f>81219.298214+7407.21</f>
        <v>88626.508214000001</v>
      </c>
      <c r="C39" s="55">
        <f>1069.614239+1700.114976+974.37563</f>
        <v>3744.1048450000003</v>
      </c>
      <c r="D39" s="55">
        <f>995+8890.45049+5994.279+239.485114</f>
        <v>16119.214603999999</v>
      </c>
      <c r="E39" s="53">
        <f t="shared" si="4"/>
        <v>108489.82766299999</v>
      </c>
      <c r="F39" s="55">
        <v>3489.8320480000002</v>
      </c>
      <c r="G39" s="19">
        <v>7771.2864870000003</v>
      </c>
      <c r="H39" s="55">
        <v>4.2341179999999996</v>
      </c>
      <c r="I39" s="96">
        <f t="shared" si="6"/>
        <v>11265.352653000002</v>
      </c>
      <c r="J39" s="95">
        <f t="shared" si="7"/>
        <v>119755.18031599998</v>
      </c>
      <c r="K39" s="55">
        <f>118931.343-130.855</f>
        <v>118800.488</v>
      </c>
      <c r="L39" s="17">
        <f t="shared" si="2"/>
        <v>1.008036097595828</v>
      </c>
    </row>
    <row r="40" spans="1:12" ht="29.25" customHeight="1" x14ac:dyDescent="0.25">
      <c r="A40" s="12" t="s">
        <v>69</v>
      </c>
      <c r="B40" s="55">
        <f>57900.148845+7398.6332</f>
        <v>65298.782045</v>
      </c>
      <c r="C40" s="116">
        <f>54.042747+186.731+965.434788+1712.495795+96.47</f>
        <v>3015.1743299999998</v>
      </c>
      <c r="D40" s="55">
        <f>537.74325+4091.769822+3858.303515</f>
        <v>8487.8165869999993</v>
      </c>
      <c r="E40" s="53">
        <f t="shared" si="4"/>
        <v>76801.772961999988</v>
      </c>
      <c r="F40" s="55">
        <v>3520.6341240000002</v>
      </c>
      <c r="G40" s="55">
        <v>1631.0146870000001</v>
      </c>
      <c r="H40" s="55">
        <v>118.546582</v>
      </c>
      <c r="I40" s="96">
        <f t="shared" si="6"/>
        <v>5270.195393</v>
      </c>
      <c r="J40" s="95">
        <f t="shared" si="7"/>
        <v>82071.96835499999</v>
      </c>
      <c r="K40" s="55">
        <f>87892.981+11391.187</f>
        <v>99284.168000000005</v>
      </c>
      <c r="L40" s="17">
        <f t="shared" si="2"/>
        <v>0.82663701583317883</v>
      </c>
    </row>
    <row r="41" spans="1:12" ht="20.25" customHeight="1" x14ac:dyDescent="0.25">
      <c r="A41" s="12" t="s">
        <v>5</v>
      </c>
      <c r="B41" s="55">
        <v>12130.599392</v>
      </c>
      <c r="C41" s="55">
        <f>7171.134696+558.686585+959.848209+9.5</f>
        <v>8699.1694900000002</v>
      </c>
      <c r="D41" s="55">
        <f>121.8815+57.2059+15.950963</f>
        <v>195.038363</v>
      </c>
      <c r="E41" s="53">
        <f t="shared" si="4"/>
        <v>21024.807245</v>
      </c>
      <c r="F41" s="55">
        <v>1767.7428729999999</v>
      </c>
      <c r="G41" s="19">
        <v>0</v>
      </c>
      <c r="H41" s="55">
        <v>0</v>
      </c>
      <c r="I41" s="96">
        <f t="shared" si="6"/>
        <v>1767.7428729999999</v>
      </c>
      <c r="J41" s="95">
        <f t="shared" si="7"/>
        <v>22792.550117999999</v>
      </c>
      <c r="K41" s="55">
        <f>27951.59-3913.18</f>
        <v>24038.41</v>
      </c>
      <c r="L41" s="17">
        <f t="shared" si="2"/>
        <v>0.94817211778982047</v>
      </c>
    </row>
    <row r="42" spans="1:12" ht="20.25" customHeight="1" x14ac:dyDescent="0.25">
      <c r="A42" s="12" t="s">
        <v>70</v>
      </c>
      <c r="B42" s="55">
        <v>162.75045299999999</v>
      </c>
      <c r="C42" s="55">
        <f>333.98254+189.752351+37.634653</f>
        <v>561.36954399999991</v>
      </c>
      <c r="D42" s="55">
        <f>7.5+282.709125+28.426051</f>
        <v>318.635176</v>
      </c>
      <c r="E42" s="53">
        <f t="shared" si="4"/>
        <v>1042.755173</v>
      </c>
      <c r="F42" s="55">
        <v>14440.699877999999</v>
      </c>
      <c r="G42" s="55">
        <v>3494.5922190000001</v>
      </c>
      <c r="H42" s="55">
        <v>14032.320844999998</v>
      </c>
      <c r="I42" s="96">
        <f t="shared" si="6"/>
        <v>31967.612941999996</v>
      </c>
      <c r="J42" s="95">
        <f t="shared" si="7"/>
        <v>33010.368114999997</v>
      </c>
      <c r="K42" s="55">
        <f>49401.053-865.7</f>
        <v>48535.353000000003</v>
      </c>
      <c r="L42" s="17">
        <f t="shared" si="2"/>
        <v>0.68013038073504883</v>
      </c>
    </row>
    <row r="43" spans="1:12" s="87" customFormat="1" ht="20.25" customHeight="1" x14ac:dyDescent="0.25">
      <c r="A43" s="106" t="s">
        <v>71</v>
      </c>
      <c r="B43" s="100">
        <f>2056.651</f>
        <v>2056.6509999999998</v>
      </c>
      <c r="C43" s="99">
        <v>336.52505400000001</v>
      </c>
      <c r="D43" s="100">
        <v>0</v>
      </c>
      <c r="E43" s="53">
        <f t="shared" si="4"/>
        <v>2393.176054</v>
      </c>
      <c r="F43" s="100">
        <f>0</f>
        <v>0</v>
      </c>
      <c r="G43" s="107">
        <v>0</v>
      </c>
      <c r="H43" s="100">
        <v>0</v>
      </c>
      <c r="I43" s="96">
        <f t="shared" si="6"/>
        <v>0</v>
      </c>
      <c r="J43" s="118">
        <f t="shared" si="7"/>
        <v>2393.176054</v>
      </c>
      <c r="K43" s="100">
        <v>2934</v>
      </c>
      <c r="L43" s="108">
        <f t="shared" si="2"/>
        <v>0.81567009338786645</v>
      </c>
    </row>
    <row r="44" spans="1:12" ht="4.5" customHeight="1" x14ac:dyDescent="0.25">
      <c r="A44" s="18"/>
      <c r="B44" s="54"/>
      <c r="C44" s="54"/>
      <c r="D44" s="54"/>
      <c r="E44" s="54"/>
      <c r="F44" s="54"/>
      <c r="G44" s="54"/>
      <c r="H44" s="54"/>
      <c r="I44" s="97"/>
      <c r="J44" s="98"/>
      <c r="K44" s="54"/>
      <c r="L44" s="18"/>
    </row>
    <row r="45" spans="1:12" s="8" customFormat="1" ht="32.25" customHeight="1" x14ac:dyDescent="0.25">
      <c r="A45" s="21" t="s">
        <v>27</v>
      </c>
      <c r="B45" s="49">
        <f>B4+B18</f>
        <v>344467.07617900003</v>
      </c>
      <c r="C45" s="49">
        <f t="shared" ref="C45:K45" si="12">C4+C18</f>
        <v>70649.349281999996</v>
      </c>
      <c r="D45" s="49">
        <f t="shared" si="12"/>
        <v>145915.167262</v>
      </c>
      <c r="E45" s="50">
        <f t="shared" si="12"/>
        <v>561031.59272299998</v>
      </c>
      <c r="F45" s="49">
        <f>F4+F18</f>
        <v>357640.60002499999</v>
      </c>
      <c r="G45" s="49">
        <f t="shared" si="12"/>
        <v>46902.040842000002</v>
      </c>
      <c r="H45" s="49">
        <f>H4+H18</f>
        <v>219110.90690600005</v>
      </c>
      <c r="I45" s="50">
        <f>+F45+G45+H45</f>
        <v>623653.54777300009</v>
      </c>
      <c r="J45" s="51">
        <f>E45+I45</f>
        <v>1184685.1404960002</v>
      </c>
      <c r="K45" s="49">
        <f t="shared" si="12"/>
        <v>1131322.8817350001</v>
      </c>
      <c r="L45" s="22">
        <f t="shared" si="2"/>
        <v>1.0471680186289201</v>
      </c>
    </row>
    <row r="46" spans="1:12" ht="4.5" customHeight="1" x14ac:dyDescent="0.25">
      <c r="A46" s="18"/>
      <c r="B46" s="54"/>
      <c r="C46" s="54"/>
      <c r="D46" s="54"/>
      <c r="E46" s="54"/>
      <c r="F46" s="54"/>
      <c r="G46" s="54"/>
      <c r="H46" s="54"/>
      <c r="I46" s="50"/>
      <c r="J46" s="51"/>
      <c r="K46" s="54"/>
      <c r="L46" s="18"/>
    </row>
    <row r="47" spans="1:12" s="87" customFormat="1" ht="21.75" customHeight="1" x14ac:dyDescent="0.25">
      <c r="A47" s="85" t="s">
        <v>82</v>
      </c>
      <c r="B47" s="90">
        <v>52211.916022999998</v>
      </c>
      <c r="C47" s="90">
        <v>33785.9</v>
      </c>
      <c r="D47" s="90">
        <v>110836.77197900001</v>
      </c>
      <c r="E47" s="117">
        <f t="shared" si="4"/>
        <v>196834.588002</v>
      </c>
      <c r="F47" s="90">
        <v>7291.5890900000004</v>
      </c>
      <c r="G47" s="112"/>
      <c r="H47" s="112"/>
      <c r="I47" s="121">
        <f t="shared" ref="I47:I52" si="13">+F47+G47+H47</f>
        <v>7291.5890900000004</v>
      </c>
      <c r="J47" s="119">
        <f>E47+I47</f>
        <v>204126.177092</v>
      </c>
      <c r="K47" s="114">
        <v>272366.12599999999</v>
      </c>
      <c r="L47" s="86">
        <f t="shared" si="2"/>
        <v>0.74945508125338611</v>
      </c>
    </row>
    <row r="48" spans="1:12" s="87" customFormat="1" ht="27.75" customHeight="1" x14ac:dyDescent="0.25">
      <c r="A48" s="85" t="s">
        <v>83</v>
      </c>
      <c r="B48" s="90"/>
      <c r="C48" s="90"/>
      <c r="D48" s="90"/>
      <c r="E48" s="90"/>
      <c r="F48" s="90"/>
      <c r="G48" s="90"/>
      <c r="H48" s="90"/>
      <c r="I48" s="96"/>
      <c r="J48" s="120">
        <v>176282.92</v>
      </c>
      <c r="K48" s="90">
        <f>189300</f>
        <v>189300</v>
      </c>
      <c r="L48" s="86">
        <f t="shared" si="2"/>
        <v>0.93123571051241427</v>
      </c>
    </row>
    <row r="49" spans="1:12" ht="4.5" customHeight="1" x14ac:dyDescent="0.25">
      <c r="A49" s="18"/>
      <c r="B49" s="54"/>
      <c r="C49" s="54"/>
      <c r="D49" s="54"/>
      <c r="E49" s="54"/>
      <c r="F49" s="54"/>
      <c r="G49" s="54"/>
      <c r="H49" s="54"/>
      <c r="I49" s="50"/>
      <c r="J49" s="51"/>
      <c r="K49" s="54"/>
      <c r="L49" s="18"/>
    </row>
    <row r="50" spans="1:12" s="8" customFormat="1" ht="31.5" customHeight="1" x14ac:dyDescent="0.25">
      <c r="A50" s="21" t="s">
        <v>84</v>
      </c>
      <c r="B50" s="49">
        <f>B45+B47+B48</f>
        <v>396678.99220199999</v>
      </c>
      <c r="C50" s="49">
        <f t="shared" ref="C50:K50" si="14">C45+C47+C48</f>
        <v>104435.249282</v>
      </c>
      <c r="D50" s="49">
        <f>D45+D47+D48</f>
        <v>256751.93924100001</v>
      </c>
      <c r="E50" s="50">
        <f t="shared" si="14"/>
        <v>757866.18072499998</v>
      </c>
      <c r="F50" s="49">
        <f>F45+F47+F48</f>
        <v>364932.18911500002</v>
      </c>
      <c r="G50" s="49">
        <f t="shared" si="14"/>
        <v>46902.040842000002</v>
      </c>
      <c r="H50" s="49">
        <f t="shared" si="14"/>
        <v>219110.90690600005</v>
      </c>
      <c r="I50" s="50">
        <f t="shared" si="13"/>
        <v>630945.13686299999</v>
      </c>
      <c r="J50" s="51">
        <f>J45+J47+J48</f>
        <v>1565094.237588</v>
      </c>
      <c r="K50" s="49">
        <f t="shared" si="14"/>
        <v>1592989.007735</v>
      </c>
      <c r="L50" s="22">
        <f>J50/K50</f>
        <v>0.98248903789570885</v>
      </c>
    </row>
    <row r="51" spans="1:12" ht="3.75" customHeight="1" x14ac:dyDescent="0.25">
      <c r="A51" s="18"/>
      <c r="B51" s="54"/>
      <c r="C51" s="54"/>
      <c r="D51" s="54"/>
      <c r="E51" s="54"/>
      <c r="F51" s="54"/>
      <c r="G51" s="54"/>
      <c r="H51" s="54"/>
      <c r="I51" s="50"/>
      <c r="J51" s="51"/>
      <c r="K51" s="54"/>
      <c r="L51" s="18"/>
    </row>
    <row r="52" spans="1:12" s="8" customFormat="1" ht="26.25" customHeight="1" x14ac:dyDescent="0.25">
      <c r="A52" s="77" t="s">
        <v>13</v>
      </c>
      <c r="B52" s="49">
        <v>110.175</v>
      </c>
      <c r="C52" s="49">
        <f>392.741815+315.2</f>
        <v>707.94181499999991</v>
      </c>
      <c r="D52" s="81">
        <v>89010.153693999993</v>
      </c>
      <c r="E52" s="81">
        <f>B52+C52+D52</f>
        <v>89828.270508999994</v>
      </c>
      <c r="F52" s="49"/>
      <c r="G52" s="49"/>
      <c r="H52" s="49"/>
      <c r="I52" s="50">
        <f t="shared" si="13"/>
        <v>0</v>
      </c>
      <c r="J52" s="51">
        <f>E52+I52</f>
        <v>89828.270508999994</v>
      </c>
      <c r="K52" s="49">
        <v>89000</v>
      </c>
      <c r="L52" s="22">
        <f t="shared" si="2"/>
        <v>1.009306410213483</v>
      </c>
    </row>
    <row r="53" spans="1:12" ht="5.25" customHeight="1" x14ac:dyDescent="0.25">
      <c r="A53" s="18"/>
      <c r="B53" s="54"/>
      <c r="C53" s="54"/>
      <c r="D53" s="54"/>
      <c r="E53" s="54"/>
      <c r="F53" s="54"/>
      <c r="G53" s="54"/>
      <c r="H53" s="54"/>
      <c r="I53" s="50"/>
      <c r="J53" s="51"/>
      <c r="K53" s="54"/>
      <c r="L53" s="18"/>
    </row>
    <row r="54" spans="1:12" s="111" customFormat="1" ht="24.75" customHeight="1" x14ac:dyDescent="0.25">
      <c r="A54" s="109" t="s">
        <v>41</v>
      </c>
      <c r="B54" s="81"/>
      <c r="C54" s="81"/>
      <c r="D54" s="81"/>
      <c r="E54" s="81"/>
      <c r="F54" s="81"/>
      <c r="G54" s="81"/>
      <c r="H54" s="81"/>
      <c r="I54" s="50"/>
      <c r="J54" s="113">
        <v>6388.7</v>
      </c>
      <c r="K54" s="81">
        <v>16500</v>
      </c>
      <c r="L54" s="110">
        <f>J54/K54</f>
        <v>0.38719393939393937</v>
      </c>
    </row>
    <row r="55" spans="1:12" s="8" customFormat="1" ht="24.75" customHeight="1" x14ac:dyDescent="0.25">
      <c r="A55" s="23" t="s">
        <v>28</v>
      </c>
      <c r="B55" s="57">
        <f>B50+B52+B54</f>
        <v>396789.16720199998</v>
      </c>
      <c r="C55" s="57">
        <f t="shared" ref="C55:K55" si="15">C50+C52+C54</f>
        <v>105143.191097</v>
      </c>
      <c r="D55" s="57">
        <f t="shared" si="15"/>
        <v>345762.09293500002</v>
      </c>
      <c r="E55" s="57">
        <f t="shared" si="15"/>
        <v>847694.45123400004</v>
      </c>
      <c r="F55" s="57">
        <f t="shared" si="15"/>
        <v>364932.18911500002</v>
      </c>
      <c r="G55" s="57">
        <f t="shared" si="15"/>
        <v>46902.040842000002</v>
      </c>
      <c r="H55" s="57">
        <f t="shared" si="15"/>
        <v>219110.90690600005</v>
      </c>
      <c r="I55" s="50">
        <f>+F55+G55+H55</f>
        <v>630945.13686299999</v>
      </c>
      <c r="J55" s="51">
        <f>J50+J52+J54</f>
        <v>1661311.2080969999</v>
      </c>
      <c r="K55" s="57">
        <f t="shared" si="15"/>
        <v>1698489.007735</v>
      </c>
      <c r="L55" s="24">
        <f>J55/K55</f>
        <v>0.97811125095971152</v>
      </c>
    </row>
    <row r="56" spans="1:12" ht="5.25" customHeight="1" x14ac:dyDescent="0.25">
      <c r="A56" s="18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18"/>
    </row>
    <row r="57" spans="1:12" s="27" customFormat="1" ht="22.5" customHeight="1" x14ac:dyDescent="0.25">
      <c r="A57" s="122" t="s">
        <v>53</v>
      </c>
      <c r="B57" s="122"/>
      <c r="C57" s="122"/>
      <c r="D57" s="122"/>
      <c r="E57" s="122"/>
      <c r="F57" s="122"/>
      <c r="G57" s="122"/>
      <c r="H57" s="122"/>
      <c r="I57" s="122"/>
      <c r="J57" s="122"/>
      <c r="K57" s="122"/>
      <c r="L57" s="122"/>
    </row>
    <row r="58" spans="1:12" s="26" customFormat="1" ht="45" customHeight="1" x14ac:dyDescent="0.25">
      <c r="A58" s="25" t="s">
        <v>16</v>
      </c>
      <c r="B58" s="25" t="s">
        <v>111</v>
      </c>
      <c r="C58" s="25" t="s">
        <v>34</v>
      </c>
      <c r="D58" s="25" t="s">
        <v>110</v>
      </c>
      <c r="E58" s="25" t="s">
        <v>35</v>
      </c>
      <c r="F58" s="25" t="s">
        <v>36</v>
      </c>
      <c r="G58" s="25" t="s">
        <v>37</v>
      </c>
      <c r="H58" s="25" t="s">
        <v>38</v>
      </c>
      <c r="I58" s="25" t="s">
        <v>123</v>
      </c>
      <c r="J58" s="25" t="s">
        <v>39</v>
      </c>
      <c r="K58" s="25" t="s">
        <v>40</v>
      </c>
      <c r="L58" s="25" t="s">
        <v>51</v>
      </c>
    </row>
    <row r="59" spans="1:12" ht="26.25" customHeight="1" x14ac:dyDescent="0.25">
      <c r="A59" s="58">
        <v>3112.5</v>
      </c>
      <c r="B59" s="89">
        <f>6637.1+25216.2</f>
        <v>31853.300000000003</v>
      </c>
      <c r="C59" s="58">
        <v>3195.4</v>
      </c>
      <c r="D59" s="89">
        <v>18661</v>
      </c>
      <c r="E59" s="58">
        <v>21947</v>
      </c>
      <c r="F59" s="89">
        <v>0</v>
      </c>
      <c r="G59" s="58">
        <v>69226.600000000006</v>
      </c>
      <c r="H59" s="58">
        <v>10000</v>
      </c>
      <c r="I59" s="58">
        <v>286068.7</v>
      </c>
      <c r="J59" s="59">
        <f>SUM(A59:I59)</f>
        <v>444064.5</v>
      </c>
      <c r="K59" s="59">
        <v>468610</v>
      </c>
      <c r="L59" s="48">
        <f>J59/K59</f>
        <v>0.94762062269264424</v>
      </c>
    </row>
    <row r="60" spans="1:12" ht="4.5" customHeight="1" x14ac:dyDescent="0.25">
      <c r="A60" s="18"/>
      <c r="B60" s="54"/>
      <c r="C60" s="54"/>
      <c r="D60" s="54"/>
      <c r="E60" s="54"/>
      <c r="F60" s="88"/>
      <c r="G60" s="54"/>
      <c r="H60" s="54"/>
      <c r="I60" s="54"/>
      <c r="J60" s="54"/>
      <c r="K60" s="54"/>
      <c r="L60" s="18"/>
    </row>
    <row r="61" spans="1:12" s="8" customFormat="1" ht="30" customHeight="1" x14ac:dyDescent="0.25">
      <c r="A61" s="65" t="s">
        <v>43</v>
      </c>
      <c r="B61" s="66" t="s">
        <v>55</v>
      </c>
      <c r="C61" s="66" t="s">
        <v>55</v>
      </c>
      <c r="D61" s="66" t="s">
        <v>55</v>
      </c>
      <c r="E61" s="66" t="s">
        <v>55</v>
      </c>
      <c r="F61" s="66" t="s">
        <v>55</v>
      </c>
      <c r="G61" s="66" t="s">
        <v>55</v>
      </c>
      <c r="H61" s="66" t="s">
        <v>55</v>
      </c>
      <c r="I61" s="66" t="s">
        <v>55</v>
      </c>
      <c r="J61" s="67">
        <f>J55+J59</f>
        <v>2105375.7080969997</v>
      </c>
      <c r="K61" s="67">
        <f>K55+K59</f>
        <v>2167099.007735</v>
      </c>
      <c r="L61" s="68">
        <f>J61/K61</f>
        <v>0.97151800659882537</v>
      </c>
    </row>
    <row r="62" spans="1:12" x14ac:dyDescent="0.25">
      <c r="J62" s="115"/>
      <c r="K62" s="74"/>
    </row>
    <row r="63" spans="1:12" x14ac:dyDescent="0.25">
      <c r="B63" s="74"/>
      <c r="C63" s="74"/>
      <c r="D63" s="74"/>
      <c r="E63" s="74"/>
      <c r="F63" s="74"/>
      <c r="G63" s="74"/>
      <c r="H63" s="74"/>
      <c r="I63" s="37"/>
      <c r="J63" s="82"/>
      <c r="K63" s="74"/>
      <c r="L63" s="84"/>
    </row>
    <row r="64" spans="1:12" x14ac:dyDescent="0.25">
      <c r="A64" s="71"/>
    </row>
    <row r="65" spans="4:9" x14ac:dyDescent="0.25">
      <c r="F65" s="78"/>
      <c r="H65" s="84"/>
      <c r="I65" s="78"/>
    </row>
    <row r="66" spans="4:9" x14ac:dyDescent="0.25">
      <c r="D66" s="74"/>
      <c r="H66" s="78"/>
    </row>
    <row r="68" spans="4:9" x14ac:dyDescent="0.25">
      <c r="G68" s="74"/>
    </row>
  </sheetData>
  <sheetProtection algorithmName="SHA-512" hashValue="Cc6FFNyZ8lmjaSE3JR/tIRBtljsOW2DfQ7qKmE1ZYg9VXiJxL2or0ZNsrM8Vm57tyJDb25Mv3TelvI0hB4bgmQ==" saltValue="txIzpMfdDhjafcLG/pmWkQ==" spinCount="100000" sheet="1" objects="1" scenarios="1"/>
  <mergeCells count="8">
    <mergeCell ref="A57:L57"/>
    <mergeCell ref="A1:L1"/>
    <mergeCell ref="A2:A3"/>
    <mergeCell ref="B2:E2"/>
    <mergeCell ref="F2:I2"/>
    <mergeCell ref="J2:J3"/>
    <mergeCell ref="K2:K3"/>
    <mergeCell ref="L2:L3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headerFooter>
    <oddHeader>&amp;C&amp;"Arial,Gras"&amp;16TABLEAU D'EXECUTION DE LA LOI DE FINANCES 2020 AU 31 DECEMBRE (CLASSIFICATION ADMINISTRATIVE)
(en millions de FCFA)</oddHeader>
    <oddFooter>&amp;C&amp;"-,Italique"&amp;10&amp;P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50"/>
  <sheetViews>
    <sheetView workbookViewId="0">
      <pane ySplit="3" topLeftCell="A31" activePane="bottomLeft" state="frozen"/>
      <selection pane="bottomLeft" activeCell="K29" sqref="K29"/>
    </sheetView>
  </sheetViews>
  <sheetFormatPr baseColWidth="10" defaultColWidth="11.42578125" defaultRowHeight="15" x14ac:dyDescent="0.25"/>
  <cols>
    <col min="1" max="1" width="39" style="28" customWidth="1"/>
    <col min="2" max="2" width="14" style="28" customWidth="1"/>
    <col min="3" max="3" width="15.140625" style="28" customWidth="1"/>
    <col min="4" max="4" width="11.5703125" style="31" customWidth="1"/>
    <col min="5" max="16384" width="11.42578125" style="28"/>
  </cols>
  <sheetData>
    <row r="2" spans="1:13" ht="29.25" customHeight="1" x14ac:dyDescent="0.25">
      <c r="A2" s="129" t="s">
        <v>124</v>
      </c>
      <c r="B2" s="129"/>
      <c r="C2" s="129"/>
      <c r="D2" s="129"/>
      <c r="E2" s="5"/>
      <c r="F2" s="5"/>
      <c r="G2" s="5"/>
      <c r="H2" s="5"/>
      <c r="I2" s="5"/>
      <c r="J2" s="5"/>
      <c r="K2" s="5"/>
      <c r="L2" s="5"/>
      <c r="M2" s="5"/>
    </row>
    <row r="3" spans="1:13" ht="25.5" x14ac:dyDescent="0.25">
      <c r="A3" s="1" t="s">
        <v>0</v>
      </c>
      <c r="B3" s="2" t="s">
        <v>24</v>
      </c>
      <c r="C3" s="3" t="s">
        <v>25</v>
      </c>
      <c r="D3" s="4" t="s">
        <v>45</v>
      </c>
    </row>
    <row r="4" spans="1:13" x14ac:dyDescent="0.25">
      <c r="A4" s="85" t="s">
        <v>17</v>
      </c>
      <c r="B4" s="52">
        <f>'Détail par administration'!K5</f>
        <v>33747.152000000002</v>
      </c>
      <c r="C4" s="52">
        <f>'Détail par administration'!J5</f>
        <v>24337.132396000001</v>
      </c>
      <c r="D4" s="17">
        <f t="shared" ref="D4:D15" si="0">C4/B4</f>
        <v>0.72116107445155664</v>
      </c>
    </row>
    <row r="5" spans="1:13" ht="24" customHeight="1" x14ac:dyDescent="0.25">
      <c r="A5" s="12" t="s">
        <v>18</v>
      </c>
      <c r="B5" s="52">
        <f>'Détail par administration'!K6</f>
        <v>13956.966</v>
      </c>
      <c r="C5" s="52">
        <f>'Détail par administration'!J6</f>
        <v>13957.379057999999</v>
      </c>
      <c r="D5" s="17">
        <f t="shared" si="0"/>
        <v>1.0000295951140097</v>
      </c>
    </row>
    <row r="6" spans="1:13" ht="24" customHeight="1" x14ac:dyDescent="0.25">
      <c r="A6" s="12" t="s">
        <v>6</v>
      </c>
      <c r="B6" s="52">
        <f>'Détail par administration'!K9</f>
        <v>3097.9519999999998</v>
      </c>
      <c r="C6" s="52">
        <f>'Détail par administration'!J9</f>
        <v>3166.6953729999996</v>
      </c>
      <c r="D6" s="17">
        <f t="shared" si="0"/>
        <v>1.022189941290246</v>
      </c>
    </row>
    <row r="7" spans="1:13" ht="28.5" customHeight="1" x14ac:dyDescent="0.25">
      <c r="A7" s="12" t="s">
        <v>21</v>
      </c>
      <c r="B7" s="52">
        <f>'Détail par administration'!K11</f>
        <v>2043.605</v>
      </c>
      <c r="C7" s="52">
        <f>'Détail par administration'!J11</f>
        <v>1938.9366879999998</v>
      </c>
      <c r="D7" s="17">
        <f t="shared" si="0"/>
        <v>0.94878251325476293</v>
      </c>
    </row>
    <row r="8" spans="1:13" x14ac:dyDescent="0.25">
      <c r="A8" s="12" t="s">
        <v>20</v>
      </c>
      <c r="B8" s="52">
        <f>'Détail par administration'!K10</f>
        <v>1937.2809999999999</v>
      </c>
      <c r="C8" s="52">
        <f>'Détail par administration'!J10</f>
        <v>1702.126964</v>
      </c>
      <c r="D8" s="17">
        <f t="shared" si="0"/>
        <v>0.87861645471152616</v>
      </c>
    </row>
    <row r="9" spans="1:13" x14ac:dyDescent="0.25">
      <c r="A9" s="12" t="s">
        <v>19</v>
      </c>
      <c r="B9" s="52">
        <f>'Détail par administration'!K7</f>
        <v>1699.5450000000001</v>
      </c>
      <c r="C9" s="52">
        <f>'Détail par administration'!J7</f>
        <v>1512.7687370000001</v>
      </c>
      <c r="D9" s="17">
        <f t="shared" si="0"/>
        <v>0.89010219617603537</v>
      </c>
    </row>
    <row r="10" spans="1:13" x14ac:dyDescent="0.25">
      <c r="A10" s="12" t="s">
        <v>23</v>
      </c>
      <c r="B10" s="52">
        <f>'Détail par administration'!K14</f>
        <v>890</v>
      </c>
      <c r="C10" s="52">
        <f>'Détail par administration'!J14</f>
        <v>890</v>
      </c>
      <c r="D10" s="17">
        <f t="shared" si="0"/>
        <v>1</v>
      </c>
    </row>
    <row r="11" spans="1:13" ht="28.5" x14ac:dyDescent="0.25">
      <c r="A11" s="85" t="s">
        <v>89</v>
      </c>
      <c r="B11" s="52">
        <f>'Détail par administration'!K8</f>
        <v>570</v>
      </c>
      <c r="C11" s="52">
        <f>'Détail par administration'!J8</f>
        <v>524.96317199999999</v>
      </c>
      <c r="D11" s="17">
        <f t="shared" si="0"/>
        <v>0.92098802105263156</v>
      </c>
    </row>
    <row r="12" spans="1:13" x14ac:dyDescent="0.25">
      <c r="A12" s="12" t="s">
        <v>22</v>
      </c>
      <c r="B12" s="52">
        <f>'Détail par administration'!K12</f>
        <v>504.4</v>
      </c>
      <c r="C12" s="52">
        <f>'Détail par administration'!J12</f>
        <v>501.97887700000001</v>
      </c>
      <c r="D12" s="17">
        <f t="shared" si="0"/>
        <v>0.9951999940523395</v>
      </c>
    </row>
    <row r="13" spans="1:13" ht="28.5" x14ac:dyDescent="0.25">
      <c r="A13" s="12" t="s">
        <v>85</v>
      </c>
      <c r="B13" s="52">
        <f>'Détail par administration'!K16</f>
        <v>384.96100000000001</v>
      </c>
      <c r="C13" s="52">
        <f>'Détail par administration'!J16</f>
        <v>354.35199999999998</v>
      </c>
      <c r="D13" s="17">
        <f t="shared" si="0"/>
        <v>0.92048804943877427</v>
      </c>
    </row>
    <row r="14" spans="1:13" x14ac:dyDescent="0.25">
      <c r="A14" s="12" t="s">
        <v>7</v>
      </c>
      <c r="B14" s="52">
        <f>'Détail par administration'!K13</f>
        <v>400.548</v>
      </c>
      <c r="C14" s="52">
        <f>'Détail par administration'!J13</f>
        <v>276.59887700000002</v>
      </c>
      <c r="D14" s="17">
        <f t="shared" si="0"/>
        <v>0.69055113744170493</v>
      </c>
    </row>
    <row r="15" spans="1:13" x14ac:dyDescent="0.25">
      <c r="A15" s="85" t="s">
        <v>109</v>
      </c>
      <c r="B15" s="52">
        <f>'Détail par administration'!K15</f>
        <v>100</v>
      </c>
      <c r="C15" s="52">
        <f>'Détail par administration'!J15</f>
        <v>0</v>
      </c>
      <c r="D15" s="17">
        <f t="shared" si="0"/>
        <v>0</v>
      </c>
    </row>
    <row r="16" spans="1:13" x14ac:dyDescent="0.25">
      <c r="A16" s="12"/>
      <c r="B16" s="52"/>
      <c r="C16" s="52"/>
      <c r="D16" s="17"/>
    </row>
    <row r="17" spans="1:4" x14ac:dyDescent="0.25">
      <c r="A17" s="12"/>
      <c r="B17" s="52"/>
      <c r="C17" s="52"/>
      <c r="D17" s="17"/>
    </row>
    <row r="18" spans="1:4" ht="26.25" customHeight="1" x14ac:dyDescent="0.25">
      <c r="A18" s="12" t="s">
        <v>58</v>
      </c>
      <c r="B18" s="52">
        <f>'Détail par administration'!K25</f>
        <v>109984.732</v>
      </c>
      <c r="C18" s="52">
        <f>'Détail par administration'!J25</f>
        <v>200541.75061400002</v>
      </c>
      <c r="D18" s="17">
        <f t="shared" ref="D18:D41" si="1">C18/B18</f>
        <v>1.8233599061186057</v>
      </c>
    </row>
    <row r="19" spans="1:4" ht="28.5" customHeight="1" x14ac:dyDescent="0.25">
      <c r="A19" s="12" t="s">
        <v>2</v>
      </c>
      <c r="B19" s="52">
        <f>'Détail par administration'!K27</f>
        <v>109471.819735</v>
      </c>
      <c r="C19" s="52">
        <f>'Détail par administration'!J27</f>
        <v>142585.78385099999</v>
      </c>
      <c r="D19" s="17">
        <f t="shared" si="1"/>
        <v>1.302488477821593</v>
      </c>
    </row>
    <row r="20" spans="1:4" ht="28.5" customHeight="1" x14ac:dyDescent="0.25">
      <c r="A20" s="12" t="s">
        <v>68</v>
      </c>
      <c r="B20" s="52">
        <f>'Détail par administration'!K39</f>
        <v>118800.488</v>
      </c>
      <c r="C20" s="52">
        <f>'Détail par administration'!J39</f>
        <v>119755.18031599998</v>
      </c>
      <c r="D20" s="17">
        <f t="shared" si="1"/>
        <v>1.008036097595828</v>
      </c>
    </row>
    <row r="21" spans="1:4" ht="29.25" customHeight="1" x14ac:dyDescent="0.25">
      <c r="A21" s="85" t="s">
        <v>61</v>
      </c>
      <c r="B21" s="52">
        <f>'Détail par administration'!K29</f>
        <v>63341.342999999993</v>
      </c>
      <c r="C21" s="52">
        <f>'Détail par administration'!J29</f>
        <v>83485.090515999997</v>
      </c>
      <c r="D21" s="17">
        <f t="shared" si="1"/>
        <v>1.3180189519505452</v>
      </c>
    </row>
    <row r="22" spans="1:4" x14ac:dyDescent="0.25">
      <c r="A22" s="12" t="s">
        <v>69</v>
      </c>
      <c r="B22" s="52">
        <f>'Détail par administration'!K40</f>
        <v>99284.168000000005</v>
      </c>
      <c r="C22" s="52">
        <f>'Détail par administration'!J40</f>
        <v>82071.96835499999</v>
      </c>
      <c r="D22" s="17">
        <f t="shared" si="1"/>
        <v>0.82663701583317883</v>
      </c>
    </row>
    <row r="23" spans="1:4" x14ac:dyDescent="0.25">
      <c r="A23" s="12" t="s">
        <v>64</v>
      </c>
      <c r="B23" s="52">
        <f>'Détail par administration'!K35</f>
        <v>103528.04300000001</v>
      </c>
      <c r="C23" s="52">
        <f>'Détail par administration'!J35</f>
        <v>76546.608603000001</v>
      </c>
      <c r="D23" s="17">
        <f t="shared" si="1"/>
        <v>0.73938042664440196</v>
      </c>
    </row>
    <row r="24" spans="1:4" x14ac:dyDescent="0.25">
      <c r="A24" s="12" t="s">
        <v>60</v>
      </c>
      <c r="B24" s="52">
        <f>'Détail par administration'!K28</f>
        <v>56141.159</v>
      </c>
      <c r="C24" s="52">
        <f>'Détail par administration'!J28</f>
        <v>63788.234948999998</v>
      </c>
      <c r="D24" s="17">
        <f t="shared" si="1"/>
        <v>1.13621157961844</v>
      </c>
    </row>
    <row r="25" spans="1:4" x14ac:dyDescent="0.25">
      <c r="A25" s="12" t="s">
        <v>44</v>
      </c>
      <c r="B25" s="52">
        <f>'Détail par administration'!K33</f>
        <v>57686.066999999995</v>
      </c>
      <c r="C25" s="52">
        <f>'Détail par administration'!J33</f>
        <v>58375.56263</v>
      </c>
      <c r="D25" s="17">
        <f t="shared" si="1"/>
        <v>1.0119525505179614</v>
      </c>
    </row>
    <row r="26" spans="1:4" x14ac:dyDescent="0.25">
      <c r="A26" s="12" t="s">
        <v>56</v>
      </c>
      <c r="B26" s="52">
        <f>'Détail par administration'!K19</f>
        <v>42854.175999999999</v>
      </c>
      <c r="C26" s="52">
        <f>'Détail par administration'!J19</f>
        <v>41846.733508999998</v>
      </c>
      <c r="D26" s="17">
        <f t="shared" si="1"/>
        <v>0.97649138112001033</v>
      </c>
    </row>
    <row r="27" spans="1:4" x14ac:dyDescent="0.25">
      <c r="A27" s="12" t="s">
        <v>66</v>
      </c>
      <c r="B27" s="52">
        <f>'Détail par administration'!K37</f>
        <v>41976.962</v>
      </c>
      <c r="C27" s="52">
        <f>'Détail par administration'!J37</f>
        <v>41724.847987000008</v>
      </c>
      <c r="D27" s="17">
        <f t="shared" si="1"/>
        <v>0.99399399096580665</v>
      </c>
    </row>
    <row r="28" spans="1:4" x14ac:dyDescent="0.25">
      <c r="A28" s="12" t="s">
        <v>70</v>
      </c>
      <c r="B28" s="52">
        <f>'Détail par administration'!K42</f>
        <v>48535.353000000003</v>
      </c>
      <c r="C28" s="52">
        <f>'Détail par administration'!J42</f>
        <v>33010.368114999997</v>
      </c>
      <c r="D28" s="17">
        <f t="shared" si="1"/>
        <v>0.68013038073504883</v>
      </c>
    </row>
    <row r="29" spans="1:4" x14ac:dyDescent="0.25">
      <c r="A29" s="12" t="s">
        <v>57</v>
      </c>
      <c r="B29" s="52">
        <f>'Détail par administration'!K20</f>
        <v>19537.816999999999</v>
      </c>
      <c r="C29" s="52">
        <f>'Détail par administration'!J20</f>
        <v>28369.437921000001</v>
      </c>
      <c r="D29" s="17">
        <f t="shared" si="1"/>
        <v>1.452027005934184</v>
      </c>
    </row>
    <row r="30" spans="1:4" x14ac:dyDescent="0.25">
      <c r="A30" s="12" t="s">
        <v>87</v>
      </c>
      <c r="B30" s="52">
        <f>'Détail par administration'!K30</f>
        <v>30321.444</v>
      </c>
      <c r="C30" s="52">
        <f>'Détail par administration'!J30</f>
        <v>26482.197833000002</v>
      </c>
      <c r="D30" s="17">
        <f t="shared" si="1"/>
        <v>0.87338181628157296</v>
      </c>
    </row>
    <row r="31" spans="1:4" x14ac:dyDescent="0.25">
      <c r="A31" s="12" t="s">
        <v>67</v>
      </c>
      <c r="B31" s="52">
        <f>'Détail par administration'!K38</f>
        <v>44388.349000000002</v>
      </c>
      <c r="C31" s="52">
        <f>'Détail par administration'!J38</f>
        <v>23935.979848000003</v>
      </c>
      <c r="D31" s="17">
        <f t="shared" si="1"/>
        <v>0.53924014718366753</v>
      </c>
    </row>
    <row r="32" spans="1:4" x14ac:dyDescent="0.25">
      <c r="A32" s="12" t="s">
        <v>5</v>
      </c>
      <c r="B32" s="52">
        <f>'Détail par administration'!K41</f>
        <v>24038.41</v>
      </c>
      <c r="C32" s="52">
        <f>'Détail par administration'!J41</f>
        <v>22792.550117999999</v>
      </c>
      <c r="D32" s="17">
        <f t="shared" si="1"/>
        <v>0.94817211778982047</v>
      </c>
    </row>
    <row r="33" spans="1:4" x14ac:dyDescent="0.25">
      <c r="A33" s="12" t="s">
        <v>88</v>
      </c>
      <c r="B33" s="52">
        <f>'Détail par administration'!K31</f>
        <v>21601.591</v>
      </c>
      <c r="C33" s="52">
        <f>'Détail par administration'!J31</f>
        <v>21288.286059999999</v>
      </c>
      <c r="D33" s="17">
        <f t="shared" si="1"/>
        <v>0.98549620997823717</v>
      </c>
    </row>
    <row r="34" spans="1:4" x14ac:dyDescent="0.25">
      <c r="A34" s="12" t="s">
        <v>4</v>
      </c>
      <c r="B34" s="52">
        <f>'Détail par administration'!K21</f>
        <v>17303.261000000002</v>
      </c>
      <c r="C34" s="52">
        <f>'Détail par administration'!J21</f>
        <v>16873.160594999998</v>
      </c>
      <c r="D34" s="17">
        <f t="shared" si="1"/>
        <v>0.97514339031238073</v>
      </c>
    </row>
    <row r="35" spans="1:4" x14ac:dyDescent="0.25">
      <c r="A35" s="12" t="s">
        <v>3</v>
      </c>
      <c r="B35" s="52">
        <f>'Détail par administration'!K22</f>
        <v>19888.179</v>
      </c>
      <c r="C35" s="52">
        <f>'Détail par administration'!J22</f>
        <v>12307.358253</v>
      </c>
      <c r="D35" s="17">
        <f t="shared" si="1"/>
        <v>0.61882780987640951</v>
      </c>
    </row>
    <row r="36" spans="1:4" x14ac:dyDescent="0.25">
      <c r="A36" s="12" t="s">
        <v>62</v>
      </c>
      <c r="B36" s="52">
        <f>'Détail par administration'!K32</f>
        <v>5734.6959999999999</v>
      </c>
      <c r="C36" s="52">
        <f>'Détail par administration'!J32</f>
        <v>11292.244536000002</v>
      </c>
      <c r="D36" s="17">
        <f t="shared" si="1"/>
        <v>1.9691095283865094</v>
      </c>
    </row>
    <row r="37" spans="1:4" x14ac:dyDescent="0.25">
      <c r="A37" s="12" t="s">
        <v>65</v>
      </c>
      <c r="B37" s="52">
        <f>'Détail par administration'!K36</f>
        <v>7455.8899999999994</v>
      </c>
      <c r="C37" s="52">
        <f>'Détail par administration'!J36</f>
        <v>7263.6212049999995</v>
      </c>
      <c r="D37" s="17">
        <f t="shared" si="1"/>
        <v>0.97421249575838698</v>
      </c>
    </row>
    <row r="38" spans="1:4" x14ac:dyDescent="0.25">
      <c r="A38" s="12" t="s">
        <v>108</v>
      </c>
      <c r="B38" s="52">
        <f>'Détail par administration'!K24</f>
        <v>5247.1750000000002</v>
      </c>
      <c r="C38" s="52">
        <f>'Détail par administration'!J24</f>
        <v>5264.375454</v>
      </c>
      <c r="D38" s="17">
        <f t="shared" si="1"/>
        <v>1.0032780408505528</v>
      </c>
    </row>
    <row r="39" spans="1:4" x14ac:dyDescent="0.25">
      <c r="A39" s="85" t="s">
        <v>63</v>
      </c>
      <c r="B39" s="52">
        <f>'Détail par administration'!K34</f>
        <v>5438.1379999999999</v>
      </c>
      <c r="C39" s="52">
        <f>'Détail par administration'!J34</f>
        <v>5145.9409999999998</v>
      </c>
      <c r="D39" s="17">
        <f t="shared" si="1"/>
        <v>0.94626892513577254</v>
      </c>
    </row>
    <row r="40" spans="1:4" x14ac:dyDescent="0.25">
      <c r="A40" s="85" t="s">
        <v>86</v>
      </c>
      <c r="B40" s="52">
        <f>'Détail par administration'!K23</f>
        <v>13134.485999999999</v>
      </c>
      <c r="C40" s="52">
        <f>'Détail par administration'!J23</f>
        <v>5068.703657</v>
      </c>
      <c r="D40" s="17">
        <f t="shared" si="1"/>
        <v>0.38590803302085824</v>
      </c>
    </row>
    <row r="41" spans="1:4" x14ac:dyDescent="0.25">
      <c r="A41" s="85" t="s">
        <v>59</v>
      </c>
      <c r="B41" s="52">
        <f>'Détail par administration'!K26</f>
        <v>3362.7249999999999</v>
      </c>
      <c r="C41" s="52">
        <f>'Détail par administration'!J26</f>
        <v>3313.0463750000004</v>
      </c>
      <c r="D41" s="17">
        <f t="shared" si="1"/>
        <v>0.98522667628188465</v>
      </c>
    </row>
    <row r="42" spans="1:4" x14ac:dyDescent="0.25">
      <c r="A42" s="12"/>
      <c r="B42" s="52"/>
      <c r="C42" s="52"/>
      <c r="D42" s="32"/>
    </row>
    <row r="43" spans="1:4" x14ac:dyDescent="0.25">
      <c r="A43" s="12"/>
      <c r="B43" s="52"/>
      <c r="C43" s="52"/>
      <c r="D43" s="32"/>
    </row>
    <row r="44" spans="1:4" x14ac:dyDescent="0.25">
      <c r="A44" s="12"/>
      <c r="B44" s="52"/>
      <c r="C44" s="52"/>
      <c r="D44" s="32"/>
    </row>
    <row r="45" spans="1:4" s="30" customFormat="1" x14ac:dyDescent="0.25">
      <c r="A45" s="13" t="s">
        <v>14</v>
      </c>
      <c r="B45" s="64">
        <f>SUM(B4:B44)</f>
        <v>1128388.8817350003</v>
      </c>
      <c r="C45" s="64">
        <f>SUM(C4:C44)</f>
        <v>1182291.9644420003</v>
      </c>
      <c r="D45" s="33">
        <f>C45/B45*100</f>
        <v>104.77699519904158</v>
      </c>
    </row>
    <row r="46" spans="1:4" x14ac:dyDescent="0.25">
      <c r="C46" s="29"/>
    </row>
    <row r="47" spans="1:4" x14ac:dyDescent="0.25">
      <c r="C47" s="75"/>
    </row>
    <row r="48" spans="1:4" x14ac:dyDescent="0.25">
      <c r="B48" s="75"/>
      <c r="C48" s="75"/>
    </row>
    <row r="50" spans="2:3" x14ac:dyDescent="0.25">
      <c r="B50" s="75"/>
      <c r="C50" s="75"/>
    </row>
  </sheetData>
  <sortState xmlns:xlrd2="http://schemas.microsoft.com/office/spreadsheetml/2017/richdata2" ref="A18:D41">
    <sortCondition descending="1" ref="C18:C41"/>
  </sortState>
  <mergeCells count="1">
    <mergeCell ref="A2:D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8"/>
  <sheetViews>
    <sheetView zoomScaleNormal="100" workbookViewId="0">
      <selection activeCell="I4" sqref="I4"/>
    </sheetView>
  </sheetViews>
  <sheetFormatPr baseColWidth="10" defaultColWidth="11.42578125" defaultRowHeight="21" customHeight="1" x14ac:dyDescent="0.25"/>
  <cols>
    <col min="1" max="1" width="6.28515625" style="34" customWidth="1"/>
    <col min="2" max="2" width="45.85546875" style="34" customWidth="1"/>
    <col min="3" max="3" width="17" style="34" customWidth="1"/>
    <col min="4" max="4" width="17.140625" style="34" customWidth="1"/>
    <col min="5" max="5" width="11" style="35" customWidth="1"/>
    <col min="6" max="6" width="11.7109375" style="35" customWidth="1"/>
    <col min="7" max="7" width="52.5703125" style="34" customWidth="1"/>
    <col min="8" max="8" width="11.42578125" style="34"/>
    <col min="9" max="10" width="21.7109375" style="44" bestFit="1" customWidth="1"/>
    <col min="11" max="16384" width="11.42578125" style="34"/>
  </cols>
  <sheetData>
    <row r="1" spans="1:13" ht="8.25" customHeight="1" x14ac:dyDescent="0.25">
      <c r="A1" s="131"/>
      <c r="B1" s="131"/>
    </row>
    <row r="2" spans="1:13" s="36" customFormat="1" ht="35.25" customHeight="1" x14ac:dyDescent="0.25">
      <c r="A2" s="41" t="s">
        <v>47</v>
      </c>
      <c r="B2" s="41" t="s">
        <v>48</v>
      </c>
      <c r="C2" s="41" t="s">
        <v>24</v>
      </c>
      <c r="D2" s="41" t="s">
        <v>25</v>
      </c>
      <c r="E2" s="41" t="s">
        <v>46</v>
      </c>
      <c r="F2" s="41" t="s">
        <v>52</v>
      </c>
      <c r="G2" s="41" t="s">
        <v>49</v>
      </c>
      <c r="I2" s="45"/>
      <c r="J2" s="45"/>
    </row>
    <row r="3" spans="1:13" ht="60.75" customHeight="1" x14ac:dyDescent="0.25">
      <c r="A3" s="43" t="s">
        <v>113</v>
      </c>
      <c r="B3" s="42" t="s">
        <v>90</v>
      </c>
      <c r="C3" s="60">
        <f>'Détail par administration'!K38+'Détail par administration'!K22+'Détail par administration'!K41+'Détail par administration'!K36+'Détail par administration'!K4+'Détail par administration'!K47+'Détail par administration'!K48</f>
        <v>616769.36400000006</v>
      </c>
      <c r="D3" s="60">
        <f>'Détail par administration'!J38+'Détail par administration'!J22+'Détail par administration'!J41+'Détail par administration'!J36+SUM('Détail par administration'!J5:J16)+'Détail par administration'!E47+'Détail par administration'!J48</f>
        <v>488579.94956800004</v>
      </c>
      <c r="E3" s="38">
        <f>D3/C3</f>
        <v>0.79215988680008431</v>
      </c>
      <c r="F3" s="38">
        <f t="shared" ref="F3:F12" si="0">D3/$D$14</f>
        <v>0.29409297491559</v>
      </c>
      <c r="G3" s="63" t="s">
        <v>112</v>
      </c>
    </row>
    <row r="4" spans="1:13" ht="32.25" customHeight="1" x14ac:dyDescent="0.25">
      <c r="A4" s="43" t="s">
        <v>116</v>
      </c>
      <c r="B4" s="42" t="s">
        <v>93</v>
      </c>
      <c r="C4" s="60">
        <f>'Détail par administration'!K20+'Détail par administration'!K29+'Détail par administration'!K24+'Détail par administration'!K35+'Détail par administration'!K26+'Détail par administration'!K34+'Détail par administration'!K28+'Détail par administration'!K23+'Détail par administration'!K43+C20</f>
        <v>274664.886</v>
      </c>
      <c r="D4" s="60">
        <f>'Détail par administration'!J20+'Détail par administration'!J29+'Détail par administration'!J24+'Détail par administration'!J35+'Détail par administration'!J26+'Détail par administration'!J34+'Détail par administration'!J28+'Détail par administration'!J23+'Détail par administration'!J43+'Détail par administration'!I47+D20</f>
        <v>282246.353619</v>
      </c>
      <c r="E4" s="38">
        <f t="shared" ref="E4:E12" si="1">D4/C4</f>
        <v>1.0276026095996851</v>
      </c>
      <c r="F4" s="38">
        <f t="shared" si="0"/>
        <v>0.16989372950790016</v>
      </c>
      <c r="G4" s="63" t="s">
        <v>107</v>
      </c>
    </row>
    <row r="5" spans="1:13" ht="27.75" customHeight="1" x14ac:dyDescent="0.25">
      <c r="A5" s="43" t="s">
        <v>121</v>
      </c>
      <c r="B5" s="42" t="s">
        <v>97</v>
      </c>
      <c r="C5" s="60">
        <f>'Détail par administration'!K39+'Détail par administration'!K40+'Détail par administration'!K33+'Regroupement par fonction'!C19</f>
        <v>278770.723</v>
      </c>
      <c r="D5" s="60">
        <f>'Détail par administration'!J39+'Détail par administration'!J40+'Détail par administration'!J33+D19</f>
        <v>261164.72130099998</v>
      </c>
      <c r="E5" s="38">
        <f t="shared" si="1"/>
        <v>0.93684415095842033</v>
      </c>
      <c r="F5" s="38">
        <f t="shared" si="0"/>
        <v>0.15720397428982533</v>
      </c>
      <c r="G5" s="60" t="s">
        <v>105</v>
      </c>
    </row>
    <row r="6" spans="1:13" ht="36.75" customHeight="1" x14ac:dyDescent="0.25">
      <c r="A6" s="43" t="s">
        <v>117</v>
      </c>
      <c r="B6" s="42" t="s">
        <v>94</v>
      </c>
      <c r="C6" s="60">
        <f>'Détail par administration'!K25</f>
        <v>109984.732</v>
      </c>
      <c r="D6" s="104">
        <f>'Détail par administration'!J25</f>
        <v>200541.75061400002</v>
      </c>
      <c r="E6" s="38">
        <f t="shared" si="1"/>
        <v>1.8233599061186057</v>
      </c>
      <c r="F6" s="38">
        <f t="shared" si="0"/>
        <v>0.12071293569250967</v>
      </c>
      <c r="G6" s="63" t="s">
        <v>101</v>
      </c>
    </row>
    <row r="7" spans="1:13" ht="31.5" customHeight="1" x14ac:dyDescent="0.25">
      <c r="A7" s="43" t="s">
        <v>119</v>
      </c>
      <c r="B7" s="42" t="s">
        <v>2</v>
      </c>
      <c r="C7" s="60">
        <f>'Détail par administration'!K27</f>
        <v>109471.819735</v>
      </c>
      <c r="D7" s="104">
        <f>'Détail par administration'!J27</f>
        <v>142585.78385099999</v>
      </c>
      <c r="E7" s="38">
        <f t="shared" si="1"/>
        <v>1.302488477821593</v>
      </c>
      <c r="F7" s="38">
        <f t="shared" si="0"/>
        <v>8.582725793493827E-2</v>
      </c>
      <c r="G7" s="60" t="s">
        <v>103</v>
      </c>
    </row>
    <row r="8" spans="1:13" ht="31.5" customHeight="1" x14ac:dyDescent="0.25">
      <c r="A8" s="43" t="s">
        <v>122</v>
      </c>
      <c r="B8" s="42" t="s">
        <v>98</v>
      </c>
      <c r="C8" s="105">
        <f>'Détail par administration'!K32+'Détail par administration'!K52</f>
        <v>94734.695999999996</v>
      </c>
      <c r="D8" s="102">
        <f>'Détail par administration'!J32+'Détail par administration'!J52</f>
        <v>101120.51504499999</v>
      </c>
      <c r="E8" s="38">
        <f t="shared" si="1"/>
        <v>1.0674073946994034</v>
      </c>
      <c r="F8" s="38">
        <f t="shared" si="0"/>
        <v>6.0867895051517462E-2</v>
      </c>
      <c r="G8" s="63" t="s">
        <v>106</v>
      </c>
    </row>
    <row r="9" spans="1:13" ht="31.5" customHeight="1" x14ac:dyDescent="0.25">
      <c r="A9" s="43" t="s">
        <v>115</v>
      </c>
      <c r="B9" s="42" t="s">
        <v>92</v>
      </c>
      <c r="C9" s="60">
        <f>'Détail par administration'!K21+'Détail par administration'!K37+'Regroupement par fonction'!C23</f>
        <v>60780.222999999998</v>
      </c>
      <c r="D9" s="104">
        <f>'Détail par administration'!J21+'Détail par administration'!J37+D23</f>
        <v>59133.328582000009</v>
      </c>
      <c r="E9" s="38">
        <f t="shared" si="1"/>
        <v>0.9729041070152048</v>
      </c>
      <c r="F9" s="38">
        <f t="shared" si="0"/>
        <v>3.5594372087348725E-2</v>
      </c>
      <c r="G9" s="63" t="s">
        <v>100</v>
      </c>
    </row>
    <row r="10" spans="1:13" ht="31.5" customHeight="1" x14ac:dyDescent="0.25">
      <c r="A10" s="43" t="s">
        <v>120</v>
      </c>
      <c r="B10" s="42" t="s">
        <v>96</v>
      </c>
      <c r="C10" s="60">
        <f>'Détail par administration'!K30+'Détail par administration'!K31</f>
        <v>51923.035000000003</v>
      </c>
      <c r="D10" s="104">
        <f>'Détail par administration'!J30+'Détail par administration'!J31</f>
        <v>47770.483892999997</v>
      </c>
      <c r="E10" s="38">
        <f t="shared" si="1"/>
        <v>0.92002487707045622</v>
      </c>
      <c r="F10" s="38">
        <f t="shared" si="0"/>
        <v>2.875468740309885E-2</v>
      </c>
      <c r="G10" s="60" t="s">
        <v>104</v>
      </c>
    </row>
    <row r="11" spans="1:13" ht="31.5" customHeight="1" x14ac:dyDescent="0.25">
      <c r="A11" s="43" t="s">
        <v>114</v>
      </c>
      <c r="B11" s="42" t="s">
        <v>91</v>
      </c>
      <c r="C11" s="60">
        <f>'Détail par administration'!K19+'Regroupement par fonction'!C18</f>
        <v>52854.175999999999</v>
      </c>
      <c r="D11" s="60">
        <f>'Détail par administration'!J19+D18</f>
        <v>45157.933508999995</v>
      </c>
      <c r="E11" s="38">
        <f t="shared" si="1"/>
        <v>0.85438723912751935</v>
      </c>
      <c r="F11" s="38">
        <f t="shared" si="0"/>
        <v>2.7182104010704661E-2</v>
      </c>
      <c r="G11" s="63" t="s">
        <v>99</v>
      </c>
    </row>
    <row r="12" spans="1:13" ht="23.25" customHeight="1" x14ac:dyDescent="0.25">
      <c r="A12" s="43" t="s">
        <v>118</v>
      </c>
      <c r="B12" s="42" t="s">
        <v>95</v>
      </c>
      <c r="C12" s="101">
        <f>+'Détail par administration'!K42</f>
        <v>48535.353000000003</v>
      </c>
      <c r="D12" s="101">
        <f>'Détail par administration'!J42</f>
        <v>33010.368114999997</v>
      </c>
      <c r="E12" s="38">
        <f t="shared" si="1"/>
        <v>0.68013038073504883</v>
      </c>
      <c r="F12" s="38">
        <f t="shared" si="0"/>
        <v>1.9870069106566805E-2</v>
      </c>
      <c r="G12" s="60" t="s">
        <v>102</v>
      </c>
    </row>
    <row r="13" spans="1:13" ht="5.25" customHeight="1" x14ac:dyDescent="0.25">
      <c r="A13" s="39"/>
      <c r="B13" s="39"/>
      <c r="C13" s="39"/>
      <c r="D13" s="39"/>
      <c r="E13" s="39"/>
      <c r="F13" s="39"/>
      <c r="G13" s="39"/>
      <c r="H13" s="40"/>
      <c r="I13" s="47"/>
      <c r="J13" s="47"/>
      <c r="K13" s="40"/>
      <c r="L13" s="40"/>
      <c r="M13" s="40"/>
    </row>
    <row r="14" spans="1:13" s="37" customFormat="1" ht="36.75" customHeight="1" x14ac:dyDescent="0.25">
      <c r="A14" s="130" t="s">
        <v>50</v>
      </c>
      <c r="B14" s="130"/>
      <c r="C14" s="61">
        <f>SUM(C3:C12)</f>
        <v>1698489.007735</v>
      </c>
      <c r="D14" s="61">
        <f>SUM(D3:D12)</f>
        <v>1661311.1880970001</v>
      </c>
      <c r="E14" s="62">
        <f>D14/C14</f>
        <v>0.97811123918453968</v>
      </c>
      <c r="F14" s="70">
        <f>SUM(F3:F12)</f>
        <v>0.99999999999999989</v>
      </c>
      <c r="G14" s="61"/>
      <c r="I14" s="46"/>
      <c r="J14" s="46"/>
    </row>
    <row r="16" spans="1:13" ht="21" customHeight="1" x14ac:dyDescent="0.25">
      <c r="C16" s="69">
        <f>'Détail par administration'!K55-'Regroupement par fonction'!C14</f>
        <v>0</v>
      </c>
      <c r="D16" s="69">
        <f>'Détail par administration'!J55-'Regroupement par fonction'!D14</f>
        <v>1.9999999785795808E-2</v>
      </c>
      <c r="G16" s="69"/>
    </row>
    <row r="17" spans="1:11" ht="35.25" customHeight="1" x14ac:dyDescent="0.25">
      <c r="A17" s="35"/>
      <c r="B17" s="37" t="s">
        <v>74</v>
      </c>
      <c r="C17" s="37" t="s">
        <v>75</v>
      </c>
      <c r="D17" s="40" t="s">
        <v>125</v>
      </c>
      <c r="F17" s="34"/>
    </row>
    <row r="18" spans="1:11" ht="21" customHeight="1" x14ac:dyDescent="0.25">
      <c r="A18" s="35">
        <v>4</v>
      </c>
      <c r="B18" s="34" t="s">
        <v>76</v>
      </c>
      <c r="C18" s="44">
        <v>10000</v>
      </c>
      <c r="D18" s="83">
        <v>3311.2</v>
      </c>
      <c r="F18" s="34"/>
      <c r="G18" s="72"/>
    </row>
    <row r="19" spans="1:11" ht="21" customHeight="1" x14ac:dyDescent="0.25">
      <c r="A19" s="35">
        <v>3</v>
      </c>
      <c r="B19" s="34" t="s">
        <v>72</v>
      </c>
      <c r="C19" s="44">
        <v>3000</v>
      </c>
      <c r="D19" s="83">
        <v>962.01</v>
      </c>
      <c r="F19" s="34"/>
      <c r="I19" s="34"/>
      <c r="J19" s="34"/>
    </row>
    <row r="20" spans="1:11" ht="21" customHeight="1" x14ac:dyDescent="0.25">
      <c r="A20" s="35">
        <v>2</v>
      </c>
      <c r="B20" s="34" t="s">
        <v>77</v>
      </c>
      <c r="C20" s="44">
        <v>2000</v>
      </c>
      <c r="D20" s="83">
        <v>1580.15</v>
      </c>
      <c r="F20" s="34"/>
      <c r="I20" s="34"/>
      <c r="J20" s="34"/>
    </row>
    <row r="21" spans="1:11" ht="21" customHeight="1" x14ac:dyDescent="0.25">
      <c r="A21" s="35">
        <v>6</v>
      </c>
      <c r="B21" s="34" t="s">
        <v>78</v>
      </c>
      <c r="C21" s="44">
        <v>0</v>
      </c>
      <c r="D21" s="83"/>
      <c r="F21" s="34"/>
      <c r="I21" s="34"/>
      <c r="J21" s="34"/>
    </row>
    <row r="22" spans="1:11" ht="21" customHeight="1" x14ac:dyDescent="0.25">
      <c r="A22" s="35">
        <v>1</v>
      </c>
      <c r="B22" s="34" t="s">
        <v>79</v>
      </c>
      <c r="C22" s="44"/>
      <c r="D22" s="83"/>
      <c r="F22" s="34"/>
      <c r="I22" s="34"/>
      <c r="J22" s="34"/>
    </row>
    <row r="23" spans="1:11" ht="21" customHeight="1" x14ac:dyDescent="0.25">
      <c r="A23" s="35">
        <v>6</v>
      </c>
      <c r="B23" s="34" t="s">
        <v>80</v>
      </c>
      <c r="C23" s="44">
        <v>1500</v>
      </c>
      <c r="D23" s="83">
        <v>535.32000000000005</v>
      </c>
      <c r="F23" s="34"/>
      <c r="I23" s="34"/>
      <c r="J23" s="34"/>
    </row>
    <row r="24" spans="1:11" s="37" customFormat="1" ht="21" customHeight="1" x14ac:dyDescent="0.25">
      <c r="B24" s="37" t="s">
        <v>81</v>
      </c>
      <c r="C24" s="46">
        <f>SUM(C18:C23)</f>
        <v>16500</v>
      </c>
      <c r="D24" s="76">
        <f>SUM(D18:D23)</f>
        <v>6388.68</v>
      </c>
      <c r="E24" s="73"/>
      <c r="F24" s="34"/>
      <c r="G24" s="34"/>
      <c r="H24" s="34"/>
      <c r="I24" s="34"/>
      <c r="J24" s="34"/>
      <c r="K24" s="34"/>
    </row>
    <row r="25" spans="1:11" ht="21" customHeight="1" x14ac:dyDescent="0.25">
      <c r="C25" s="44"/>
      <c r="F25" s="34"/>
      <c r="I25" s="34"/>
      <c r="J25" s="34"/>
    </row>
    <row r="26" spans="1:11" ht="21" customHeight="1" x14ac:dyDescent="0.25">
      <c r="I26" s="34"/>
      <c r="J26" s="34"/>
    </row>
    <row r="27" spans="1:11" ht="21" customHeight="1" x14ac:dyDescent="0.25">
      <c r="I27" s="34"/>
      <c r="J27" s="34"/>
    </row>
    <row r="28" spans="1:11" ht="21" customHeight="1" x14ac:dyDescent="0.25">
      <c r="I28" s="34"/>
      <c r="J28" s="34"/>
    </row>
  </sheetData>
  <sheetProtection algorithmName="SHA-512" hashValue="zdEaBmnZ/MJkz+WvO/Cw0c8b/8vOGZFDCuHOamZN5kQNpgK2Wfdb/4WjF8ETwwBwVCHPpZxCP+AmBbFkkwtsnQ==" saltValue="v5UW8dMt3RsWQdTqJhEJvQ==" spinCount="100000" sheet="1" objects="1" scenarios="1"/>
  <sortState xmlns:xlrd2="http://schemas.microsoft.com/office/spreadsheetml/2017/richdata2" ref="A3:G12">
    <sortCondition descending="1" ref="D3:D12"/>
  </sortState>
  <mergeCells count="2">
    <mergeCell ref="A14:B14"/>
    <mergeCell ref="A1:B1"/>
  </mergeCells>
  <phoneticPr fontId="25" type="noConversion"/>
  <pageMargins left="0.70866141732283472" right="0.70866141732283472" top="0.74803149606299213" bottom="0.74803149606299213" header="0.31496062992125984" footer="0.31496062992125984"/>
  <pageSetup paperSize="9" scale="75" fitToHeight="0" orientation="landscape" r:id="rId1"/>
  <headerFooter>
    <oddHeader>&amp;C&amp;"Arial,Gras"&amp;14EXECUTION LOI DE FINANCES 2018 au 31 DECEMBRE PAR FONCTION &amp;"-,Normal"&amp;11
&amp;"Arial,Italique"&amp;12(en millions de FCFA)</oddHeader>
    <oddFooter>&amp;R&amp;P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abSelected="1" topLeftCell="A19" workbookViewId="0">
      <selection activeCell="T66" sqref="T66"/>
    </sheetView>
  </sheetViews>
  <sheetFormatPr baseColWidth="10" defaultRowHeight="15" x14ac:dyDescent="0.25"/>
  <sheetData/>
  <sheetProtection algorithmName="SHA-512" hashValue="Y5Q0EYMYN80HYklR0ztE4Cp8WLv6ryLZvshmkZYCZysGOFk69FUOQaumR8vE5zePIR8eK+v48zrcFFwc1q2JFA==" saltValue="AUw4Ux/9iv6dBLYU4nETgA==" spinCount="100000" sheet="1" objects="1" scenarios="1"/>
  <pageMargins left="0.70866141732283472" right="0.70866141732283472" top="0.74803149606299213" bottom="0.74803149606299213" header="0.31496062992125984" footer="0.31496062992125984"/>
  <pageSetup paperSize="9" scale="95" orientation="landscape" r:id="rId1"/>
  <rowBreaks count="1" manualBreakCount="1">
    <brk id="49" max="16383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738D555A62F6499DC99B39A17545CE" ma:contentTypeVersion="17" ma:contentTypeDescription="Create a new document." ma:contentTypeScope="" ma:versionID="51ef2a954b69d86734c14b4cd506bcfe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af103c883d2af257059248ef15c4ccfb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C38E0B44-EC7C-48E9-8430-BD9CBE8580EF}"/>
</file>

<file path=customXml/itemProps2.xml><?xml version="1.0" encoding="utf-8"?>
<ds:datastoreItem xmlns:ds="http://schemas.openxmlformats.org/officeDocument/2006/customXml" ds:itemID="{4B7A9589-2EC8-453E-8DEF-948FB6FC8016}"/>
</file>

<file path=customXml/itemProps3.xml><?xml version="1.0" encoding="utf-8"?>
<ds:datastoreItem xmlns:ds="http://schemas.openxmlformats.org/officeDocument/2006/customXml" ds:itemID="{6D24F6C5-5558-43E9-820F-9534D842DD6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4</vt:i4>
      </vt:variant>
    </vt:vector>
  </HeadingPairs>
  <TitlesOfParts>
    <vt:vector size="8" baseType="lpstr">
      <vt:lpstr>Détail par administration</vt:lpstr>
      <vt:lpstr>Récap par administration</vt:lpstr>
      <vt:lpstr>Regroupement par fonction</vt:lpstr>
      <vt:lpstr>Graphes</vt:lpstr>
      <vt:lpstr>'Détail par administration'!Impression_des_titres</vt:lpstr>
      <vt:lpstr>'Regroupement par fonction'!Impression_des_titres</vt:lpstr>
      <vt:lpstr>'Détail par administration'!Zone_d_impression</vt:lpstr>
      <vt:lpstr>'Regroupement par fonction'!Zone_d_impression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2021-03-31T16:20:08Z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