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.ismailov\Desktop\Новая папка (2)\Бюдж2020  ЖК\Бюдж2020  ЖК\Бюджет на 2020 (на официальном языке)\"/>
    </mc:Choice>
  </mc:AlternateContent>
  <bookViews>
    <workbookView xWindow="0" yWindow="0" windowWidth="28800" windowHeight="11745"/>
  </bookViews>
  <sheets>
    <sheet name="Русский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Titles" localSheetId="0">Русский!$4:$6</definedName>
    <definedName name="_xlnm.Print_Area" localSheetId="0">Русский!$A$1:$P$163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G130" i="1"/>
  <c r="G124" i="1"/>
  <c r="G93" i="1"/>
  <c r="G74" i="1"/>
  <c r="G33" i="1"/>
  <c r="G38" i="1"/>
  <c r="G48" i="1"/>
  <c r="G40" i="1"/>
  <c r="G26" i="1"/>
  <c r="G90" i="1"/>
  <c r="G87" i="1"/>
  <c r="G68" i="1"/>
  <c r="G67" i="1"/>
  <c r="G52" i="1"/>
  <c r="G8" i="1"/>
  <c r="G24" i="1"/>
  <c r="H162" i="1" l="1"/>
  <c r="E30" i="1" l="1"/>
  <c r="F30" i="1"/>
  <c r="H90" i="1"/>
  <c r="I90" i="1" s="1"/>
  <c r="H87" i="1"/>
  <c r="I87" i="1" s="1"/>
  <c r="H85" i="1"/>
  <c r="I85" i="1" s="1"/>
  <c r="G85" i="1"/>
  <c r="H82" i="1"/>
  <c r="I82" i="1" s="1"/>
  <c r="F80" i="1"/>
  <c r="E80" i="1"/>
  <c r="H79" i="1"/>
  <c r="I79" i="1" s="1"/>
  <c r="H78" i="1"/>
  <c r="I78" i="1" s="1"/>
  <c r="H76" i="1"/>
  <c r="I76" i="1" s="1"/>
  <c r="H74" i="1"/>
  <c r="I74" i="1" s="1"/>
  <c r="H73" i="1"/>
  <c r="I73" i="1" s="1"/>
  <c r="H71" i="1"/>
  <c r="I71" i="1" s="1"/>
  <c r="F71" i="1"/>
  <c r="F54" i="1" s="1"/>
  <c r="I70" i="1"/>
  <c r="H70" i="1"/>
  <c r="G70" i="1"/>
  <c r="H68" i="1"/>
  <c r="I68" i="1" s="1"/>
  <c r="H67" i="1"/>
  <c r="I67" i="1" s="1"/>
  <c r="H65" i="1"/>
  <c r="I65" i="1" s="1"/>
  <c r="H63" i="1"/>
  <c r="I63" i="1" s="1"/>
  <c r="H62" i="1"/>
  <c r="I62" i="1" s="1"/>
  <c r="G62" i="1"/>
  <c r="H58" i="1"/>
  <c r="I58" i="1" s="1"/>
  <c r="G58" i="1"/>
  <c r="E54" i="1"/>
  <c r="H53" i="1"/>
  <c r="I53" i="1" s="1"/>
  <c r="G53" i="1"/>
  <c r="H52" i="1"/>
  <c r="I52" i="1" s="1"/>
  <c r="H51" i="1"/>
  <c r="I51" i="1" s="1"/>
  <c r="H48" i="1"/>
  <c r="I48" i="1" s="1"/>
  <c r="H40" i="1"/>
  <c r="I40" i="1" s="1"/>
  <c r="H38" i="1"/>
  <c r="I38" i="1" s="1"/>
  <c r="H33" i="1"/>
  <c r="I33" i="1" s="1"/>
  <c r="I30" i="1" s="1"/>
  <c r="H26" i="1"/>
  <c r="I26" i="1" s="1"/>
  <c r="H25" i="1"/>
  <c r="I25" i="1" s="1"/>
  <c r="H22" i="1"/>
  <c r="I22" i="1" s="1"/>
  <c r="H20" i="1"/>
  <c r="I20" i="1" s="1"/>
  <c r="H19" i="1"/>
  <c r="I19" i="1" s="1"/>
  <c r="H18" i="1"/>
  <c r="I18" i="1" s="1"/>
  <c r="H16" i="1"/>
  <c r="I16" i="1" s="1"/>
  <c r="H15" i="1"/>
  <c r="I15" i="1" s="1"/>
  <c r="H13" i="1"/>
  <c r="I13" i="1" s="1"/>
  <c r="I12" i="1"/>
  <c r="H12" i="1"/>
  <c r="F8" i="1"/>
  <c r="E8" i="1"/>
  <c r="G30" i="1" l="1"/>
  <c r="G54" i="1"/>
  <c r="H30" i="1"/>
  <c r="I80" i="1"/>
  <c r="G80" i="1"/>
  <c r="F93" i="1"/>
  <c r="E93" i="1"/>
  <c r="I8" i="1"/>
  <c r="I54" i="1"/>
  <c r="H8" i="1"/>
  <c r="H54" i="1"/>
  <c r="H80" i="1"/>
  <c r="H117" i="1"/>
  <c r="I95" i="1"/>
  <c r="G95" i="1"/>
  <c r="F162" i="1"/>
  <c r="E162" i="1"/>
  <c r="I161" i="1"/>
  <c r="H161" i="1"/>
  <c r="F159" i="1"/>
  <c r="E159" i="1"/>
  <c r="E153" i="1"/>
  <c r="E151" i="1" s="1"/>
  <c r="I151" i="1"/>
  <c r="H151" i="1"/>
  <c r="G151" i="1"/>
  <c r="F151" i="1"/>
  <c r="E148" i="1"/>
  <c r="E144" i="1" s="1"/>
  <c r="I144" i="1"/>
  <c r="H144" i="1"/>
  <c r="G144" i="1"/>
  <c r="F144" i="1"/>
  <c r="I117" i="1"/>
  <c r="G117" i="1"/>
  <c r="F117" i="1"/>
  <c r="E117" i="1"/>
  <c r="F116" i="1"/>
  <c r="E116" i="1"/>
  <c r="F115" i="1"/>
  <c r="E115" i="1"/>
  <c r="F113" i="1"/>
  <c r="E113" i="1"/>
  <c r="F109" i="1"/>
  <c r="E109" i="1"/>
  <c r="F108" i="1"/>
  <c r="E108" i="1"/>
  <c r="F105" i="1"/>
  <c r="E105" i="1"/>
  <c r="I102" i="1"/>
  <c r="H102" i="1"/>
  <c r="G102" i="1"/>
  <c r="H95" i="1"/>
  <c r="F95" i="1"/>
  <c r="E95" i="1"/>
  <c r="H155" i="1" l="1"/>
  <c r="H163" i="1" s="1"/>
  <c r="E155" i="1"/>
  <c r="I155" i="1"/>
  <c r="I163" i="1" s="1"/>
  <c r="G155" i="1"/>
  <c r="G163" i="1" s="1"/>
  <c r="H93" i="1"/>
  <c r="I93" i="1"/>
  <c r="F102" i="1"/>
  <c r="E102" i="1"/>
  <c r="F155" i="1"/>
  <c r="E163" i="1" l="1"/>
  <c r="F163" i="1"/>
</calcChain>
</file>

<file path=xl/sharedStrings.xml><?xml version="1.0" encoding="utf-8"?>
<sst xmlns="http://schemas.openxmlformats.org/spreadsheetml/2006/main" count="536" uniqueCount="312">
  <si>
    <t xml:space="preserve">Планирование, управление и администрирование                                                                                                        </t>
  </si>
  <si>
    <t>Оценка деятельности министерства</t>
  </si>
  <si>
    <t>сумма          балла</t>
  </si>
  <si>
    <t>Индекс доверия населения</t>
  </si>
  <si>
    <t>коэфф</t>
  </si>
  <si>
    <t>01</t>
  </si>
  <si>
    <t>Управление и координация  развития транспортной, дорожной отрасли и гражданской авиации (Руководсво)</t>
  </si>
  <si>
    <t>Разработка и вступление в силу стратегии развития отрасли</t>
  </si>
  <si>
    <t>ед.</t>
  </si>
  <si>
    <t>02</t>
  </si>
  <si>
    <t>Улучшение качества предоставления государственных услуг в секторе транспорта   и дорог через разработку НПА</t>
  </si>
  <si>
    <t>Принятые нормативы НПА и стандарты по регулированию транспорта и дорог</t>
  </si>
  <si>
    <t>ед</t>
  </si>
  <si>
    <t>03</t>
  </si>
  <si>
    <t xml:space="preserve">Планирование финансовых ресурсов, необходимых для поддержания и развития транспортной, дорожной отрасли и гражданской авиации </t>
  </si>
  <si>
    <t>Степень выполнения отраслевых программ</t>
  </si>
  <si>
    <t>%</t>
  </si>
  <si>
    <t>Приведение внутренней сети дорог к рабочим стандартам</t>
  </si>
  <si>
    <t>доля дорог, соответствующих нормативным требованиям</t>
  </si>
  <si>
    <t xml:space="preserve">Цель программы: Содержание инфраструктуры внутренней сети дорог в должном состоянии в соответствии со стандартами </t>
  </si>
  <si>
    <t xml:space="preserve">протяженность дорог, соответствующих нормативным требованияям </t>
  </si>
  <si>
    <t>км</t>
  </si>
  <si>
    <t xml:space="preserve">Подготовка проектно - изыскательских работ и экспертизы для ремонтных работ </t>
  </si>
  <si>
    <t>Отремонтированные дороги к плану</t>
  </si>
  <si>
    <t>шт/%</t>
  </si>
  <si>
    <t>10/100</t>
  </si>
  <si>
    <t>17/100</t>
  </si>
  <si>
    <t>18/100</t>
  </si>
  <si>
    <t>21/100</t>
  </si>
  <si>
    <t>Капитальный ремонт (строительство мостов и дорог)</t>
  </si>
  <si>
    <t>шт/м/%</t>
  </si>
  <si>
    <t>6/75/100</t>
  </si>
  <si>
    <t>5/80/100</t>
  </si>
  <si>
    <t>7/90/100</t>
  </si>
  <si>
    <t>Средний  ремонт (асфальтобетонные покрытия, ШПО, черногравийные покрытия, гравийные покрытия)</t>
  </si>
  <si>
    <t>км,%</t>
  </si>
  <si>
    <t>307,7/100</t>
  </si>
  <si>
    <t>444,1/100</t>
  </si>
  <si>
    <t>04</t>
  </si>
  <si>
    <t>Текущий ремонт (ямочный ремонт, профилировка, планировка и т.д.)</t>
  </si>
  <si>
    <t>тыс м2,%</t>
  </si>
  <si>
    <t>05</t>
  </si>
  <si>
    <t>Зимнее и летнее содержание автомобильных дорог</t>
  </si>
  <si>
    <t>Доля обслуженных и плановых участков дорог</t>
  </si>
  <si>
    <t>количество жалоб по содержанию дорог</t>
  </si>
  <si>
    <t>шт</t>
  </si>
  <si>
    <t>06</t>
  </si>
  <si>
    <t>Разметка проезжей части, установка дорожных знаков и светофоров.</t>
  </si>
  <si>
    <t>Количество установленных дорожных знаков</t>
  </si>
  <si>
    <t>Доля установленных светофоров от общего количества необходимых по стандартам</t>
  </si>
  <si>
    <t>07</t>
  </si>
  <si>
    <t xml:space="preserve">Проверка качества автомобильных дорог на соответствие стандартам  </t>
  </si>
  <si>
    <t>Протяженность дорог, требующих повторный ремонт после последнего ремонта</t>
  </si>
  <si>
    <t>08</t>
  </si>
  <si>
    <t>Обеспеченность техникой</t>
  </si>
  <si>
    <t>003</t>
  </si>
  <si>
    <t xml:space="preserve">Реабилитация международных транспортных коридоров
</t>
  </si>
  <si>
    <t>Протяженность (км) дорог</t>
  </si>
  <si>
    <t xml:space="preserve">Цель программы: 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потенциала.                                                                              </t>
  </si>
  <si>
    <t xml:space="preserve">Реабилитация международных транспортных коридоров восточного направления (Бишкек-Нарын-Торугарт) </t>
  </si>
  <si>
    <t>Протяженность завершенных  дорог</t>
  </si>
  <si>
    <t>Сокращение времени проезда</t>
  </si>
  <si>
    <t>Интенсивность  движения транспортных средств</t>
  </si>
  <si>
    <t>авт./сут.</t>
  </si>
  <si>
    <t>Реабилитация международных транспортных коридоров западного направления (Ош-Баткен-Исфана)</t>
  </si>
  <si>
    <t>Реабилитация международных транспортных коридоров западного направления (Бишкек-Ош)</t>
  </si>
  <si>
    <t>Реабилитация международных транспортных коридоров (Север-Юг)</t>
  </si>
  <si>
    <t>Реабилитация международных транспортных коридоров  3.5  проект "Реабилитация а/д Тараз-Талас-Суусамыр" Ф-3 ,км 75-105 (ИБР,СФР)</t>
  </si>
  <si>
    <t xml:space="preserve">Третья фаза  Проект по улучшению дорожных путей сообщения в Центральной Азии ( уч.Туп-Кеген км 39 -76  и развите туризма) </t>
  </si>
  <si>
    <t>Проект "Противолавинная защита автодороги Бишкек-Ош" (JICA) (Грант) ВБ</t>
  </si>
  <si>
    <t>Строительство галереи</t>
  </si>
  <si>
    <t>Исключение ДТП связанных со сходом лавин</t>
  </si>
  <si>
    <t>09</t>
  </si>
  <si>
    <t>004</t>
  </si>
  <si>
    <t xml:space="preserve">Регулирование отраслей автомобильного, водного транспорта  и проведение мероприятий, направленных на сохранение автомобильных дорог общего пользования Кыргызской Республики  </t>
  </si>
  <si>
    <t>количество жалоб</t>
  </si>
  <si>
    <t>Регулирование и лицензирование деятельности в области автомобильного и водного транспорта</t>
  </si>
  <si>
    <t>Обеспечение регулярным пассажирским сообщением населенных пунктов Кыргызской Республики</t>
  </si>
  <si>
    <t>Увеличение международных грузовых перевозок отчественными автоперевозчиками</t>
  </si>
  <si>
    <t>рейс</t>
  </si>
  <si>
    <t>Усиление транспортного контроля</t>
  </si>
  <si>
    <t>Пресечение нарушений в сфере транспорта и дорожного хозяйства</t>
  </si>
  <si>
    <t>кол-во выявленных нарушений</t>
  </si>
  <si>
    <t>по факту</t>
  </si>
  <si>
    <t>005</t>
  </si>
  <si>
    <t xml:space="preserve">Обеспечение  безопасности полетов </t>
  </si>
  <si>
    <t>Достижение приемлемого уровня безопасности полетов</t>
  </si>
  <si>
    <t xml:space="preserve">количество авиационных проишествий и инцидентов </t>
  </si>
  <si>
    <t>1 АП на 50000 ч. полетного времени</t>
  </si>
  <si>
    <t xml:space="preserve">Цель программы: Развитие рынка авиаперевозок </t>
  </si>
  <si>
    <t>Удовлетворение населения  в  воздушных перевозках</t>
  </si>
  <si>
    <t>Совершенствование и внедрение авиационных правил КР в соответствии с  международными требованиями</t>
  </si>
  <si>
    <t>Рост выполненных  авиаперевозок по внутренним и международным направлениям</t>
  </si>
  <si>
    <t xml:space="preserve">Подготовка квалифицированных специалистов для авиационного и водного транспорта   </t>
  </si>
  <si>
    <t>Выпуск востребованных специалистов с высшим авиационным и средним профессиональным образованием</t>
  </si>
  <si>
    <t>чел.</t>
  </si>
  <si>
    <t>Цель: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</t>
  </si>
  <si>
    <t>Процент трудоустройства выпускников по специальности</t>
  </si>
  <si>
    <t xml:space="preserve">Среднее профессиональное образование для гражданской авиации в соответствии  с государственным заказом на бюджетной основе </t>
  </si>
  <si>
    <t>Выпуск дипломированных специалистов со средним профессиональным образованием</t>
  </si>
  <si>
    <t>Высшее профессиональное образование  для гражданской авиации и водного транспорта Кыргызской Республики (контракт)</t>
  </si>
  <si>
    <t>Выпуск дипломированных специалистов с высшим профессиональным образованием</t>
  </si>
  <si>
    <t xml:space="preserve">Среднее  профессиональное образование для гражданской авиации и повышение квалификаций и переподготовка авиационных специалистов (контракт) </t>
  </si>
  <si>
    <t>Выпуск дипломированных специалистов со средним  профессиональным образованием  и переподготовленных авиаспециалистов</t>
  </si>
  <si>
    <t>ВСЕГО:</t>
  </si>
  <si>
    <t>Материально-техническое обеспечение необходимое для сохранения автомобильных дорог</t>
  </si>
  <si>
    <t>006</t>
  </si>
  <si>
    <t>Код ПР</t>
  </si>
  <si>
    <t>Код МЕ</t>
  </si>
  <si>
    <t>Бюджетные программы/
Бюджетные меры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</si>
  <si>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</si>
  <si>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</si>
  <si>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</si>
  <si>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</si>
  <si>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</si>
  <si>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2018г.</t>
  </si>
  <si>
    <t>2019г.</t>
  </si>
  <si>
    <t>2020 г.</t>
  </si>
  <si>
    <t>2021 г.</t>
  </si>
  <si>
    <t>2022 г.</t>
  </si>
  <si>
    <t>37. Министерство здравоохранения Кыргызской Республики</t>
  </si>
  <si>
    <t>Показатель  младенческой смертности на 1000 живорожденных</t>
  </si>
  <si>
    <t xml:space="preserve"> случаев на 1000 живорожденных</t>
  </si>
  <si>
    <t>не более 16,2</t>
  </si>
  <si>
    <t>Показатель материнской смертности на 100 тыс. живорожденных</t>
  </si>
  <si>
    <t xml:space="preserve"> случаев на 100 тыс.живорожденных</t>
  </si>
  <si>
    <t>не более 30,0</t>
  </si>
  <si>
    <t xml:space="preserve">Коэффициент детской смертности </t>
  </si>
  <si>
    <t>не более 18,0</t>
  </si>
  <si>
    <t>Смертность от болезней системы кровообращения</t>
  </si>
  <si>
    <t>на 100 тыс.населения</t>
  </si>
  <si>
    <t>Обеспечение общего руководства</t>
  </si>
  <si>
    <t xml:space="preserve">Индекс доверия населения </t>
  </si>
  <si>
    <t>процент</t>
  </si>
  <si>
    <t>Обеспечение финансового менеджмента и учета</t>
  </si>
  <si>
    <t>Удельный вес  расходов на здравоохранения  от общих государственных расходов</t>
  </si>
  <si>
    <t>≥13</t>
  </si>
  <si>
    <t>Индекс отклонения бюджета</t>
  </si>
  <si>
    <t>≤ 5</t>
  </si>
  <si>
    <t>Управление человеческими ресурсами и организационной работы</t>
  </si>
  <si>
    <t>Исполнительская дисциплина в МЗ</t>
  </si>
  <si>
    <t>кол</t>
  </si>
  <si>
    <t>Правовая поддержка</t>
  </si>
  <si>
    <t>Отношение выигранных судебных дел к общему  количеству</t>
  </si>
  <si>
    <t>31\5</t>
  </si>
  <si>
    <t>Организация деятельности и службы обеспечения</t>
  </si>
  <si>
    <t>Доля сотрудников служб обеспечения от общей численности сотрудников  ЦА  МЗ</t>
  </si>
  <si>
    <t>Обеспечение внутреннего мониторинга и контроля (службa внутреннего аудита)</t>
  </si>
  <si>
    <t xml:space="preserve">Количество проведенных заседаний комиссии по противодействию коррупции </t>
  </si>
  <si>
    <t>кол-во</t>
  </si>
  <si>
    <t>не менее 2</t>
  </si>
  <si>
    <t xml:space="preserve">Обеспечение мониторинга,  анализа и стратегического планирования сектора здравоохранения </t>
  </si>
  <si>
    <t>Формирование, анализ  и сопровождение государственной и отраслевой статистической отчетности по здоровью и здравоохранению Кыргызской Республики;</t>
  </si>
  <si>
    <t>Своевременное представление качественной статистической отчетности по здравоохранению</t>
  </si>
  <si>
    <t>Лицензирование частной медицинской деятельности</t>
  </si>
  <si>
    <t>Количество лицензий</t>
  </si>
  <si>
    <t>Социально-культурное обеспечение медработников</t>
  </si>
  <si>
    <t>Количество пользователей библиотек</t>
  </si>
  <si>
    <t xml:space="preserve">Библиотечный фонд (всего) </t>
  </si>
  <si>
    <t xml:space="preserve">Библиотечный фонд электронной библиотеки </t>
  </si>
  <si>
    <t>002</t>
  </si>
  <si>
    <t>Количество разработанных и утвержденных стандартов профилактических услуг НИЗ на популяционном уровне</t>
  </si>
  <si>
    <t>6</t>
  </si>
  <si>
    <t>Аккредитация  лабораторий по ISO 17025, ISO 15189-2009 (всего 49 лабораторий)</t>
  </si>
  <si>
    <t>Шт.</t>
  </si>
  <si>
    <t>количество внедренных новых методов лабораторных испытаний</t>
  </si>
  <si>
    <t>Количество методов</t>
  </si>
  <si>
    <t>показатель на 100 тыс.населения</t>
  </si>
  <si>
    <t>Заболеваемость населения вирусными гепатитами</t>
  </si>
  <si>
    <t>заболеваемость острыми кишечными инфекциями</t>
  </si>
  <si>
    <t xml:space="preserve">Политика иммунизации населения </t>
  </si>
  <si>
    <t>Доля детей до   2 лет охваченных  вакцинным комплексом</t>
  </si>
  <si>
    <t>Процент</t>
  </si>
  <si>
    <t>&gt;95</t>
  </si>
  <si>
    <t>Доля вакцинированных лиц по эпидемиологическим показаниям (от бешенства, чумы, клещевого вирусного энцефалита)</t>
  </si>
  <si>
    <t>&gt;90</t>
  </si>
  <si>
    <t>Информационная работа с населением по вопросам укрепления здоровья</t>
  </si>
  <si>
    <t>Количество обученных специалистов кабинета укрепления здоровья по новым руководствам</t>
  </si>
  <si>
    <t>Человек</t>
  </si>
  <si>
    <t>Количество обученных завучей по воспитательной работе школ</t>
  </si>
  <si>
    <t>Количество ежегодно проведенных кампаний по вопросам здоровья среди населения страны</t>
  </si>
  <si>
    <t>раз</t>
  </si>
  <si>
    <t>Количество ежегодно проведенных семинаров для специалистов кабинетов укрепления здоровья</t>
  </si>
  <si>
    <t>Количество выездов КУЗ в 1600 сел для обучения СКЗ в год</t>
  </si>
  <si>
    <t>Профилактика, диагностика, лечение и уход при ВИЧ-инфекции</t>
  </si>
  <si>
    <t xml:space="preserve">Число новых случаев ВИЧ </t>
  </si>
  <si>
    <t xml:space="preserve">на 100 тыс. населения </t>
  </si>
  <si>
    <t>Доля беременных женщин, прошедших полное консультирование и тестирование на ВИЧ-инфекцию и знающих свои результаты</t>
  </si>
  <si>
    <t>Доля ЛЖВ, знающих свой статус и получающих АРТ</t>
  </si>
  <si>
    <t>Предоставление комплексного пакета услуг по профилактике, уходу и поддержке в связи с ВИЧ для ключевых групп населения (ЛЖВ, ЛУИН, МСМ, СР, ТГ) в рамках осуществления Государственного социального заказа</t>
  </si>
  <si>
    <t>количество</t>
  </si>
  <si>
    <t>ЛЖВ-2000 ЛУИН-2000, МСМ-2000, СР-1000.</t>
  </si>
  <si>
    <t>ЛЖВ-3000 ЛУИН-3000, МСМ-3000, СР-2000.</t>
  </si>
  <si>
    <t>ЛЖВ-4000 ЛУИН-4000, МСМ-4000, СР-3000.</t>
  </si>
  <si>
    <t xml:space="preserve">Профилактические меры по санитарной охране и обеспечение эпидемиологического и зоо-энтомологического надзора в природно-очаговых территориях страны </t>
  </si>
  <si>
    <t xml:space="preserve">Количество выставляемых подвижных эпидформирований (эпидотрядов, групп мониторинга, совместных исследовательских групп).   </t>
  </si>
  <si>
    <t>Обеспечение  контроля качества лабораторной диагностики социально-значимых инфекционных заболеваний</t>
  </si>
  <si>
    <t xml:space="preserve">Смертность от новообразований </t>
  </si>
  <si>
    <t>не более 64,0</t>
  </si>
  <si>
    <t xml:space="preserve">Смертность от сахарного диабета </t>
  </si>
  <si>
    <t>не более 6,0</t>
  </si>
  <si>
    <t xml:space="preserve">Смертность от хронических респираторных заболеваний </t>
  </si>
  <si>
    <t>Улучшение качества медицинских услуг, оказываемых государственными организациями здравоохранения с упором на развитие ПМСП</t>
  </si>
  <si>
    <t>Количество развернутых стационарозамещающих отделений, коек в ОЗ ПМСП</t>
  </si>
  <si>
    <t>Эффективность лечения больных лекарственно чувствительным туберкулезом  в ПМСП</t>
  </si>
  <si>
    <t xml:space="preserve">Доля зарегистрированных пациентов с артериальной гипертензией (АГ) на уровне ПМСП от общего количества населения </t>
  </si>
  <si>
    <t>увеличение на 2%</t>
  </si>
  <si>
    <t>Количество ежегодно разработанных  и пересмотренных клинических  протоколов и  руководств.</t>
  </si>
  <si>
    <t>Раннее выявление больных с сахарным диабетом</t>
  </si>
  <si>
    <t>Количество зарегистрированных с сахарным диабетом</t>
  </si>
  <si>
    <t>Раннее выявление туберкулеза среди социально-уязвимых групп населения (закупка туберкулина)</t>
  </si>
  <si>
    <t>Заболеваемость туберкулезом в год</t>
  </si>
  <si>
    <t>Случаев на 100 тыс. человек</t>
  </si>
  <si>
    <t>Закупка туберкулина</t>
  </si>
  <si>
    <t>тыс. доз</t>
  </si>
  <si>
    <t>Повышение уровня информированности и потенциала организаций здравоохранений по вопросам обращения лекарственных средств и медицинских изделий</t>
  </si>
  <si>
    <t>Количество обученных специалистов организаций здравоохранения по разным направлениям обращения ЛС и М</t>
  </si>
  <si>
    <t>Количество зарегистрированных "желтых карт"</t>
  </si>
  <si>
    <t>Заготовка компонентов и препаратов крови</t>
  </si>
  <si>
    <t>Объем заготовленных компонентов и препаратов крови</t>
  </si>
  <si>
    <t>Литр</t>
  </si>
  <si>
    <t>Охрана здоровья матери и ребенка</t>
  </si>
  <si>
    <t>Обеспечение контрацептивными средствами женщин из уязвимых категорий населения</t>
  </si>
  <si>
    <t>Увеличение процента беременных, сдающих в первом триместре беременности анализ крови на гемоглобин и анализ мочи на бактериурию в государственном учреждении первичной медико-санитарной помощи</t>
  </si>
  <si>
    <t>Повышение  качества жизни больных, за счет внедрения дорогостоящей и высокотехнологичной помощи, а также сопроводительных и консультативных  мероприятий</t>
  </si>
  <si>
    <t xml:space="preserve">Количество пациентов, получивших доступ к дорогостоящей и высокотехнологичной помощи в рамках программы ФВТ. </t>
  </si>
  <si>
    <t>Обеспечение инсулином больных  с сахарным и не сахарным диабетом</t>
  </si>
  <si>
    <t>Охват  инсулинами больных с сахарным диабетом</t>
  </si>
  <si>
    <t>10</t>
  </si>
  <si>
    <t>Организация судебно-медицинских экспертиз</t>
  </si>
  <si>
    <t>Количество проведенных судебно-медицинских экспертиз в отношении  умерших   лиц от количества запросов</t>
  </si>
  <si>
    <t>Доля проведенных судебно-медицинских экспертиз в отношении потерпевших, обвиняемых и других лиц от количества запросов</t>
  </si>
  <si>
    <t>11</t>
  </si>
  <si>
    <t>Обеспечение антигемофильными препаратами</t>
  </si>
  <si>
    <t>Доля пациентов имеющих доступ к антигемофильным препаратам</t>
  </si>
  <si>
    <t>12</t>
  </si>
  <si>
    <t>Обеспечение доступности химиопрепаратами для онкологических больных</t>
  </si>
  <si>
    <t>Доля больных с онкологическими заболеваниями,которым предоставляются химиопрепараты за счет бюджета</t>
  </si>
  <si>
    <t>13</t>
  </si>
  <si>
    <t>Обеспечение имуносупрессорами пациентов перенесших трансплантацию органов</t>
  </si>
  <si>
    <t xml:space="preserve">Количество НПА по развитию кадровых ресурсов здравоохранения  </t>
  </si>
  <si>
    <t xml:space="preserve">ед.  </t>
  </si>
  <si>
    <t xml:space="preserve">Доля клинических баз, прошедших аккредитацию к их общему количеству </t>
  </si>
  <si>
    <t>Улучшение процесса управления кадровыми ресурсами в системе здравоохранения</t>
  </si>
  <si>
    <t>на 10 тыс.населения</t>
  </si>
  <si>
    <t>Подготовка специалистов с высшим медицинским образованием</t>
  </si>
  <si>
    <t>Повышение квалификации работников в сфере здравоохранения</t>
  </si>
  <si>
    <t>Количество специалистов,  прошедших переподготовку за счет республиканского бюджета</t>
  </si>
  <si>
    <t>Утвержденные/ разработанные учебные планы и программы для дополнительного профессионального образования</t>
  </si>
  <si>
    <t>Учебные программы</t>
  </si>
  <si>
    <t>Подготовка специалистов со средним медицинским образованием</t>
  </si>
  <si>
    <t>Утвержденные/ разработанные учебные планы и программы по СМО</t>
  </si>
  <si>
    <t>Реализация проектов государственных инвестиций</t>
  </si>
  <si>
    <t>ВСЕГО (контрольные цифры)</t>
  </si>
  <si>
    <t>Бюджеты пилотных министерств на программной основе</t>
  </si>
  <si>
    <t>Код ИН</t>
  </si>
  <si>
    <t>43. Министерство транспорта и дорог Кыргызской Республики</t>
  </si>
  <si>
    <r>
      <t xml:space="preserve">Планирование, управление и администрирование  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Цели программы: Координирующее и организационное воздействие на реализацию других программ</t>
    </r>
  </si>
  <si>
    <r>
      <rPr>
        <b/>
        <sz val="11"/>
        <rFont val="Times New Roman"/>
        <family val="1"/>
        <charset val="204"/>
      </rPr>
      <t xml:space="preserve">Общественное здравоохранение
</t>
    </r>
    <r>
      <rPr>
        <i/>
        <sz val="11"/>
        <rFont val="Times New Roman"/>
        <family val="1"/>
        <charset val="204"/>
      </rPr>
      <t>Цель программы: Организация и выполнение профилактических и противоэпидемиологических мероприятий по борьбе с инфекциями, паразитарными инфекционными заболеваниями</t>
    </r>
  </si>
  <si>
    <r>
      <rPr>
        <b/>
        <sz val="11"/>
        <rFont val="Times New Roman"/>
        <family val="1"/>
        <charset val="204"/>
      </rPr>
      <t>Организация предоставления услуг здравоохранения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  и повышение доступности населения республики к высокотехнологичным методам лечения.</t>
    </r>
  </si>
  <si>
    <t xml:space="preserve">78/381 </t>
  </si>
  <si>
    <t>448,1/100</t>
  </si>
  <si>
    <t>449,1/100</t>
  </si>
  <si>
    <t>454,0/100</t>
  </si>
  <si>
    <t>252,3/100</t>
  </si>
  <si>
    <t>254,8/100</t>
  </si>
  <si>
    <t>257,3/100</t>
  </si>
  <si>
    <t>259,8/100</t>
  </si>
  <si>
    <t>263,4/100</t>
  </si>
  <si>
    <t>127/381</t>
  </si>
  <si>
    <t>165/630</t>
  </si>
  <si>
    <t>265/500</t>
  </si>
  <si>
    <t>261/500</t>
  </si>
  <si>
    <t>273/500</t>
  </si>
  <si>
    <t>105/630</t>
  </si>
  <si>
    <t>210/500</t>
  </si>
  <si>
    <t>213/500</t>
  </si>
  <si>
    <t xml:space="preserve">Внедрение электронных систем работающих в режиме  он - лайн: (2018г, -БД «Приписанное население» 2019г, – Центральные регистры «Кадровые ресурсы» «О родившихся и умерших» «Справочник ОЗ» 2020   - 2021 гг, Поэтапное внедрение  ИС «Электронная медицинская карта пациента» «Электронная запись на прием к врачу» «Лабораторные системы»  ИС «Направления и перенаправления» </t>
  </si>
  <si>
    <t>Поддержание внешних связей и связей с общественностью</t>
  </si>
  <si>
    <t>Количество проведенных координационных советов по вопросам охраны здоровья населения и развития системы здравоохранения</t>
  </si>
  <si>
    <t>Соотношение выполненных мероприятий в рамках реализации Программы здоровья до 2030 года к их общему количеству</t>
  </si>
  <si>
    <t xml:space="preserve">Количество ОЗ, в которых внедрено электронное здравоохранение </t>
  </si>
  <si>
    <t>Количество учреждений, получивших лицензию на предоставление медико-профилактических услуг</t>
  </si>
  <si>
    <t>Количество мест в детском саде</t>
  </si>
  <si>
    <t xml:space="preserve">Количество разработанных и утвержденных НПА в реализацию Закона "Об общественном здравоохранении" </t>
  </si>
  <si>
    <t xml:space="preserve">Профилактические меры по обеспечению безопасности здоровья человека (пищевой продукции, воды, воздуха в помещениях, радиационного фона) </t>
  </si>
  <si>
    <t>Заболеваемость бруцеллезом</t>
  </si>
  <si>
    <t>Тиражирование руководств по профилактике заболеванний</t>
  </si>
  <si>
    <t>Количество разработанных информационно-образовательных материалов</t>
  </si>
  <si>
    <t>Предоставление комплексного пакета  услуг для ЛЖВ, ЛУИН, МСМ, СР, ТГ в г.Бишкек, Ош, Чуйской области (восток и запад), Джалал-Абадской области</t>
  </si>
  <si>
    <t>Число лабораторий, участвующих в программах внешней оценки  качества социально-значимых инфекционных заболеваний.</t>
  </si>
  <si>
    <t>Восстановление здоровья населения и интеграция в обществе</t>
  </si>
  <si>
    <t>Количество больных проходящих  реабилитацию в реабилитационных центрах</t>
  </si>
  <si>
    <t xml:space="preserve">Соотношение  пациентов с терминальной стадией хронической почечной недостаточности, охваченых льготным гемодиализным лечением к общему числу пациентов, состоящих на учете </t>
  </si>
  <si>
    <t>Доля детей с онкологическими  заболеваниями, охваченных химиопрепаратами</t>
  </si>
  <si>
    <t>Количество больных, охваченных имуносупрессорами</t>
  </si>
  <si>
    <r>
      <t xml:space="preserve">Название программы: Медицинское образование и управление человеческими ресурсами в здравоохранении 
</t>
    </r>
    <r>
      <rPr>
        <i/>
        <sz val="11"/>
        <rFont val="Times New Roman"/>
        <family val="1"/>
        <charset val="204"/>
      </rPr>
      <t>Цель программы Обеспечение квалифицированными медицинскими кадрами ворганизации здравоохранения республики</t>
    </r>
  </si>
  <si>
    <t>Количество врачебных кадров в сельской местности на 10 тыс. населения</t>
  </si>
  <si>
    <t>Количество  специалистов,  получивших сертификат семейного врача</t>
  </si>
  <si>
    <t>Количество врачей, включенных в программу по дополнительному стимулированию врачей, работающих в отдаленных регионах сельской местности и малых городах</t>
  </si>
  <si>
    <t>Количество выпускников КГМА, подготовленных за счет республиканского бюджета на додипломном уровне</t>
  </si>
  <si>
    <t>Количество специалистов, прошедших курсы повышения квалификации за счет республиканского бюджета</t>
  </si>
  <si>
    <t>Количество выпускников, подготовленных за счет республиканского бюджета на последипломном уровне</t>
  </si>
  <si>
    <t>Количество выпускников медколледжей, подготовленных за счет республиканского бюджета</t>
  </si>
  <si>
    <t>Цели программы: Координирующее и организационное воздействие на реализацию других программ и обеспечение, достижение поставленных задач</t>
  </si>
  <si>
    <t>Проект  усовершенствования мастерских для технического обслуживания дорожной техники</t>
  </si>
  <si>
    <t>Строительство мастерских для ремонта дорожно-строительной техники</t>
  </si>
  <si>
    <t>Проект "Реконструкция объездной дороги города Бишкек  (планируемый)</t>
  </si>
  <si>
    <t>Цель программы: Обеспечение качества и безопасности, предоставляемых транспортных услуг и сохранность автомобильных дорог</t>
  </si>
  <si>
    <t xml:space="preserve">Повышение качества, предоставляемых транспортных услуг и пресечение фактов нарушения весогабаритных параметров </t>
  </si>
  <si>
    <t xml:space="preserve"> </t>
  </si>
  <si>
    <t>Приложение 11-2 к Закону Кыргызской Республики «О республиканском бюджете Кыргызской Республики на 2020 год и прогнозе на 2021-2022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</si>
</sst>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##,000__;\-###,000__"/>
    <numFmt numFmtId="165" formatCode="#,##0.0"/>
    <numFmt numFmtId="166" formatCode="##,#00__;\-##,#00__"/>
    <numFmt numFmtId="167" formatCode="0.0%"/>
    <numFmt numFmtId="168" formatCode="0.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 tint="0.1499984740745262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Times New Roman Cyr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7">
    <xf numFmtId="0" fontId="0" fillId="0" borderId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/>
    <xf numFmtId="165" fontId="12" fillId="0" borderId="0"/>
    <xf numFmtId="0" fontId="13" fillId="0" borderId="0"/>
    <xf numFmtId="0" fontId="14" fillId="0" borderId="0"/>
    <xf numFmtId="0" fontId="14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73">
    <xf numFmtId="0" fontId="0" fillId="0" borderId="0" xfId="0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left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3" xfId="1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/>
    </xf>
    <xf numFmtId="9" fontId="3" fillId="2" borderId="4" xfId="4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vertical="center"/>
    </xf>
    <xf numFmtId="165" fontId="2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/>
    <xf numFmtId="3" fontId="3" fillId="2" borderId="4" xfId="0" applyNumberFormat="1" applyFont="1" applyFill="1" applyBorder="1" applyAlignment="1">
      <alignment vertical="center" wrapText="1"/>
    </xf>
    <xf numFmtId="164" fontId="3" fillId="0" borderId="4" xfId="0" applyNumberFormat="1" applyFont="1" applyFill="1" applyBorder="1" applyAlignment="1">
      <alignment horizontal="right" vertical="center"/>
    </xf>
    <xf numFmtId="166" fontId="3" fillId="0" borderId="4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top" wrapText="1"/>
    </xf>
    <xf numFmtId="9" fontId="3" fillId="2" borderId="4" xfId="4" applyFont="1" applyFill="1" applyBorder="1" applyAlignment="1">
      <alignment vertical="center" wrapText="1"/>
    </xf>
    <xf numFmtId="1" fontId="3" fillId="2" borderId="4" xfId="4" applyNumberFormat="1" applyFont="1" applyFill="1" applyBorder="1" applyAlignment="1">
      <alignment vertical="center" wrapText="1"/>
    </xf>
    <xf numFmtId="0" fontId="8" fillId="2" borderId="4" xfId="1" applyFont="1" applyFill="1" applyBorder="1" applyAlignment="1">
      <alignment vertical="center" wrapText="1"/>
    </xf>
    <xf numFmtId="0" fontId="8" fillId="0" borderId="4" xfId="1" applyFont="1" applyFill="1" applyBorder="1" applyAlignment="1">
      <alignment vertical="center" wrapText="1"/>
    </xf>
    <xf numFmtId="165" fontId="8" fillId="0" borderId="4" xfId="1" applyNumberFormat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 wrapText="1"/>
    </xf>
    <xf numFmtId="165" fontId="8" fillId="2" borderId="4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1" fontId="3" fillId="2" borderId="4" xfId="4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wrapText="1"/>
    </xf>
    <xf numFmtId="1" fontId="8" fillId="2" borderId="4" xfId="1" applyNumberFormat="1" applyFont="1" applyFill="1" applyBorder="1" applyAlignment="1">
      <alignment horizontal="center" vertical="center" wrapText="1"/>
    </xf>
    <xf numFmtId="168" fontId="8" fillId="2" borderId="4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vertical="center"/>
    </xf>
    <xf numFmtId="0" fontId="7" fillId="2" borderId="4" xfId="1" applyFont="1" applyFill="1" applyBorder="1" applyAlignment="1">
      <alignment horizontal="left" vertical="top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vertical="center" wrapText="1"/>
    </xf>
    <xf numFmtId="3" fontId="8" fillId="2" borderId="4" xfId="1" applyNumberFormat="1" applyFont="1" applyFill="1" applyBorder="1" applyAlignment="1">
      <alignment horizontal="center" vertical="center" wrapText="1"/>
    </xf>
    <xf numFmtId="167" fontId="3" fillId="2" borderId="4" xfId="1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3" fontId="8" fillId="0" borderId="4" xfId="1" applyNumberFormat="1" applyFont="1" applyFill="1" applyBorder="1" applyAlignment="1">
      <alignment horizontal="center" vertical="center" wrapText="1"/>
    </xf>
    <xf numFmtId="3" fontId="8" fillId="0" borderId="4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49" fontId="3" fillId="2" borderId="4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" fontId="3" fillId="2" borderId="4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6" fontId="3" fillId="2" borderId="4" xfId="1" applyNumberFormat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165" fontId="2" fillId="2" borderId="4" xfId="3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8" fillId="0" borderId="0" xfId="0" applyFont="1"/>
    <xf numFmtId="0" fontId="15" fillId="5" borderId="7" xfId="0" applyNumberFormat="1" applyFont="1" applyFill="1" applyBorder="1" applyAlignment="1" applyProtection="1">
      <alignment horizontal="left" vertical="center" wrapText="1"/>
    </xf>
    <xf numFmtId="0" fontId="7" fillId="0" borderId="0" xfId="0" applyFont="1"/>
    <xf numFmtId="165" fontId="7" fillId="0" borderId="0" xfId="0" applyNumberFormat="1" applyFont="1"/>
    <xf numFmtId="165" fontId="8" fillId="0" borderId="0" xfId="0" applyNumberFormat="1" applyFont="1"/>
    <xf numFmtId="0" fontId="16" fillId="3" borderId="4" xfId="1" applyFont="1" applyFill="1" applyBorder="1" applyAlignment="1">
      <alignment horizontal="left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left" vertical="center" wrapText="1"/>
    </xf>
    <xf numFmtId="16" fontId="3" fillId="2" borderId="4" xfId="0" applyNumberFormat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165" fontId="3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6" fontId="3" fillId="2" borderId="4" xfId="1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3" fillId="2" borderId="4" xfId="0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166" fontId="3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5" fontId="3" fillId="2" borderId="4" xfId="3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49" fontId="2" fillId="0" borderId="0" xfId="0" applyNumberFormat="1" applyFont="1" applyAlignment="1">
      <alignment wrapText="1"/>
    </xf>
    <xf numFmtId="164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5" fontId="2" fillId="2" borderId="4" xfId="3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3" borderId="4" xfId="0" applyNumberFormat="1" applyFont="1" applyFill="1" applyBorder="1"/>
    <xf numFmtId="49" fontId="3" fillId="0" borderId="4" xfId="0" applyNumberFormat="1" applyFont="1" applyFill="1" applyBorder="1" applyAlignment="1">
      <alignment horizontal="center" vertical="top"/>
    </xf>
    <xf numFmtId="0" fontId="8" fillId="0" borderId="4" xfId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 wrapText="1"/>
    </xf>
    <xf numFmtId="165" fontId="7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</cellXfs>
  <cellStyles count="17">
    <cellStyle name="Normal 4" xfId="6"/>
    <cellStyle name="Normal_Sheet1" xfId="7"/>
    <cellStyle name="Денежный 2" xfId="15"/>
    <cellStyle name="Обычный" xfId="0" builtinId="0"/>
    <cellStyle name="Обычный 2" xfId="1"/>
    <cellStyle name="Обычный 2 2" xfId="14"/>
    <cellStyle name="Обычный 3" xfId="2"/>
    <cellStyle name="Обычный 4" xfId="8"/>
    <cellStyle name="Обычный 5" xfId="9"/>
    <cellStyle name="Обычный 6" xfId="5"/>
    <cellStyle name="Процентный 2" xfId="10"/>
    <cellStyle name="Процентный 3" xfId="11"/>
    <cellStyle name="Процентный 4" xfId="4"/>
    <cellStyle name="Финансовый" xfId="3" builtinId="3"/>
    <cellStyle name="Финансовый 2" xfId="12"/>
    <cellStyle name="Финансовый 3" xfId="13"/>
    <cellStyle name="Финансовый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58;&#1063;&#1045;&#1058;%20&#1055;&#1041;/&#1086;&#1090;&#1095;&#1077;&#1090;%20&#1087;&#1086;%20&#1080;&#1089;&#1087;&#1086;&#1083;&#1085;&#1077;&#1085;&#1080;&#1102;%20&#1076;&#1083;&#1103;%20&#1052;&#1060;&#1050;&#10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56;&#1054;&#1043;&#1056;&#1040;&#1052;&#1052;&#1053;&#1067;&#1049;%20&#1041;&#1070;&#1044;&#1046;&#1045;&#1058;/&#1044;&#1086;&#1088;&#1072;&#1073;&#1086;&#1090;&#1072;&#1085;&#1085;&#1099;&#1081;%20&#1055;&#1041;%20250918/&#1057;&#1042;&#1054;&#1044;&#1053;&#1040;&#1071;%20&#1058;&#1040;&#1041;&#1051;&#1048;&#1062;&#1040;/&#1085;&#1072;%20&#1088;&#1091;&#1089;&#1089;&#1082;&#1086;&#1084;/&#1055;&#1041;%20&#1085;&#1072;%202019-2021%20&#1085;&#1072;%20&#1088;&#1091;&#1089;&#1089;&#1082;&#1086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0;&#1089;&#1087;&#1086;&#1083;&#1085;&#1077;&#1085;&#1080;&#1077;%20&#1079;&#1072;%202018%20&#1075;&#1086;&#1076;/&#1089;&#1074;&#1086;&#1076;&#1085;&#1072;&#1103;%20&#1090;&#1072;&#1073;&#1083;&#1080;&#1094;&#1072;%20&#1087;&#1086;%20&#1080;&#1089;&#1087;&#1086;&#1083;&#1085;&#1077;&#1085;&#1080;&#1102;%20&#1079;&#1072;%202018%20&#1075;&#1086;&#107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%20&#1043;&#1054;&#1044;/&#1041;&#1070;&#1044;&#1046;&#1045;&#1058;/&#1047;&#1050;&#1056;&#1085;&#1072;2019/&#1055;&#1088;&#1080;&#1083;&#1086;&#1078;&#1077;&#1085;&#1080;&#1077;%206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7;&#1057;&#1041;&#1056;%20&#1053;&#1040;%202020-2022%20&#1043;&#1043;/&#1057;&#1057;&#1041;&#1056;%20&#1085;&#1072;%202020-2022%20&#1075;&#1075;/&#1054;&#1090;&#1074;&#1077;&#1090;&#1099;/&#1040;&#1074;&#1080;&#1072;&#1080;&#1085;&#1089;&#1090;&#1080;&#1090;&#1091;&#1090;/&#1050;&#1086;&#1087;&#1080;&#1103;%20&#1041;&#1062;&#1080;&#1088;&#1082;.2019-2021%20&#1088;&#1091;&#1089;&#1089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1"/>
      <sheetName val="приложение1-1"/>
      <sheetName val="Лист6"/>
      <sheetName val="ПГИ"/>
      <sheetName val="Лист1"/>
    </sheetNames>
    <sheetDataSet>
      <sheetData sheetId="0" refreshError="1">
        <row r="32">
          <cell r="L32">
            <v>1116578.4999999998</v>
          </cell>
        </row>
        <row r="44">
          <cell r="L44">
            <v>364834.1</v>
          </cell>
        </row>
        <row r="47">
          <cell r="L47">
            <v>18000</v>
          </cell>
        </row>
        <row r="48">
          <cell r="L48">
            <v>15000</v>
          </cell>
        </row>
        <row r="49">
          <cell r="L49">
            <v>3000</v>
          </cell>
        </row>
        <row r="50">
          <cell r="L50">
            <v>11000</v>
          </cell>
        </row>
        <row r="51">
          <cell r="L51">
            <v>166176.20000000001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ЦА"/>
      <sheetName val="приложение3ДДХ"/>
      <sheetName val="приложение3ААВТиВК"/>
      <sheetName val="приложение3АГА"/>
      <sheetName val="приложение3Авиак"/>
      <sheetName val="приложение4-1"/>
      <sheetName val="приложение 4-2"/>
      <sheetName val="проекты"/>
      <sheetName val="Лист1"/>
    </sheetNames>
    <sheetDataSet>
      <sheetData sheetId="0" refreshError="1">
        <row r="26">
          <cell r="J26">
            <v>1054267.8</v>
          </cell>
        </row>
        <row r="38">
          <cell r="J38">
            <v>289000</v>
          </cell>
        </row>
        <row r="41">
          <cell r="J41">
            <v>18000</v>
          </cell>
        </row>
        <row r="42">
          <cell r="J42">
            <v>15000</v>
          </cell>
        </row>
        <row r="43">
          <cell r="J43">
            <v>152291.9</v>
          </cell>
        </row>
        <row r="44">
          <cell r="J44">
            <v>11000</v>
          </cell>
        </row>
        <row r="45">
          <cell r="J45">
            <v>166541.29999999999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свод ГРИП"/>
      <sheetName val="текущийбюджет"/>
      <sheetName val="МФКР"/>
      <sheetName val="утвзакон"/>
      <sheetName val="уточзакон"/>
      <sheetName val="ЦА"/>
      <sheetName val="ДДХ"/>
      <sheetName val="АГА"/>
      <sheetName val="Авиаинститут"/>
      <sheetName val="ГРИПИБР"/>
      <sheetName val="ГРИПАБР"/>
      <sheetName val="ГРИПВБ"/>
    </sheetNames>
    <sheetDataSet>
      <sheetData sheetId="0" refreshError="1">
        <row r="9">
          <cell r="F9">
            <v>192053.80000000002</v>
          </cell>
        </row>
        <row r="10">
          <cell r="F10">
            <v>142322.19999999998</v>
          </cell>
        </row>
        <row r="11">
          <cell r="F11">
            <v>12989.699999999999</v>
          </cell>
        </row>
        <row r="14">
          <cell r="F14">
            <v>22852.799999999999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"/>
      <sheetName val="текущий бюджет"/>
      <sheetName val="ПГИ"/>
      <sheetName val="ГРИП"/>
      <sheetName val="Лист2"/>
    </sheetNames>
    <sheetDataSet>
      <sheetData sheetId="0" refreshError="1">
        <row r="991">
          <cell r="C991">
            <v>43138</v>
          </cell>
        </row>
        <row r="1043">
          <cell r="D1043">
            <v>12148.1</v>
          </cell>
          <cell r="E1043">
            <v>12383.2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1 "/>
      <sheetName val="приложение  2"/>
      <sheetName val="приложение 3"/>
      <sheetName val="приложение 4-1"/>
      <sheetName val="приложение 4-2"/>
      <sheetName val="Лист2"/>
      <sheetName val="Лист1"/>
    </sheetNames>
    <sheetDataSet>
      <sheetData sheetId="0" refreshError="1"/>
      <sheetData sheetId="1" refreshError="1">
        <row r="12">
          <cell r="J12">
            <v>20305.3</v>
          </cell>
        </row>
        <row r="22">
          <cell r="J22">
            <v>19566.400000000001</v>
          </cell>
        </row>
        <row r="32">
          <cell r="J32">
            <v>21512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view="pageBreakPreview" topLeftCell="A151" zoomScale="60" zoomScaleNormal="100" workbookViewId="0">
      <selection activeCell="H159" sqref="H159:H160"/>
    </sheetView>
  </sheetViews>
  <sheetFormatPr defaultRowHeight="15" x14ac:dyDescent="0.25"/>
  <cols>
    <col min="1" max="3" width="9.140625" style="90"/>
    <col min="4" max="4" width="32.42578125" style="90" customWidth="1"/>
    <col min="5" max="5" width="13.140625" style="90" customWidth="1"/>
    <col min="6" max="6" width="13.5703125" style="90" customWidth="1"/>
    <col min="7" max="7" width="13.42578125" style="90" customWidth="1"/>
    <col min="8" max="8" width="14.5703125" style="90" customWidth="1"/>
    <col min="9" max="9" width="13.85546875" style="90" customWidth="1"/>
    <col min="10" max="10" width="30.85546875" style="90" customWidth="1"/>
    <col min="11" max="11" width="9.140625" style="90"/>
    <col min="12" max="12" width="9.5703125" style="90" customWidth="1"/>
    <col min="13" max="13" width="9.42578125" style="90" customWidth="1"/>
    <col min="14" max="14" width="9.5703125" style="90" customWidth="1"/>
    <col min="15" max="15" width="9.42578125" style="90" customWidth="1"/>
    <col min="16" max="16" width="10.5703125" style="90" customWidth="1"/>
    <col min="17" max="16384" width="9.140625" style="90"/>
  </cols>
  <sheetData>
    <row r="1" spans="1:22" ht="79.5" customHeight="1" x14ac:dyDescent="0.25">
      <c r="L1" s="98" t="s">
        <v>311</v>
      </c>
      <c r="M1" s="98"/>
      <c r="N1" s="98"/>
      <c r="O1" s="98"/>
      <c r="P1" s="98"/>
      <c r="V1" s="90" t="s">
        <v>310</v>
      </c>
    </row>
    <row r="2" spans="1:22" ht="15" customHeight="1" x14ac:dyDescent="0.25">
      <c r="A2" s="150" t="s">
        <v>254</v>
      </c>
      <c r="B2" s="150"/>
      <c r="C2" s="150"/>
      <c r="D2" s="150"/>
      <c r="E2" s="19"/>
      <c r="F2" s="19"/>
      <c r="G2" s="19"/>
      <c r="H2" s="19"/>
      <c r="I2" s="19"/>
      <c r="J2" s="20"/>
      <c r="K2" s="20"/>
      <c r="L2" s="20"/>
      <c r="M2" s="20"/>
      <c r="N2" s="20"/>
      <c r="O2" s="21"/>
      <c r="P2" s="21"/>
    </row>
    <row r="3" spans="1:22" ht="15" customHeight="1" x14ac:dyDescent="0.25">
      <c r="A3" s="20"/>
      <c r="B3" s="19"/>
      <c r="C3" s="19"/>
      <c r="D3" s="22"/>
      <c r="E3" s="19"/>
      <c r="F3" s="19"/>
      <c r="G3" s="19"/>
      <c r="H3" s="19"/>
      <c r="I3" s="19"/>
      <c r="J3" s="20"/>
      <c r="K3" s="20"/>
      <c r="L3" s="20"/>
      <c r="M3" s="20"/>
      <c r="N3" s="20"/>
      <c r="O3" s="20"/>
      <c r="P3" s="20"/>
    </row>
    <row r="4" spans="1:22" ht="15" customHeight="1" x14ac:dyDescent="0.25">
      <c r="A4" s="151" t="s">
        <v>107</v>
      </c>
      <c r="B4" s="152" t="s">
        <v>108</v>
      </c>
      <c r="C4" s="152" t="s">
        <v>255</v>
      </c>
      <c r="D4" s="126" t="s">
        <v>109</v>
      </c>
      <c r="E4" s="153" t="s">
        <v>110</v>
      </c>
      <c r="F4" s="153"/>
      <c r="G4" s="153"/>
      <c r="H4" s="153"/>
      <c r="I4" s="153"/>
      <c r="J4" s="146" t="s">
        <v>111</v>
      </c>
      <c r="K4" s="126" t="s">
        <v>112</v>
      </c>
      <c r="L4" s="126"/>
      <c r="M4" s="126" t="s">
        <v>113</v>
      </c>
      <c r="N4" s="126"/>
      <c r="O4" s="126"/>
      <c r="P4" s="126"/>
    </row>
    <row r="5" spans="1:22" x14ac:dyDescent="0.25">
      <c r="A5" s="151"/>
      <c r="B5" s="152"/>
      <c r="C5" s="152"/>
      <c r="D5" s="126"/>
      <c r="E5" s="141" t="s">
        <v>114</v>
      </c>
      <c r="F5" s="141"/>
      <c r="G5" s="141"/>
      <c r="H5" s="141"/>
      <c r="I5" s="141"/>
      <c r="J5" s="146"/>
      <c r="K5" s="126"/>
      <c r="L5" s="126"/>
      <c r="M5" s="126"/>
      <c r="N5" s="126"/>
      <c r="O5" s="126"/>
      <c r="P5" s="126"/>
    </row>
    <row r="6" spans="1:22" ht="15.75" customHeight="1" x14ac:dyDescent="0.25">
      <c r="A6" s="151"/>
      <c r="B6" s="152"/>
      <c r="C6" s="152"/>
      <c r="D6" s="126"/>
      <c r="E6" s="79" t="s">
        <v>115</v>
      </c>
      <c r="F6" s="79" t="s">
        <v>116</v>
      </c>
      <c r="G6" s="79" t="s">
        <v>117</v>
      </c>
      <c r="H6" s="79" t="s">
        <v>118</v>
      </c>
      <c r="I6" s="79" t="s">
        <v>119</v>
      </c>
      <c r="J6" s="146"/>
      <c r="K6" s="126"/>
      <c r="L6" s="71">
        <v>2018</v>
      </c>
      <c r="M6" s="71">
        <v>2019</v>
      </c>
      <c r="N6" s="71">
        <v>2020</v>
      </c>
      <c r="O6" s="71">
        <v>2021</v>
      </c>
      <c r="P6" s="71">
        <v>2022</v>
      </c>
    </row>
    <row r="7" spans="1:22" x14ac:dyDescent="0.25">
      <c r="A7" s="142" t="s">
        <v>120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</row>
    <row r="8" spans="1:22" ht="60" x14ac:dyDescent="0.25">
      <c r="A8" s="143">
        <v>1</v>
      </c>
      <c r="B8" s="144"/>
      <c r="C8" s="144"/>
      <c r="D8" s="145" t="s">
        <v>257</v>
      </c>
      <c r="E8" s="140">
        <f>SUM(E12:E26)</f>
        <v>74410.489810856947</v>
      </c>
      <c r="F8" s="140">
        <f>SUM(F12:F26)</f>
        <v>81325.799999999988</v>
      </c>
      <c r="G8" s="140">
        <f>SUM(G12:G29)</f>
        <v>98507.239999999991</v>
      </c>
      <c r="H8" s="140">
        <f>SUM(H12:H26)</f>
        <v>98030.399999999994</v>
      </c>
      <c r="I8" s="140">
        <f>SUM(I12:I26)</f>
        <v>99841.73000000001</v>
      </c>
      <c r="J8" s="83" t="s">
        <v>121</v>
      </c>
      <c r="K8" s="84" t="s">
        <v>122</v>
      </c>
      <c r="L8" s="60">
        <v>14.8</v>
      </c>
      <c r="M8" s="60" t="s">
        <v>123</v>
      </c>
      <c r="N8" s="60" t="s">
        <v>123</v>
      </c>
      <c r="O8" s="60" t="s">
        <v>123</v>
      </c>
      <c r="P8" s="60" t="s">
        <v>123</v>
      </c>
    </row>
    <row r="9" spans="1:22" ht="75" x14ac:dyDescent="0.25">
      <c r="A9" s="143"/>
      <c r="B9" s="144"/>
      <c r="C9" s="144"/>
      <c r="D9" s="145"/>
      <c r="E9" s="140"/>
      <c r="F9" s="140"/>
      <c r="G9" s="140"/>
      <c r="H9" s="140"/>
      <c r="I9" s="140"/>
      <c r="J9" s="83" t="s">
        <v>124</v>
      </c>
      <c r="K9" s="84" t="s">
        <v>125</v>
      </c>
      <c r="L9" s="60">
        <v>30.4</v>
      </c>
      <c r="M9" s="60" t="s">
        <v>126</v>
      </c>
      <c r="N9" s="60" t="s">
        <v>126</v>
      </c>
      <c r="O9" s="60" t="s">
        <v>126</v>
      </c>
      <c r="P9" s="60" t="s">
        <v>126</v>
      </c>
    </row>
    <row r="10" spans="1:22" ht="60" x14ac:dyDescent="0.25">
      <c r="A10" s="143"/>
      <c r="B10" s="144"/>
      <c r="C10" s="144"/>
      <c r="D10" s="145"/>
      <c r="E10" s="140"/>
      <c r="F10" s="140"/>
      <c r="G10" s="140"/>
      <c r="H10" s="140"/>
      <c r="I10" s="140"/>
      <c r="J10" s="83" t="s">
        <v>127</v>
      </c>
      <c r="K10" s="84" t="s">
        <v>122</v>
      </c>
      <c r="L10" s="60">
        <v>17.3</v>
      </c>
      <c r="M10" s="60" t="s">
        <v>128</v>
      </c>
      <c r="N10" s="60" t="s">
        <v>128</v>
      </c>
      <c r="O10" s="60" t="s">
        <v>128</v>
      </c>
      <c r="P10" s="60" t="s">
        <v>128</v>
      </c>
    </row>
    <row r="11" spans="1:22" ht="45" x14ac:dyDescent="0.25">
      <c r="A11" s="143"/>
      <c r="B11" s="144"/>
      <c r="C11" s="144"/>
      <c r="D11" s="145"/>
      <c r="E11" s="140"/>
      <c r="F11" s="140"/>
      <c r="G11" s="140"/>
      <c r="H11" s="140"/>
      <c r="I11" s="140"/>
      <c r="J11" s="83" t="s">
        <v>129</v>
      </c>
      <c r="K11" s="84" t="s">
        <v>130</v>
      </c>
      <c r="L11" s="60">
        <v>265.7</v>
      </c>
      <c r="M11" s="60">
        <v>262.89999999999998</v>
      </c>
      <c r="N11" s="60">
        <v>262.89999999999998</v>
      </c>
      <c r="O11" s="60">
        <v>262.89999999999998</v>
      </c>
      <c r="P11" s="60">
        <v>262.89999999999998</v>
      </c>
    </row>
    <row r="12" spans="1:22" x14ac:dyDescent="0.25">
      <c r="A12" s="27"/>
      <c r="B12" s="78">
        <v>1</v>
      </c>
      <c r="C12" s="28"/>
      <c r="D12" s="80" t="s">
        <v>131</v>
      </c>
      <c r="E12" s="75">
        <v>3206.4</v>
      </c>
      <c r="F12" s="75">
        <v>3685.7</v>
      </c>
      <c r="G12" s="75">
        <v>4191</v>
      </c>
      <c r="H12" s="75">
        <f>4191</f>
        <v>4191</v>
      </c>
      <c r="I12" s="75">
        <f>4400.6</f>
        <v>4400.6000000000004</v>
      </c>
      <c r="J12" s="83" t="s">
        <v>132</v>
      </c>
      <c r="K12" s="84" t="s">
        <v>133</v>
      </c>
      <c r="L12" s="84">
        <v>15.5</v>
      </c>
      <c r="M12" s="84">
        <v>15.5</v>
      </c>
      <c r="N12" s="84">
        <v>15.5</v>
      </c>
      <c r="O12" s="84">
        <v>15.5</v>
      </c>
      <c r="P12" s="84">
        <v>15.5</v>
      </c>
    </row>
    <row r="13" spans="1:22" ht="45" x14ac:dyDescent="0.25">
      <c r="A13" s="147"/>
      <c r="B13" s="148">
        <v>2</v>
      </c>
      <c r="C13" s="148"/>
      <c r="D13" s="154" t="s">
        <v>134</v>
      </c>
      <c r="E13" s="136">
        <v>3657</v>
      </c>
      <c r="F13" s="136">
        <v>3349.8</v>
      </c>
      <c r="G13" s="136">
        <v>3745.5</v>
      </c>
      <c r="H13" s="136">
        <f>3745.5</f>
        <v>3745.5</v>
      </c>
      <c r="I13" s="136">
        <f>H13</f>
        <v>3745.5</v>
      </c>
      <c r="J13" s="83" t="s">
        <v>135</v>
      </c>
      <c r="K13" s="84" t="s">
        <v>133</v>
      </c>
      <c r="L13" s="61">
        <v>13.1</v>
      </c>
      <c r="M13" s="61" t="s">
        <v>136</v>
      </c>
      <c r="N13" s="61" t="s">
        <v>136</v>
      </c>
      <c r="O13" s="71" t="s">
        <v>136</v>
      </c>
      <c r="P13" s="71" t="s">
        <v>136</v>
      </c>
    </row>
    <row r="14" spans="1:22" x14ac:dyDescent="0.25">
      <c r="A14" s="147"/>
      <c r="B14" s="148"/>
      <c r="C14" s="148"/>
      <c r="D14" s="154"/>
      <c r="E14" s="136"/>
      <c r="F14" s="136"/>
      <c r="G14" s="136"/>
      <c r="H14" s="136"/>
      <c r="I14" s="136"/>
      <c r="J14" s="83" t="s">
        <v>137</v>
      </c>
      <c r="K14" s="84" t="s">
        <v>133</v>
      </c>
      <c r="L14" s="84">
        <v>4.5999999999999996</v>
      </c>
      <c r="M14" s="84" t="s">
        <v>138</v>
      </c>
      <c r="N14" s="84" t="s">
        <v>138</v>
      </c>
      <c r="O14" s="84" t="s">
        <v>138</v>
      </c>
      <c r="P14" s="84" t="s">
        <v>138</v>
      </c>
    </row>
    <row r="15" spans="1:22" ht="45" x14ac:dyDescent="0.25">
      <c r="A15" s="27"/>
      <c r="B15" s="78">
        <v>3</v>
      </c>
      <c r="C15" s="28"/>
      <c r="D15" s="80" t="s">
        <v>139</v>
      </c>
      <c r="E15" s="75">
        <v>4067.5</v>
      </c>
      <c r="F15" s="75">
        <v>4378.8</v>
      </c>
      <c r="G15" s="75">
        <v>5006.3</v>
      </c>
      <c r="H15" s="75">
        <f>5006.3</f>
        <v>5006.3</v>
      </c>
      <c r="I15" s="75">
        <f>H15</f>
        <v>5006.3</v>
      </c>
      <c r="J15" s="83" t="s">
        <v>140</v>
      </c>
      <c r="K15" s="84" t="s">
        <v>141</v>
      </c>
      <c r="L15" s="84">
        <v>49100</v>
      </c>
      <c r="M15" s="84">
        <v>49500</v>
      </c>
      <c r="N15" s="84">
        <v>49800</v>
      </c>
      <c r="O15" s="84">
        <v>50000</v>
      </c>
      <c r="P15" s="84">
        <v>50000</v>
      </c>
    </row>
    <row r="16" spans="1:22" ht="45" x14ac:dyDescent="0.25">
      <c r="A16" s="27"/>
      <c r="B16" s="78">
        <v>4</v>
      </c>
      <c r="C16" s="28"/>
      <c r="D16" s="80" t="s">
        <v>142</v>
      </c>
      <c r="E16" s="75">
        <v>1150.5</v>
      </c>
      <c r="F16" s="75">
        <v>1172.4000000000001</v>
      </c>
      <c r="G16" s="75">
        <v>1301.4000000000001</v>
      </c>
      <c r="H16" s="75">
        <f>1301.4</f>
        <v>1301.4000000000001</v>
      </c>
      <c r="I16" s="75">
        <f>H16</f>
        <v>1301.4000000000001</v>
      </c>
      <c r="J16" s="64" t="s">
        <v>143</v>
      </c>
      <c r="K16" s="84" t="s">
        <v>141</v>
      </c>
      <c r="L16" s="84" t="s">
        <v>144</v>
      </c>
      <c r="M16" s="84" t="s">
        <v>83</v>
      </c>
      <c r="N16" s="84" t="s">
        <v>83</v>
      </c>
      <c r="O16" s="84" t="s">
        <v>83</v>
      </c>
      <c r="P16" s="84" t="s">
        <v>83</v>
      </c>
    </row>
    <row r="17" spans="1:16" ht="30" x14ac:dyDescent="0.25">
      <c r="A17" s="27"/>
      <c r="B17" s="78">
        <v>5</v>
      </c>
      <c r="C17" s="28"/>
      <c r="D17" s="91" t="s">
        <v>278</v>
      </c>
      <c r="E17" s="75"/>
      <c r="F17" s="75"/>
      <c r="G17" s="75">
        <v>23460</v>
      </c>
      <c r="H17" s="75"/>
      <c r="I17" s="75"/>
      <c r="J17" s="64"/>
      <c r="K17" s="84"/>
      <c r="L17" s="84"/>
      <c r="M17" s="84"/>
      <c r="N17" s="84"/>
      <c r="O17" s="84"/>
      <c r="P17" s="84"/>
    </row>
    <row r="18" spans="1:16" ht="60" x14ac:dyDescent="0.25">
      <c r="A18" s="27"/>
      <c r="B18" s="78">
        <v>6</v>
      </c>
      <c r="C18" s="28"/>
      <c r="D18" s="74" t="s">
        <v>145</v>
      </c>
      <c r="E18" s="75">
        <v>4903.8898108569474</v>
      </c>
      <c r="F18" s="75">
        <v>12806.6</v>
      </c>
      <c r="G18" s="75">
        <v>3063.4</v>
      </c>
      <c r="H18" s="75">
        <f>26528.4</f>
        <v>26528.400000000001</v>
      </c>
      <c r="I18" s="75">
        <f>H18</f>
        <v>26528.400000000001</v>
      </c>
      <c r="J18" s="64" t="s">
        <v>146</v>
      </c>
      <c r="K18" s="84" t="s">
        <v>16</v>
      </c>
      <c r="L18" s="84">
        <v>18.7</v>
      </c>
      <c r="M18" s="84">
        <v>18.7</v>
      </c>
      <c r="N18" s="84">
        <v>18.7</v>
      </c>
      <c r="O18" s="84">
        <v>18.7</v>
      </c>
      <c r="P18" s="84">
        <v>18.7</v>
      </c>
    </row>
    <row r="19" spans="1:16" ht="45" x14ac:dyDescent="0.25">
      <c r="A19" s="27"/>
      <c r="B19" s="78">
        <v>27</v>
      </c>
      <c r="C19" s="28"/>
      <c r="D19" s="74" t="s">
        <v>147</v>
      </c>
      <c r="E19" s="75">
        <v>1394.9</v>
      </c>
      <c r="F19" s="75">
        <v>1329.9</v>
      </c>
      <c r="G19" s="75">
        <v>1514.8</v>
      </c>
      <c r="H19" s="75">
        <f>1514.8</f>
        <v>1514.8</v>
      </c>
      <c r="I19" s="75">
        <f>H19</f>
        <v>1514.8</v>
      </c>
      <c r="J19" s="64" t="s">
        <v>148</v>
      </c>
      <c r="K19" s="84" t="s">
        <v>149</v>
      </c>
      <c r="L19" s="84">
        <v>3</v>
      </c>
      <c r="M19" s="84" t="s">
        <v>150</v>
      </c>
      <c r="N19" s="84" t="s">
        <v>150</v>
      </c>
      <c r="O19" s="84" t="s">
        <v>150</v>
      </c>
      <c r="P19" s="84" t="s">
        <v>150</v>
      </c>
    </row>
    <row r="20" spans="1:16" ht="75" x14ac:dyDescent="0.25">
      <c r="A20" s="147"/>
      <c r="B20" s="148">
        <v>7</v>
      </c>
      <c r="C20" s="148"/>
      <c r="D20" s="135" t="s">
        <v>151</v>
      </c>
      <c r="E20" s="136">
        <v>2245</v>
      </c>
      <c r="F20" s="136">
        <v>2473.1999999999998</v>
      </c>
      <c r="G20" s="136">
        <v>2734.6</v>
      </c>
      <c r="H20" s="136">
        <f>2734.6</f>
        <v>2734.6</v>
      </c>
      <c r="I20" s="136">
        <f>H20*1.06</f>
        <v>2898.6759999999999</v>
      </c>
      <c r="J20" s="64" t="s">
        <v>279</v>
      </c>
      <c r="K20" s="84" t="s">
        <v>149</v>
      </c>
      <c r="L20" s="84">
        <v>2</v>
      </c>
      <c r="M20" s="84">
        <v>2</v>
      </c>
      <c r="N20" s="84">
        <v>2</v>
      </c>
      <c r="O20" s="84">
        <v>2</v>
      </c>
      <c r="P20" s="84">
        <v>2</v>
      </c>
    </row>
    <row r="21" spans="1:16" ht="93.75" customHeight="1" x14ac:dyDescent="0.25">
      <c r="A21" s="147"/>
      <c r="B21" s="148"/>
      <c r="C21" s="148"/>
      <c r="D21" s="135"/>
      <c r="E21" s="136"/>
      <c r="F21" s="136"/>
      <c r="G21" s="136"/>
      <c r="H21" s="136"/>
      <c r="I21" s="136"/>
      <c r="J21" s="64" t="s">
        <v>280</v>
      </c>
      <c r="K21" s="84" t="s">
        <v>133</v>
      </c>
      <c r="L21" s="84">
        <v>100</v>
      </c>
      <c r="M21" s="84">
        <v>100</v>
      </c>
      <c r="N21" s="84">
        <v>100</v>
      </c>
      <c r="O21" s="84">
        <v>100</v>
      </c>
      <c r="P21" s="84">
        <v>100</v>
      </c>
    </row>
    <row r="22" spans="1:16" ht="63" customHeight="1" x14ac:dyDescent="0.25">
      <c r="A22" s="147"/>
      <c r="B22" s="148">
        <v>8</v>
      </c>
      <c r="C22" s="148"/>
      <c r="D22" s="149" t="s">
        <v>152</v>
      </c>
      <c r="E22" s="136">
        <v>26929.1</v>
      </c>
      <c r="F22" s="136">
        <v>27169.3</v>
      </c>
      <c r="G22" s="136"/>
      <c r="H22" s="136">
        <f>27269.3+30</f>
        <v>27299.3</v>
      </c>
      <c r="I22" s="136">
        <f>H22</f>
        <v>27299.3</v>
      </c>
      <c r="J22" s="83" t="s">
        <v>281</v>
      </c>
      <c r="K22" s="84" t="s">
        <v>133</v>
      </c>
      <c r="L22" s="1">
        <v>34</v>
      </c>
      <c r="M22" s="1">
        <v>50</v>
      </c>
      <c r="N22" s="1">
        <v>60</v>
      </c>
      <c r="O22" s="1">
        <v>80</v>
      </c>
      <c r="P22" s="1">
        <v>80</v>
      </c>
    </row>
    <row r="23" spans="1:16" ht="45" x14ac:dyDescent="0.25">
      <c r="A23" s="147"/>
      <c r="B23" s="148"/>
      <c r="C23" s="148"/>
      <c r="D23" s="149"/>
      <c r="E23" s="136"/>
      <c r="F23" s="136"/>
      <c r="G23" s="136"/>
      <c r="H23" s="136"/>
      <c r="I23" s="136"/>
      <c r="J23" s="83" t="s">
        <v>153</v>
      </c>
      <c r="K23" s="84" t="s">
        <v>133</v>
      </c>
      <c r="L23" s="1"/>
      <c r="M23" s="1">
        <v>75</v>
      </c>
      <c r="N23" s="1">
        <v>75</v>
      </c>
      <c r="O23" s="1">
        <v>75</v>
      </c>
      <c r="P23" s="1">
        <v>75</v>
      </c>
    </row>
    <row r="24" spans="1:16" ht="195" x14ac:dyDescent="0.25">
      <c r="A24" s="77"/>
      <c r="B24" s="78">
        <v>28</v>
      </c>
      <c r="C24" s="78"/>
      <c r="D24" s="91" t="s">
        <v>277</v>
      </c>
      <c r="E24" s="75"/>
      <c r="F24" s="75"/>
      <c r="G24" s="75">
        <f>27269.3+300</f>
        <v>27569.3</v>
      </c>
      <c r="H24" s="75"/>
      <c r="I24" s="75"/>
      <c r="J24" s="83"/>
      <c r="K24" s="84"/>
      <c r="L24" s="1"/>
      <c r="M24" s="1"/>
      <c r="N24" s="1"/>
      <c r="O24" s="1"/>
      <c r="P24" s="1"/>
    </row>
    <row r="25" spans="1:16" ht="61.5" customHeight="1" x14ac:dyDescent="0.25">
      <c r="A25" s="27"/>
      <c r="B25" s="78">
        <v>29</v>
      </c>
      <c r="C25" s="28"/>
      <c r="D25" s="74" t="s">
        <v>154</v>
      </c>
      <c r="E25" s="75">
        <v>1490.7</v>
      </c>
      <c r="F25" s="75">
        <v>1439.2</v>
      </c>
      <c r="G25" s="75">
        <v>1548.2</v>
      </c>
      <c r="H25" s="75">
        <f>1748.2</f>
        <v>1748.2</v>
      </c>
      <c r="I25" s="75">
        <f>H25</f>
        <v>1748.2</v>
      </c>
      <c r="J25" s="83" t="s">
        <v>282</v>
      </c>
      <c r="K25" s="84" t="s">
        <v>155</v>
      </c>
      <c r="L25" s="1">
        <v>184</v>
      </c>
      <c r="M25" s="1" t="s">
        <v>83</v>
      </c>
      <c r="N25" s="1" t="s">
        <v>83</v>
      </c>
      <c r="O25" s="1" t="s">
        <v>83</v>
      </c>
      <c r="P25" s="1" t="s">
        <v>83</v>
      </c>
    </row>
    <row r="26" spans="1:16" ht="30" x14ac:dyDescent="0.25">
      <c r="A26" s="147"/>
      <c r="B26" s="148">
        <v>30</v>
      </c>
      <c r="C26" s="148"/>
      <c r="D26" s="135" t="s">
        <v>156</v>
      </c>
      <c r="E26" s="136">
        <v>25365.5</v>
      </c>
      <c r="F26" s="136">
        <v>23520.9</v>
      </c>
      <c r="G26" s="136">
        <f>15572.74+8800</f>
        <v>24372.739999999998</v>
      </c>
      <c r="H26" s="136">
        <f>14720.9+8800*1.05</f>
        <v>23960.9</v>
      </c>
      <c r="I26" s="136">
        <f>H26*1.06</f>
        <v>25398.554000000004</v>
      </c>
      <c r="J26" s="83" t="s">
        <v>157</v>
      </c>
      <c r="K26" s="84" t="s">
        <v>149</v>
      </c>
      <c r="L26" s="84">
        <v>13525</v>
      </c>
      <c r="M26" s="84">
        <v>13525</v>
      </c>
      <c r="N26" s="84">
        <v>13600</v>
      </c>
      <c r="O26" s="84">
        <v>13650</v>
      </c>
      <c r="P26" s="84">
        <v>13700</v>
      </c>
    </row>
    <row r="27" spans="1:16" x14ac:dyDescent="0.25">
      <c r="A27" s="147"/>
      <c r="B27" s="148"/>
      <c r="C27" s="148"/>
      <c r="D27" s="135"/>
      <c r="E27" s="136"/>
      <c r="F27" s="136"/>
      <c r="G27" s="136"/>
      <c r="H27" s="136"/>
      <c r="I27" s="136"/>
      <c r="J27" s="83" t="s">
        <v>158</v>
      </c>
      <c r="K27" s="84" t="s">
        <v>12</v>
      </c>
      <c r="L27" s="82">
        <v>295188</v>
      </c>
      <c r="M27" s="82">
        <v>300000</v>
      </c>
      <c r="N27" s="82">
        <v>300100</v>
      </c>
      <c r="O27" s="82">
        <v>300200</v>
      </c>
      <c r="P27" s="82">
        <v>300200</v>
      </c>
    </row>
    <row r="28" spans="1:16" ht="30" x14ac:dyDescent="0.25">
      <c r="A28" s="147"/>
      <c r="B28" s="148"/>
      <c r="C28" s="148"/>
      <c r="D28" s="135"/>
      <c r="E28" s="136"/>
      <c r="F28" s="136"/>
      <c r="G28" s="136"/>
      <c r="H28" s="136"/>
      <c r="I28" s="136"/>
      <c r="J28" s="83" t="s">
        <v>159</v>
      </c>
      <c r="K28" s="84" t="s">
        <v>12</v>
      </c>
      <c r="L28" s="84">
        <v>2058</v>
      </c>
      <c r="M28" s="84">
        <v>2100</v>
      </c>
      <c r="N28" s="84">
        <v>2200</v>
      </c>
      <c r="O28" s="84">
        <v>2300</v>
      </c>
      <c r="P28" s="84">
        <v>2300</v>
      </c>
    </row>
    <row r="29" spans="1:16" ht="15" customHeight="1" x14ac:dyDescent="0.25">
      <c r="A29" s="147"/>
      <c r="B29" s="148"/>
      <c r="C29" s="148"/>
      <c r="D29" s="135"/>
      <c r="E29" s="136"/>
      <c r="F29" s="136"/>
      <c r="G29" s="136"/>
      <c r="H29" s="136"/>
      <c r="I29" s="136"/>
      <c r="J29" s="64" t="s">
        <v>283</v>
      </c>
      <c r="K29" s="84" t="s">
        <v>12</v>
      </c>
      <c r="L29" s="84">
        <v>250</v>
      </c>
      <c r="M29" s="84" t="s">
        <v>83</v>
      </c>
      <c r="N29" s="84" t="s">
        <v>83</v>
      </c>
      <c r="O29" s="84" t="s">
        <v>83</v>
      </c>
      <c r="P29" s="84" t="s">
        <v>83</v>
      </c>
    </row>
    <row r="30" spans="1:16" ht="15" customHeight="1" x14ac:dyDescent="0.25">
      <c r="A30" s="155" t="s">
        <v>160</v>
      </c>
      <c r="B30" s="134"/>
      <c r="C30" s="134"/>
      <c r="D30" s="135" t="s">
        <v>258</v>
      </c>
      <c r="E30" s="140">
        <f t="shared" ref="E30:I30" si="0">SUM(E33:E53)</f>
        <v>896591.60000000009</v>
      </c>
      <c r="F30" s="140">
        <f t="shared" si="0"/>
        <v>819909.20000000007</v>
      </c>
      <c r="G30" s="140">
        <f t="shared" si="0"/>
        <v>965863.49999999988</v>
      </c>
      <c r="H30" s="140">
        <f t="shared" si="0"/>
        <v>966441.85799999989</v>
      </c>
      <c r="I30" s="140">
        <f t="shared" si="0"/>
        <v>967541.49947999988</v>
      </c>
      <c r="J30" s="64"/>
      <c r="K30" s="84"/>
      <c r="L30" s="3"/>
      <c r="M30" s="3"/>
      <c r="N30" s="3"/>
      <c r="O30" s="3"/>
      <c r="P30" s="3"/>
    </row>
    <row r="31" spans="1:16" ht="60" x14ac:dyDescent="0.25">
      <c r="A31" s="155"/>
      <c r="B31" s="134"/>
      <c r="C31" s="134"/>
      <c r="D31" s="135"/>
      <c r="E31" s="140"/>
      <c r="F31" s="140"/>
      <c r="G31" s="140"/>
      <c r="H31" s="140"/>
      <c r="I31" s="140"/>
      <c r="J31" s="64" t="s">
        <v>161</v>
      </c>
      <c r="K31" s="84" t="s">
        <v>12</v>
      </c>
      <c r="L31" s="3"/>
      <c r="M31" s="3" t="s">
        <v>83</v>
      </c>
      <c r="N31" s="3" t="s">
        <v>83</v>
      </c>
      <c r="O31" s="3" t="s">
        <v>83</v>
      </c>
      <c r="P31" s="3" t="s">
        <v>83</v>
      </c>
    </row>
    <row r="32" spans="1:16" ht="58.5" customHeight="1" x14ac:dyDescent="0.25">
      <c r="A32" s="155"/>
      <c r="B32" s="134"/>
      <c r="C32" s="134"/>
      <c r="D32" s="135"/>
      <c r="E32" s="140"/>
      <c r="F32" s="140"/>
      <c r="G32" s="140"/>
      <c r="H32" s="140"/>
      <c r="I32" s="140"/>
      <c r="J32" s="64" t="s">
        <v>284</v>
      </c>
      <c r="K32" s="84" t="s">
        <v>12</v>
      </c>
      <c r="L32" s="3" t="s">
        <v>162</v>
      </c>
      <c r="M32" s="3" t="s">
        <v>83</v>
      </c>
      <c r="N32" s="3" t="s">
        <v>83</v>
      </c>
      <c r="O32" s="3" t="s">
        <v>83</v>
      </c>
      <c r="P32" s="3" t="s">
        <v>83</v>
      </c>
    </row>
    <row r="33" spans="1:16" ht="45" x14ac:dyDescent="0.25">
      <c r="A33" s="134"/>
      <c r="B33" s="134" t="s">
        <v>5</v>
      </c>
      <c r="C33" s="134"/>
      <c r="D33" s="139" t="s">
        <v>285</v>
      </c>
      <c r="E33" s="136">
        <v>546303.6</v>
      </c>
      <c r="F33" s="136">
        <v>526962.80000000005</v>
      </c>
      <c r="G33" s="136">
        <f>408357.1+162571.6</f>
        <v>570928.69999999995</v>
      </c>
      <c r="H33" s="136">
        <f>408357.1+162537.1</f>
        <v>570894.19999999995</v>
      </c>
      <c r="I33" s="136">
        <f>H33</f>
        <v>570894.19999999995</v>
      </c>
      <c r="J33" s="83" t="s">
        <v>163</v>
      </c>
      <c r="K33" s="84" t="s">
        <v>164</v>
      </c>
      <c r="L33" s="60">
        <v>14</v>
      </c>
      <c r="M33" s="60">
        <v>15</v>
      </c>
      <c r="N33" s="60">
        <v>16</v>
      </c>
      <c r="O33" s="60">
        <v>17</v>
      </c>
      <c r="P33" s="60">
        <v>18</v>
      </c>
    </row>
    <row r="34" spans="1:16" ht="47.25" customHeight="1" x14ac:dyDescent="0.25">
      <c r="A34" s="134"/>
      <c r="B34" s="134"/>
      <c r="C34" s="134"/>
      <c r="D34" s="139"/>
      <c r="E34" s="136"/>
      <c r="F34" s="136"/>
      <c r="G34" s="136"/>
      <c r="H34" s="136"/>
      <c r="I34" s="136"/>
      <c r="J34" s="83" t="s">
        <v>165</v>
      </c>
      <c r="K34" s="84" t="s">
        <v>166</v>
      </c>
      <c r="L34" s="60">
        <v>57</v>
      </c>
      <c r="M34" s="60">
        <v>57</v>
      </c>
      <c r="N34" s="60">
        <v>57</v>
      </c>
      <c r="O34" s="60">
        <v>57</v>
      </c>
      <c r="P34" s="60">
        <v>57</v>
      </c>
    </row>
    <row r="35" spans="1:16" ht="60" x14ac:dyDescent="0.25">
      <c r="A35" s="134"/>
      <c r="B35" s="134"/>
      <c r="C35" s="134"/>
      <c r="D35" s="139"/>
      <c r="E35" s="136"/>
      <c r="F35" s="136"/>
      <c r="G35" s="136"/>
      <c r="H35" s="136"/>
      <c r="I35" s="136"/>
      <c r="J35" s="83" t="s">
        <v>286</v>
      </c>
      <c r="K35" s="84" t="s">
        <v>167</v>
      </c>
      <c r="L35" s="60">
        <v>12.4</v>
      </c>
      <c r="M35" s="60">
        <v>12.4</v>
      </c>
      <c r="N35" s="60">
        <v>12.2</v>
      </c>
      <c r="O35" s="60">
        <v>12</v>
      </c>
      <c r="P35" s="60">
        <v>11.9</v>
      </c>
    </row>
    <row r="36" spans="1:16" ht="33.75" customHeight="1" x14ac:dyDescent="0.25">
      <c r="A36" s="134"/>
      <c r="B36" s="134"/>
      <c r="C36" s="134"/>
      <c r="D36" s="139"/>
      <c r="E36" s="136"/>
      <c r="F36" s="136"/>
      <c r="G36" s="136"/>
      <c r="H36" s="136"/>
      <c r="I36" s="136"/>
      <c r="J36" s="83" t="s">
        <v>168</v>
      </c>
      <c r="K36" s="84" t="s">
        <v>167</v>
      </c>
      <c r="L36" s="75">
        <v>164</v>
      </c>
      <c r="M36" s="75">
        <v>150</v>
      </c>
      <c r="N36" s="75">
        <v>145.5</v>
      </c>
      <c r="O36" s="75">
        <v>144</v>
      </c>
      <c r="P36" s="75">
        <v>140</v>
      </c>
    </row>
    <row r="37" spans="1:16" ht="36.75" customHeight="1" x14ac:dyDescent="0.25">
      <c r="A37" s="134"/>
      <c r="B37" s="134"/>
      <c r="C37" s="134"/>
      <c r="D37" s="139"/>
      <c r="E37" s="136"/>
      <c r="F37" s="136"/>
      <c r="G37" s="136"/>
      <c r="H37" s="136"/>
      <c r="I37" s="136"/>
      <c r="J37" s="83" t="s">
        <v>169</v>
      </c>
      <c r="K37" s="84" t="s">
        <v>167</v>
      </c>
      <c r="L37" s="75">
        <v>498</v>
      </c>
      <c r="M37" s="75">
        <v>490</v>
      </c>
      <c r="N37" s="75">
        <v>485</v>
      </c>
      <c r="O37" s="75">
        <v>480</v>
      </c>
      <c r="P37" s="75">
        <v>475</v>
      </c>
    </row>
    <row r="38" spans="1:16" ht="45" x14ac:dyDescent="0.25">
      <c r="A38" s="134"/>
      <c r="B38" s="134" t="s">
        <v>9</v>
      </c>
      <c r="C38" s="134"/>
      <c r="D38" s="135" t="s">
        <v>170</v>
      </c>
      <c r="E38" s="136">
        <v>88131</v>
      </c>
      <c r="F38" s="136">
        <v>13004.8</v>
      </c>
      <c r="G38" s="136">
        <f>98602.5+22751.7</f>
        <v>121354.2</v>
      </c>
      <c r="H38" s="136">
        <f>97477.5+22751.7</f>
        <v>120229.2</v>
      </c>
      <c r="I38" s="136">
        <f>H38</f>
        <v>120229.2</v>
      </c>
      <c r="J38" s="83" t="s">
        <v>171</v>
      </c>
      <c r="K38" s="84" t="s">
        <v>172</v>
      </c>
      <c r="L38" s="84">
        <v>94.1</v>
      </c>
      <c r="M38" s="84" t="s">
        <v>173</v>
      </c>
      <c r="N38" s="84" t="s">
        <v>173</v>
      </c>
      <c r="O38" s="84" t="s">
        <v>173</v>
      </c>
      <c r="P38" s="84" t="s">
        <v>173</v>
      </c>
    </row>
    <row r="39" spans="1:16" ht="75" customHeight="1" x14ac:dyDescent="0.25">
      <c r="A39" s="134"/>
      <c r="B39" s="134"/>
      <c r="C39" s="134"/>
      <c r="D39" s="135"/>
      <c r="E39" s="136"/>
      <c r="F39" s="136"/>
      <c r="G39" s="136"/>
      <c r="H39" s="136"/>
      <c r="I39" s="136"/>
      <c r="J39" s="83" t="s">
        <v>174</v>
      </c>
      <c r="K39" s="84" t="s">
        <v>172</v>
      </c>
      <c r="L39" s="82">
        <v>95</v>
      </c>
      <c r="M39" s="84" t="s">
        <v>175</v>
      </c>
      <c r="N39" s="84" t="s">
        <v>175</v>
      </c>
      <c r="O39" s="84" t="s">
        <v>175</v>
      </c>
      <c r="P39" s="84" t="s">
        <v>175</v>
      </c>
    </row>
    <row r="40" spans="1:16" ht="30" x14ac:dyDescent="0.25">
      <c r="A40" s="134"/>
      <c r="B40" s="134" t="s">
        <v>13</v>
      </c>
      <c r="C40" s="162"/>
      <c r="D40" s="135" t="s">
        <v>176</v>
      </c>
      <c r="E40" s="136">
        <v>40544.9</v>
      </c>
      <c r="F40" s="136">
        <v>42548.7</v>
      </c>
      <c r="G40" s="136">
        <f>15358.7+489</f>
        <v>15847.7</v>
      </c>
      <c r="H40" s="136">
        <f>15358.7+523.5</f>
        <v>15882.2</v>
      </c>
      <c r="I40" s="136">
        <f>H40</f>
        <v>15882.2</v>
      </c>
      <c r="J40" s="83" t="s">
        <v>287</v>
      </c>
      <c r="K40" s="84" t="s">
        <v>164</v>
      </c>
      <c r="L40" s="60">
        <v>250</v>
      </c>
      <c r="M40" s="60">
        <v>250</v>
      </c>
      <c r="N40" s="60">
        <v>250</v>
      </c>
      <c r="O40" s="60">
        <v>250</v>
      </c>
      <c r="P40" s="60">
        <v>250</v>
      </c>
    </row>
    <row r="41" spans="1:16" ht="60" x14ac:dyDescent="0.25">
      <c r="A41" s="134"/>
      <c r="B41" s="134"/>
      <c r="C41" s="162"/>
      <c r="D41" s="135"/>
      <c r="E41" s="136"/>
      <c r="F41" s="136"/>
      <c r="G41" s="136"/>
      <c r="H41" s="136"/>
      <c r="I41" s="136"/>
      <c r="J41" s="83" t="s">
        <v>177</v>
      </c>
      <c r="K41" s="84" t="s">
        <v>178</v>
      </c>
      <c r="L41" s="60">
        <v>200</v>
      </c>
      <c r="M41" s="29">
        <v>230</v>
      </c>
      <c r="N41" s="29">
        <v>230</v>
      </c>
      <c r="O41" s="29">
        <v>250</v>
      </c>
      <c r="P41" s="29">
        <v>250</v>
      </c>
    </row>
    <row r="42" spans="1:16" ht="30" x14ac:dyDescent="0.25">
      <c r="A42" s="134"/>
      <c r="B42" s="134"/>
      <c r="C42" s="162"/>
      <c r="D42" s="135"/>
      <c r="E42" s="136"/>
      <c r="F42" s="136"/>
      <c r="G42" s="136"/>
      <c r="H42" s="136"/>
      <c r="I42" s="136"/>
      <c r="J42" s="83" t="s">
        <v>179</v>
      </c>
      <c r="K42" s="84" t="s">
        <v>178</v>
      </c>
      <c r="L42" s="60">
        <v>2000</v>
      </c>
      <c r="M42" s="29">
        <v>2000</v>
      </c>
      <c r="N42" s="29">
        <v>2000</v>
      </c>
      <c r="O42" s="29">
        <v>2000</v>
      </c>
      <c r="P42" s="29">
        <v>2000</v>
      </c>
    </row>
    <row r="43" spans="1:16" ht="45" x14ac:dyDescent="0.25">
      <c r="A43" s="134"/>
      <c r="B43" s="134"/>
      <c r="C43" s="162"/>
      <c r="D43" s="135"/>
      <c r="E43" s="136"/>
      <c r="F43" s="136"/>
      <c r="G43" s="136"/>
      <c r="H43" s="136"/>
      <c r="I43" s="136"/>
      <c r="J43" s="83" t="s">
        <v>288</v>
      </c>
      <c r="K43" s="84" t="s">
        <v>164</v>
      </c>
      <c r="L43" s="60">
        <v>15</v>
      </c>
      <c r="M43" s="29">
        <v>15</v>
      </c>
      <c r="N43" s="29">
        <v>15</v>
      </c>
      <c r="O43" s="29">
        <v>15</v>
      </c>
      <c r="P43" s="29">
        <v>15</v>
      </c>
    </row>
    <row r="44" spans="1:16" ht="60" x14ac:dyDescent="0.25">
      <c r="A44" s="134"/>
      <c r="B44" s="134"/>
      <c r="C44" s="162"/>
      <c r="D44" s="135"/>
      <c r="E44" s="136"/>
      <c r="F44" s="136"/>
      <c r="G44" s="136"/>
      <c r="H44" s="136"/>
      <c r="I44" s="136"/>
      <c r="J44" s="83" t="s">
        <v>180</v>
      </c>
      <c r="K44" s="84" t="s">
        <v>181</v>
      </c>
      <c r="L44" s="60">
        <v>4</v>
      </c>
      <c r="M44" s="29">
        <v>4</v>
      </c>
      <c r="N44" s="29">
        <v>4</v>
      </c>
      <c r="O44" s="29">
        <v>4</v>
      </c>
      <c r="P44" s="29">
        <v>4</v>
      </c>
    </row>
    <row r="45" spans="1:16" ht="60" x14ac:dyDescent="0.25">
      <c r="A45" s="134"/>
      <c r="B45" s="134"/>
      <c r="C45" s="162"/>
      <c r="D45" s="135"/>
      <c r="E45" s="136"/>
      <c r="F45" s="136"/>
      <c r="G45" s="136"/>
      <c r="H45" s="136"/>
      <c r="I45" s="136"/>
      <c r="J45" s="83" t="s">
        <v>182</v>
      </c>
      <c r="K45" s="84" t="s">
        <v>181</v>
      </c>
      <c r="L45" s="60">
        <v>4</v>
      </c>
      <c r="M45" s="29">
        <v>4</v>
      </c>
      <c r="N45" s="29">
        <v>4</v>
      </c>
      <c r="O45" s="29">
        <v>4</v>
      </c>
      <c r="P45" s="29">
        <v>4</v>
      </c>
    </row>
    <row r="46" spans="1:16" ht="60" x14ac:dyDescent="0.25">
      <c r="A46" s="134"/>
      <c r="B46" s="134"/>
      <c r="C46" s="162"/>
      <c r="D46" s="135"/>
      <c r="E46" s="136"/>
      <c r="F46" s="136"/>
      <c r="G46" s="136"/>
      <c r="H46" s="136"/>
      <c r="I46" s="136"/>
      <c r="J46" s="83" t="s">
        <v>177</v>
      </c>
      <c r="K46" s="84" t="s">
        <v>178</v>
      </c>
      <c r="L46" s="60">
        <v>200</v>
      </c>
      <c r="M46" s="29">
        <v>230</v>
      </c>
      <c r="N46" s="29">
        <v>230</v>
      </c>
      <c r="O46" s="29">
        <v>230</v>
      </c>
      <c r="P46" s="29">
        <v>230</v>
      </c>
    </row>
    <row r="47" spans="1:16" ht="30" customHeight="1" x14ac:dyDescent="0.25">
      <c r="A47" s="134"/>
      <c r="B47" s="134"/>
      <c r="C47" s="162"/>
      <c r="D47" s="135"/>
      <c r="E47" s="136"/>
      <c r="F47" s="136"/>
      <c r="G47" s="136"/>
      <c r="H47" s="136"/>
      <c r="I47" s="136"/>
      <c r="J47" s="83" t="s">
        <v>183</v>
      </c>
      <c r="K47" s="84" t="s">
        <v>181</v>
      </c>
      <c r="L47" s="60">
        <v>4</v>
      </c>
      <c r="M47" s="29">
        <v>4</v>
      </c>
      <c r="N47" s="29">
        <v>4</v>
      </c>
      <c r="O47" s="29">
        <v>4</v>
      </c>
      <c r="P47" s="29">
        <v>4</v>
      </c>
    </row>
    <row r="48" spans="1:16" ht="60" x14ac:dyDescent="0.25">
      <c r="A48" s="134"/>
      <c r="B48" s="134" t="s">
        <v>38</v>
      </c>
      <c r="C48" s="134"/>
      <c r="D48" s="139" t="s">
        <v>184</v>
      </c>
      <c r="E48" s="136">
        <v>149475.29999999999</v>
      </c>
      <c r="F48" s="136">
        <v>153959.20000000001</v>
      </c>
      <c r="G48" s="136">
        <f>105833.9+73807.2</f>
        <v>179641.09999999998</v>
      </c>
      <c r="H48" s="136">
        <f>102833.9+73807.2</f>
        <v>176641.09999999998</v>
      </c>
      <c r="I48" s="136">
        <f>H48</f>
        <v>176641.09999999998</v>
      </c>
      <c r="J48" s="83" t="s">
        <v>185</v>
      </c>
      <c r="K48" s="84" t="s">
        <v>186</v>
      </c>
      <c r="L48" s="60">
        <v>13</v>
      </c>
      <c r="M48" s="60">
        <v>13</v>
      </c>
      <c r="N48" s="60">
        <v>13</v>
      </c>
      <c r="O48" s="60">
        <v>13</v>
      </c>
      <c r="P48" s="60">
        <v>13</v>
      </c>
    </row>
    <row r="49" spans="1:16" ht="75" x14ac:dyDescent="0.25">
      <c r="A49" s="134"/>
      <c r="B49" s="134"/>
      <c r="C49" s="134"/>
      <c r="D49" s="139"/>
      <c r="E49" s="136"/>
      <c r="F49" s="136"/>
      <c r="G49" s="136"/>
      <c r="H49" s="136"/>
      <c r="I49" s="136"/>
      <c r="J49" s="83" t="s">
        <v>187</v>
      </c>
      <c r="K49" s="84" t="s">
        <v>133</v>
      </c>
      <c r="L49" s="60">
        <v>77.3</v>
      </c>
      <c r="M49" s="29">
        <v>85</v>
      </c>
      <c r="N49" s="29">
        <v>85</v>
      </c>
      <c r="O49" s="29">
        <v>85</v>
      </c>
      <c r="P49" s="29">
        <v>85</v>
      </c>
    </row>
    <row r="50" spans="1:16" ht="30" x14ac:dyDescent="0.25">
      <c r="A50" s="134"/>
      <c r="B50" s="134"/>
      <c r="C50" s="134"/>
      <c r="D50" s="139"/>
      <c r="E50" s="136"/>
      <c r="F50" s="136"/>
      <c r="G50" s="136"/>
      <c r="H50" s="136"/>
      <c r="I50" s="136"/>
      <c r="J50" s="83" t="s">
        <v>188</v>
      </c>
      <c r="K50" s="84" t="s">
        <v>133</v>
      </c>
      <c r="L50" s="60">
        <v>58.3</v>
      </c>
      <c r="M50" s="29">
        <v>67</v>
      </c>
      <c r="N50" s="29">
        <v>75</v>
      </c>
      <c r="O50" s="29">
        <v>90</v>
      </c>
      <c r="P50" s="29">
        <v>90</v>
      </c>
    </row>
    <row r="51" spans="1:16" ht="120" x14ac:dyDescent="0.25">
      <c r="A51" s="30"/>
      <c r="B51" s="73" t="s">
        <v>41</v>
      </c>
      <c r="C51" s="30"/>
      <c r="D51" s="74" t="s">
        <v>189</v>
      </c>
      <c r="E51" s="75">
        <v>0</v>
      </c>
      <c r="F51" s="75">
        <v>3000</v>
      </c>
      <c r="G51" s="75"/>
      <c r="H51" s="75">
        <f>3000</f>
        <v>3000</v>
      </c>
      <c r="I51" s="75">
        <f>H51</f>
        <v>3000</v>
      </c>
      <c r="J51" s="83" t="s">
        <v>289</v>
      </c>
      <c r="K51" s="84" t="s">
        <v>190</v>
      </c>
      <c r="L51" s="82" t="s">
        <v>191</v>
      </c>
      <c r="M51" s="82" t="s">
        <v>191</v>
      </c>
      <c r="N51" s="82" t="s">
        <v>192</v>
      </c>
      <c r="O51" s="82" t="s">
        <v>193</v>
      </c>
      <c r="P51" s="82" t="s">
        <v>193</v>
      </c>
    </row>
    <row r="52" spans="1:16" ht="110.25" customHeight="1" x14ac:dyDescent="0.25">
      <c r="A52" s="30"/>
      <c r="B52" s="73" t="s">
        <v>46</v>
      </c>
      <c r="C52" s="30"/>
      <c r="D52" s="74" t="s">
        <v>194</v>
      </c>
      <c r="E52" s="75">
        <v>54740.9</v>
      </c>
      <c r="F52" s="75">
        <v>62914.8</v>
      </c>
      <c r="G52" s="75">
        <f>57479.7+2863.1</f>
        <v>60342.799999999996</v>
      </c>
      <c r="H52" s="75">
        <f>58604.7+2863.1</f>
        <v>61467.799999999996</v>
      </c>
      <c r="I52" s="75">
        <f>H52</f>
        <v>61467.799999999996</v>
      </c>
      <c r="J52" s="83" t="s">
        <v>195</v>
      </c>
      <c r="K52" s="84" t="s">
        <v>164</v>
      </c>
      <c r="L52" s="82">
        <v>9</v>
      </c>
      <c r="M52" s="82">
        <v>10</v>
      </c>
      <c r="N52" s="82">
        <v>10</v>
      </c>
      <c r="O52" s="82">
        <v>11</v>
      </c>
      <c r="P52" s="82">
        <v>11</v>
      </c>
    </row>
    <row r="53" spans="1:16" ht="78.75" customHeight="1" x14ac:dyDescent="0.25">
      <c r="A53" s="30"/>
      <c r="B53" s="73" t="s">
        <v>50</v>
      </c>
      <c r="C53" s="30"/>
      <c r="D53" s="74" t="s">
        <v>196</v>
      </c>
      <c r="E53" s="75">
        <v>17395.900000000001</v>
      </c>
      <c r="F53" s="75">
        <v>17518.900000000001</v>
      </c>
      <c r="G53" s="75">
        <f>8109.7+9639.3</f>
        <v>17749</v>
      </c>
      <c r="H53" s="75">
        <f>8109.7+9639.3*1.06</f>
        <v>18327.358</v>
      </c>
      <c r="I53" s="75">
        <f>H53*1.06</f>
        <v>19426.999480000002</v>
      </c>
      <c r="J53" s="83" t="s">
        <v>290</v>
      </c>
      <c r="K53" s="84" t="s">
        <v>164</v>
      </c>
      <c r="L53" s="82">
        <v>65</v>
      </c>
      <c r="M53" s="26">
        <v>70</v>
      </c>
      <c r="N53" s="26">
        <v>75</v>
      </c>
      <c r="O53" s="26">
        <v>80</v>
      </c>
      <c r="P53" s="26">
        <v>80</v>
      </c>
    </row>
    <row r="54" spans="1:16" x14ac:dyDescent="0.25">
      <c r="A54" s="155" t="s">
        <v>55</v>
      </c>
      <c r="B54" s="134"/>
      <c r="C54" s="134"/>
      <c r="D54" s="139" t="s">
        <v>259</v>
      </c>
      <c r="E54" s="140">
        <f>SUM(E58:E79)</f>
        <v>1712573</v>
      </c>
      <c r="F54" s="140">
        <f>SUM(F58:F79)</f>
        <v>1726570.7000000002</v>
      </c>
      <c r="G54" s="140">
        <f>SUM(G58:G79)</f>
        <v>1534138.19</v>
      </c>
      <c r="H54" s="140">
        <f>H58+H62+H65+H67+H68+H71+H74+H77+H78+H79+H63+H70+H73+H76</f>
        <v>1723825.5799999998</v>
      </c>
      <c r="I54" s="140">
        <f>SUM(I58:I79)</f>
        <v>1731895.88</v>
      </c>
      <c r="J54" s="158" t="s">
        <v>197</v>
      </c>
      <c r="K54" s="159" t="s">
        <v>186</v>
      </c>
      <c r="L54" s="156">
        <v>65.599999999999994</v>
      </c>
      <c r="M54" s="157" t="s">
        <v>198</v>
      </c>
      <c r="N54" s="157" t="s">
        <v>198</v>
      </c>
      <c r="O54" s="157" t="s">
        <v>198</v>
      </c>
      <c r="P54" s="157" t="s">
        <v>198</v>
      </c>
    </row>
    <row r="55" spans="1:16" x14ac:dyDescent="0.25">
      <c r="A55" s="155"/>
      <c r="B55" s="134"/>
      <c r="C55" s="134"/>
      <c r="D55" s="139"/>
      <c r="E55" s="140"/>
      <c r="F55" s="140"/>
      <c r="G55" s="140"/>
      <c r="H55" s="140"/>
      <c r="I55" s="140"/>
      <c r="J55" s="158"/>
      <c r="K55" s="159"/>
      <c r="L55" s="156"/>
      <c r="M55" s="157"/>
      <c r="N55" s="157"/>
      <c r="O55" s="157"/>
      <c r="P55" s="157"/>
    </row>
    <row r="56" spans="1:16" ht="60" x14ac:dyDescent="0.25">
      <c r="A56" s="155"/>
      <c r="B56" s="134"/>
      <c r="C56" s="134"/>
      <c r="D56" s="139"/>
      <c r="E56" s="140"/>
      <c r="F56" s="140"/>
      <c r="G56" s="140"/>
      <c r="H56" s="140"/>
      <c r="I56" s="140"/>
      <c r="J56" s="83" t="s">
        <v>199</v>
      </c>
      <c r="K56" s="84" t="s">
        <v>186</v>
      </c>
      <c r="L56" s="82">
        <v>6.8</v>
      </c>
      <c r="M56" s="26" t="s">
        <v>200</v>
      </c>
      <c r="N56" s="26" t="s">
        <v>200</v>
      </c>
      <c r="O56" s="26" t="s">
        <v>200</v>
      </c>
      <c r="P56" s="26" t="s">
        <v>200</v>
      </c>
    </row>
    <row r="57" spans="1:16" ht="60" x14ac:dyDescent="0.25">
      <c r="A57" s="155"/>
      <c r="B57" s="134"/>
      <c r="C57" s="134"/>
      <c r="D57" s="139"/>
      <c r="E57" s="140"/>
      <c r="F57" s="140"/>
      <c r="G57" s="140"/>
      <c r="H57" s="140"/>
      <c r="I57" s="140"/>
      <c r="J57" s="83" t="s">
        <v>201</v>
      </c>
      <c r="K57" s="84" t="s">
        <v>186</v>
      </c>
      <c r="L57" s="81">
        <v>27.9</v>
      </c>
      <c r="M57" s="26">
        <v>19.5</v>
      </c>
      <c r="N57" s="84">
        <v>19.100000000000001</v>
      </c>
      <c r="O57" s="84">
        <v>18.7</v>
      </c>
      <c r="P57" s="84">
        <v>18.7</v>
      </c>
    </row>
    <row r="58" spans="1:16" ht="45" x14ac:dyDescent="0.25">
      <c r="A58" s="134"/>
      <c r="B58" s="134" t="s">
        <v>5</v>
      </c>
      <c r="C58" s="134"/>
      <c r="D58" s="139" t="s">
        <v>202</v>
      </c>
      <c r="E58" s="136">
        <v>66131.5</v>
      </c>
      <c r="F58" s="136">
        <v>68471.7</v>
      </c>
      <c r="G58" s="136">
        <f>58884.9+13050.2</f>
        <v>71935.100000000006</v>
      </c>
      <c r="H58" s="136">
        <f>58884.9+13050.2</f>
        <v>71935.100000000006</v>
      </c>
      <c r="I58" s="136">
        <f>H58</f>
        <v>71935.100000000006</v>
      </c>
      <c r="J58" s="83" t="s">
        <v>203</v>
      </c>
      <c r="K58" s="84" t="s">
        <v>12</v>
      </c>
      <c r="L58" s="84">
        <v>897</v>
      </c>
      <c r="M58" s="84">
        <v>1000</v>
      </c>
      <c r="N58" s="84">
        <v>1000</v>
      </c>
      <c r="O58" s="84">
        <v>1000</v>
      </c>
      <c r="P58" s="84">
        <v>1000</v>
      </c>
    </row>
    <row r="59" spans="1:16" ht="60" x14ac:dyDescent="0.25">
      <c r="A59" s="134"/>
      <c r="B59" s="134"/>
      <c r="C59" s="134"/>
      <c r="D59" s="139"/>
      <c r="E59" s="136"/>
      <c r="F59" s="136"/>
      <c r="G59" s="136"/>
      <c r="H59" s="136"/>
      <c r="I59" s="136"/>
      <c r="J59" s="83" t="s">
        <v>204</v>
      </c>
      <c r="K59" s="84" t="s">
        <v>16</v>
      </c>
      <c r="L59" s="84">
        <v>82</v>
      </c>
      <c r="M59" s="84">
        <v>83</v>
      </c>
      <c r="N59" s="84">
        <v>84</v>
      </c>
      <c r="O59" s="84">
        <v>85</v>
      </c>
      <c r="P59" s="84">
        <v>85</v>
      </c>
    </row>
    <row r="60" spans="1:16" ht="75" x14ac:dyDescent="0.25">
      <c r="A60" s="134"/>
      <c r="B60" s="134"/>
      <c r="C60" s="134"/>
      <c r="D60" s="139"/>
      <c r="E60" s="136"/>
      <c r="F60" s="136"/>
      <c r="G60" s="136"/>
      <c r="H60" s="136"/>
      <c r="I60" s="136"/>
      <c r="J60" s="83" t="s">
        <v>205</v>
      </c>
      <c r="K60" s="84" t="s">
        <v>16</v>
      </c>
      <c r="L60" s="84" t="s">
        <v>206</v>
      </c>
      <c r="M60" s="84" t="s">
        <v>206</v>
      </c>
      <c r="N60" s="84" t="s">
        <v>206</v>
      </c>
      <c r="O60" s="84" t="s">
        <v>206</v>
      </c>
      <c r="P60" s="84" t="s">
        <v>206</v>
      </c>
    </row>
    <row r="61" spans="1:16" ht="60" x14ac:dyDescent="0.25">
      <c r="A61" s="134"/>
      <c r="B61" s="134"/>
      <c r="C61" s="134"/>
      <c r="D61" s="139"/>
      <c r="E61" s="136"/>
      <c r="F61" s="136"/>
      <c r="G61" s="136"/>
      <c r="H61" s="136"/>
      <c r="I61" s="136"/>
      <c r="J61" s="83" t="s">
        <v>207</v>
      </c>
      <c r="K61" s="84" t="s">
        <v>141</v>
      </c>
      <c r="L61" s="84">
        <v>29</v>
      </c>
      <c r="M61" s="84">
        <v>30</v>
      </c>
      <c r="N61" s="84">
        <v>31</v>
      </c>
      <c r="O61" s="84">
        <v>32</v>
      </c>
      <c r="P61" s="84">
        <v>32</v>
      </c>
    </row>
    <row r="62" spans="1:16" ht="45" x14ac:dyDescent="0.25">
      <c r="A62" s="30"/>
      <c r="B62" s="73" t="s">
        <v>9</v>
      </c>
      <c r="C62" s="30"/>
      <c r="D62" s="74" t="s">
        <v>208</v>
      </c>
      <c r="E62" s="75">
        <v>10073</v>
      </c>
      <c r="F62" s="75">
        <v>9962.7000000000007</v>
      </c>
      <c r="G62" s="75">
        <f>10257</f>
        <v>10257</v>
      </c>
      <c r="H62" s="75">
        <f>10257</f>
        <v>10257</v>
      </c>
      <c r="I62" s="75">
        <f>H62</f>
        <v>10257</v>
      </c>
      <c r="J62" s="83" t="s">
        <v>209</v>
      </c>
      <c r="K62" s="84" t="s">
        <v>172</v>
      </c>
      <c r="L62" s="15">
        <v>0.2</v>
      </c>
      <c r="M62" s="15">
        <v>0.2</v>
      </c>
      <c r="N62" s="15">
        <v>0.2</v>
      </c>
      <c r="O62" s="15">
        <v>0.2</v>
      </c>
      <c r="P62" s="15">
        <v>0.2</v>
      </c>
    </row>
    <row r="63" spans="1:16" ht="60" x14ac:dyDescent="0.25">
      <c r="A63" s="134"/>
      <c r="B63" s="134" t="s">
        <v>13</v>
      </c>
      <c r="C63" s="134"/>
      <c r="D63" s="139" t="s">
        <v>210</v>
      </c>
      <c r="E63" s="136">
        <v>12100</v>
      </c>
      <c r="F63" s="136">
        <v>9000</v>
      </c>
      <c r="G63" s="136"/>
      <c r="H63" s="136">
        <f>9000</f>
        <v>9000</v>
      </c>
      <c r="I63" s="136">
        <f>H63</f>
        <v>9000</v>
      </c>
      <c r="J63" s="83" t="s">
        <v>211</v>
      </c>
      <c r="K63" s="84" t="s">
        <v>212</v>
      </c>
      <c r="L63" s="83">
        <v>83.4</v>
      </c>
      <c r="M63" s="83">
        <v>82.5</v>
      </c>
      <c r="N63" s="83">
        <v>80.5</v>
      </c>
      <c r="O63" s="83">
        <v>75.5</v>
      </c>
      <c r="P63" s="83">
        <v>75.5</v>
      </c>
    </row>
    <row r="64" spans="1:16" x14ac:dyDescent="0.25">
      <c r="A64" s="134"/>
      <c r="B64" s="134"/>
      <c r="C64" s="134"/>
      <c r="D64" s="139"/>
      <c r="E64" s="136"/>
      <c r="F64" s="136"/>
      <c r="G64" s="136"/>
      <c r="H64" s="136"/>
      <c r="I64" s="136"/>
      <c r="J64" s="83" t="s">
        <v>213</v>
      </c>
      <c r="K64" s="84" t="s">
        <v>214</v>
      </c>
      <c r="L64" s="26">
        <v>235000</v>
      </c>
      <c r="M64" s="83">
        <v>167000</v>
      </c>
      <c r="N64" s="83">
        <v>306000</v>
      </c>
      <c r="O64" s="83">
        <v>313000</v>
      </c>
      <c r="P64" s="83">
        <v>314000</v>
      </c>
    </row>
    <row r="65" spans="1:16" ht="75" x14ac:dyDescent="0.25">
      <c r="A65" s="134"/>
      <c r="B65" s="134" t="s">
        <v>38</v>
      </c>
      <c r="C65" s="134"/>
      <c r="D65" s="135" t="s">
        <v>215</v>
      </c>
      <c r="E65" s="136">
        <v>112740.2</v>
      </c>
      <c r="F65" s="136">
        <v>120000</v>
      </c>
      <c r="G65" s="136">
        <v>145402.29999999999</v>
      </c>
      <c r="H65" s="136">
        <f>145402.3</f>
        <v>145402.29999999999</v>
      </c>
      <c r="I65" s="136">
        <f>H65</f>
        <v>145402.29999999999</v>
      </c>
      <c r="J65" s="83" t="s">
        <v>216</v>
      </c>
      <c r="K65" s="84" t="s">
        <v>16</v>
      </c>
      <c r="L65" s="15">
        <v>0.1</v>
      </c>
      <c r="M65" s="15">
        <v>0.1</v>
      </c>
      <c r="N65" s="15">
        <v>0.1</v>
      </c>
      <c r="O65" s="15">
        <v>0.1</v>
      </c>
      <c r="P65" s="15">
        <v>0.1</v>
      </c>
    </row>
    <row r="66" spans="1:16" ht="45" x14ac:dyDescent="0.25">
      <c r="A66" s="134"/>
      <c r="B66" s="134"/>
      <c r="C66" s="134"/>
      <c r="D66" s="135"/>
      <c r="E66" s="136"/>
      <c r="F66" s="136"/>
      <c r="G66" s="136"/>
      <c r="H66" s="136"/>
      <c r="I66" s="136"/>
      <c r="J66" s="83" t="s">
        <v>217</v>
      </c>
      <c r="K66" s="84" t="s">
        <v>12</v>
      </c>
      <c r="L66" s="84">
        <v>309</v>
      </c>
      <c r="M66" s="15" t="s">
        <v>83</v>
      </c>
      <c r="N66" s="15" t="s">
        <v>83</v>
      </c>
      <c r="O66" s="15" t="s">
        <v>83</v>
      </c>
      <c r="P66" s="15" t="s">
        <v>83</v>
      </c>
    </row>
    <row r="67" spans="1:16" ht="44.25" customHeight="1" x14ac:dyDescent="0.25">
      <c r="A67" s="30"/>
      <c r="B67" s="73" t="s">
        <v>41</v>
      </c>
      <c r="C67" s="30"/>
      <c r="D67" s="76" t="s">
        <v>218</v>
      </c>
      <c r="E67" s="75">
        <v>113667.2</v>
      </c>
      <c r="F67" s="75">
        <v>109333</v>
      </c>
      <c r="G67" s="75">
        <f>64835.9+44078.29</f>
        <v>108914.19</v>
      </c>
      <c r="H67" s="75">
        <f>64835+44078.29</f>
        <v>108913.29000000001</v>
      </c>
      <c r="I67" s="75">
        <f>H67</f>
        <v>108913.29000000001</v>
      </c>
      <c r="J67" s="83" t="s">
        <v>219</v>
      </c>
      <c r="K67" s="84" t="s">
        <v>220</v>
      </c>
      <c r="L67" s="82">
        <v>21000</v>
      </c>
      <c r="M67" s="82">
        <v>22000</v>
      </c>
      <c r="N67" s="82">
        <v>23000</v>
      </c>
      <c r="O67" s="82">
        <v>24000</v>
      </c>
      <c r="P67" s="82">
        <v>24000</v>
      </c>
    </row>
    <row r="68" spans="1:16" ht="60" x14ac:dyDescent="0.25">
      <c r="A68" s="134"/>
      <c r="B68" s="134" t="s">
        <v>46</v>
      </c>
      <c r="C68" s="134"/>
      <c r="D68" s="139" t="s">
        <v>221</v>
      </c>
      <c r="E68" s="136">
        <v>101713.1</v>
      </c>
      <c r="F68" s="136">
        <v>71188.5</v>
      </c>
      <c r="G68" s="136">
        <f>93442.8+29902.3</f>
        <v>123345.1</v>
      </c>
      <c r="H68" s="136">
        <f>93442.8+29902.3</f>
        <v>123345.1</v>
      </c>
      <c r="I68" s="136">
        <f>H68</f>
        <v>123345.1</v>
      </c>
      <c r="J68" s="83" t="s">
        <v>222</v>
      </c>
      <c r="K68" s="84" t="s">
        <v>16</v>
      </c>
      <c r="L68" s="18">
        <v>0.03</v>
      </c>
      <c r="M68" s="18">
        <v>0.03</v>
      </c>
      <c r="N68" s="18">
        <v>0.05</v>
      </c>
      <c r="O68" s="18">
        <v>7.0000000000000007E-2</v>
      </c>
      <c r="P68" s="18">
        <v>0.09</v>
      </c>
    </row>
    <row r="69" spans="1:16" ht="120" x14ac:dyDescent="0.25">
      <c r="A69" s="134"/>
      <c r="B69" s="134"/>
      <c r="C69" s="134"/>
      <c r="D69" s="139"/>
      <c r="E69" s="136"/>
      <c r="F69" s="136"/>
      <c r="G69" s="136"/>
      <c r="H69" s="136"/>
      <c r="I69" s="136"/>
      <c r="J69" s="83" t="s">
        <v>223</v>
      </c>
      <c r="K69" s="84" t="s">
        <v>16</v>
      </c>
      <c r="L69" s="18">
        <v>0.16</v>
      </c>
      <c r="M69" s="18">
        <v>0.22</v>
      </c>
      <c r="N69" s="18">
        <v>0.28999999999999998</v>
      </c>
      <c r="O69" s="18">
        <v>0.36</v>
      </c>
      <c r="P69" s="18">
        <v>0.09</v>
      </c>
    </row>
    <row r="70" spans="1:16" ht="45" x14ac:dyDescent="0.25">
      <c r="A70" s="30"/>
      <c r="B70" s="73" t="s">
        <v>50</v>
      </c>
      <c r="C70" s="30"/>
      <c r="D70" s="31" t="s">
        <v>291</v>
      </c>
      <c r="E70" s="75">
        <v>274237.8</v>
      </c>
      <c r="F70" s="75">
        <v>302237.5</v>
      </c>
      <c r="G70" s="75">
        <f>140575.7+133633.8</f>
        <v>274209.5</v>
      </c>
      <c r="H70" s="75">
        <f>140575.7+133633.8*1.05</f>
        <v>280891.19</v>
      </c>
      <c r="I70" s="75">
        <f>140575.7+133633.8*1.05</f>
        <v>280891.19</v>
      </c>
      <c r="J70" s="83" t="s">
        <v>292</v>
      </c>
      <c r="K70" s="84" t="s">
        <v>178</v>
      </c>
      <c r="L70" s="82">
        <v>16500</v>
      </c>
      <c r="M70" s="82">
        <v>17650</v>
      </c>
      <c r="N70" s="82">
        <v>18500</v>
      </c>
      <c r="O70" s="82">
        <v>19500</v>
      </c>
      <c r="P70" s="82">
        <v>19500</v>
      </c>
    </row>
    <row r="71" spans="1:16" ht="75" x14ac:dyDescent="0.25">
      <c r="A71" s="134"/>
      <c r="B71" s="134" t="s">
        <v>53</v>
      </c>
      <c r="C71" s="134"/>
      <c r="D71" s="135" t="s">
        <v>224</v>
      </c>
      <c r="E71" s="136">
        <v>743599.2</v>
      </c>
      <c r="F71" s="136">
        <f>752707-29517.2</f>
        <v>723189.8</v>
      </c>
      <c r="G71" s="136">
        <v>709095</v>
      </c>
      <c r="H71" s="136">
        <f>646397.2</f>
        <v>646397.19999999995</v>
      </c>
      <c r="I71" s="136">
        <f>H71</f>
        <v>646397.19999999995</v>
      </c>
      <c r="J71" s="83" t="s">
        <v>225</v>
      </c>
      <c r="K71" s="84" t="s">
        <v>178</v>
      </c>
      <c r="L71" s="1">
        <v>1200</v>
      </c>
      <c r="M71" s="1">
        <v>1200</v>
      </c>
      <c r="N71" s="1">
        <v>1200</v>
      </c>
      <c r="O71" s="1">
        <v>1200</v>
      </c>
      <c r="P71" s="1">
        <v>1200</v>
      </c>
    </row>
    <row r="72" spans="1:16" ht="105.75" customHeight="1" x14ac:dyDescent="0.25">
      <c r="A72" s="134"/>
      <c r="B72" s="134"/>
      <c r="C72" s="134"/>
      <c r="D72" s="135"/>
      <c r="E72" s="136"/>
      <c r="F72" s="136"/>
      <c r="G72" s="136"/>
      <c r="H72" s="136"/>
      <c r="I72" s="136"/>
      <c r="J72" s="83" t="s">
        <v>293</v>
      </c>
      <c r="K72" s="84" t="s">
        <v>16</v>
      </c>
      <c r="L72" s="16">
        <v>0.95</v>
      </c>
      <c r="M72" s="16">
        <v>0.95</v>
      </c>
      <c r="N72" s="16">
        <v>0.95</v>
      </c>
      <c r="O72" s="16">
        <v>0.95</v>
      </c>
      <c r="P72" s="16">
        <v>0.95</v>
      </c>
    </row>
    <row r="73" spans="1:16" ht="45" x14ac:dyDescent="0.25">
      <c r="A73" s="30"/>
      <c r="B73" s="73" t="s">
        <v>72</v>
      </c>
      <c r="C73" s="30"/>
      <c r="D73" s="74" t="s">
        <v>226</v>
      </c>
      <c r="E73" s="75">
        <v>104800</v>
      </c>
      <c r="F73" s="75">
        <v>122000</v>
      </c>
      <c r="G73" s="75"/>
      <c r="H73" s="75">
        <f>128100*1.05</f>
        <v>134505</v>
      </c>
      <c r="I73" s="75">
        <f>H73*1.06</f>
        <v>142575.30000000002</v>
      </c>
      <c r="J73" s="83" t="s">
        <v>227</v>
      </c>
      <c r="K73" s="84" t="s">
        <v>178</v>
      </c>
      <c r="L73" s="82">
        <v>21139</v>
      </c>
      <c r="M73" s="82">
        <v>22000</v>
      </c>
      <c r="N73" s="82">
        <v>23000</v>
      </c>
      <c r="O73" s="82">
        <v>25000</v>
      </c>
      <c r="P73" s="82">
        <v>25000</v>
      </c>
    </row>
    <row r="74" spans="1:16" ht="60" x14ac:dyDescent="0.25">
      <c r="A74" s="134"/>
      <c r="B74" s="134" t="s">
        <v>228</v>
      </c>
      <c r="C74" s="134"/>
      <c r="D74" s="139" t="s">
        <v>229</v>
      </c>
      <c r="E74" s="136">
        <v>81811</v>
      </c>
      <c r="F74" s="136">
        <v>88987.5</v>
      </c>
      <c r="G74" s="136">
        <f>83558.8+7421.2</f>
        <v>90980</v>
      </c>
      <c r="H74" s="136">
        <f>83558.8+7420.6</f>
        <v>90979.400000000009</v>
      </c>
      <c r="I74" s="136">
        <f>H74</f>
        <v>90979.400000000009</v>
      </c>
      <c r="J74" s="83" t="s">
        <v>230</v>
      </c>
      <c r="K74" s="84" t="s">
        <v>178</v>
      </c>
      <c r="L74" s="82">
        <v>17200</v>
      </c>
      <c r="M74" s="82">
        <v>17700</v>
      </c>
      <c r="N74" s="82">
        <v>18200</v>
      </c>
      <c r="O74" s="82">
        <v>18700</v>
      </c>
      <c r="P74" s="82">
        <v>18700</v>
      </c>
    </row>
    <row r="75" spans="1:16" ht="75" x14ac:dyDescent="0.25">
      <c r="A75" s="134"/>
      <c r="B75" s="134"/>
      <c r="C75" s="134"/>
      <c r="D75" s="139"/>
      <c r="E75" s="136"/>
      <c r="F75" s="136"/>
      <c r="G75" s="136"/>
      <c r="H75" s="136"/>
      <c r="I75" s="136"/>
      <c r="J75" s="83" t="s">
        <v>231</v>
      </c>
      <c r="K75" s="84" t="s">
        <v>172</v>
      </c>
      <c r="L75" s="1">
        <v>95</v>
      </c>
      <c r="M75" s="1">
        <v>95</v>
      </c>
      <c r="N75" s="1">
        <v>95</v>
      </c>
      <c r="O75" s="1">
        <v>95</v>
      </c>
      <c r="P75" s="1">
        <v>95</v>
      </c>
    </row>
    <row r="76" spans="1:16" ht="45" x14ac:dyDescent="0.25">
      <c r="A76" s="30"/>
      <c r="B76" s="73" t="s">
        <v>232</v>
      </c>
      <c r="C76" s="30"/>
      <c r="D76" s="74" t="s">
        <v>233</v>
      </c>
      <c r="E76" s="75">
        <v>25600</v>
      </c>
      <c r="F76" s="75">
        <v>30000</v>
      </c>
      <c r="G76" s="75"/>
      <c r="H76" s="75">
        <f>30000</f>
        <v>30000</v>
      </c>
      <c r="I76" s="75">
        <f>H76</f>
        <v>30000</v>
      </c>
      <c r="J76" s="83" t="s">
        <v>234</v>
      </c>
      <c r="K76" s="84" t="s">
        <v>172</v>
      </c>
      <c r="L76" s="17">
        <v>0.1</v>
      </c>
      <c r="M76" s="17">
        <v>0.2</v>
      </c>
      <c r="N76" s="17">
        <v>0.3</v>
      </c>
      <c r="O76" s="17">
        <v>0.4</v>
      </c>
      <c r="P76" s="17">
        <v>0.4</v>
      </c>
    </row>
    <row r="77" spans="1:16" ht="90" x14ac:dyDescent="0.25">
      <c r="A77" s="134"/>
      <c r="B77" s="134" t="s">
        <v>235</v>
      </c>
      <c r="C77" s="134"/>
      <c r="D77" s="139" t="s">
        <v>236</v>
      </c>
      <c r="E77" s="75">
        <v>0</v>
      </c>
      <c r="F77" s="75">
        <v>0</v>
      </c>
      <c r="G77" s="75"/>
      <c r="H77" s="75">
        <v>0</v>
      </c>
      <c r="I77" s="75">
        <v>0</v>
      </c>
      <c r="J77" s="83" t="s">
        <v>237</v>
      </c>
      <c r="K77" s="84" t="s">
        <v>172</v>
      </c>
      <c r="L77" s="17">
        <v>0</v>
      </c>
      <c r="M77" s="17">
        <v>0.1</v>
      </c>
      <c r="N77" s="17">
        <v>0.2</v>
      </c>
      <c r="O77" s="17">
        <v>0.3</v>
      </c>
      <c r="P77" s="17">
        <v>0.3</v>
      </c>
    </row>
    <row r="78" spans="1:16" ht="45" x14ac:dyDescent="0.25">
      <c r="A78" s="134"/>
      <c r="B78" s="134"/>
      <c r="C78" s="134"/>
      <c r="D78" s="139"/>
      <c r="E78" s="75">
        <v>3000</v>
      </c>
      <c r="F78" s="75">
        <v>4300</v>
      </c>
      <c r="G78" s="75"/>
      <c r="H78" s="75">
        <f>4300</f>
        <v>4300</v>
      </c>
      <c r="I78" s="75">
        <f>H78</f>
        <v>4300</v>
      </c>
      <c r="J78" s="83" t="s">
        <v>294</v>
      </c>
      <c r="K78" s="84" t="s">
        <v>172</v>
      </c>
      <c r="L78" s="18">
        <v>0.2</v>
      </c>
      <c r="M78" s="17">
        <v>0.3</v>
      </c>
      <c r="N78" s="17">
        <v>0.3</v>
      </c>
      <c r="O78" s="17">
        <v>0.3</v>
      </c>
      <c r="P78" s="17">
        <v>0.3</v>
      </c>
    </row>
    <row r="79" spans="1:16" ht="62.25" customHeight="1" x14ac:dyDescent="0.25">
      <c r="A79" s="30"/>
      <c r="B79" s="73" t="s">
        <v>238</v>
      </c>
      <c r="C79" s="30"/>
      <c r="D79" s="74" t="s">
        <v>239</v>
      </c>
      <c r="E79" s="75">
        <v>63100</v>
      </c>
      <c r="F79" s="75">
        <v>67900</v>
      </c>
      <c r="G79" s="75"/>
      <c r="H79" s="75">
        <f>67900</f>
        <v>67900</v>
      </c>
      <c r="I79" s="75">
        <f>H79</f>
        <v>67900</v>
      </c>
      <c r="J79" s="83" t="s">
        <v>295</v>
      </c>
      <c r="K79" s="84" t="s">
        <v>172</v>
      </c>
      <c r="L79" s="16">
        <v>0.9</v>
      </c>
      <c r="M79" s="32">
        <v>0.95</v>
      </c>
      <c r="N79" s="32">
        <v>1</v>
      </c>
      <c r="O79" s="32">
        <v>1</v>
      </c>
      <c r="P79" s="32">
        <v>1</v>
      </c>
    </row>
    <row r="80" spans="1:16" ht="62.25" customHeight="1" x14ac:dyDescent="0.25">
      <c r="A80" s="155" t="s">
        <v>73</v>
      </c>
      <c r="B80" s="134"/>
      <c r="C80" s="134"/>
      <c r="D80" s="145" t="s">
        <v>296</v>
      </c>
      <c r="E80" s="140">
        <f t="shared" ref="E80:G80" si="1">SUM(E82:E91)</f>
        <v>925833.9</v>
      </c>
      <c r="F80" s="140">
        <f t="shared" si="1"/>
        <v>1012661.5</v>
      </c>
      <c r="G80" s="140">
        <f t="shared" si="1"/>
        <v>1227398.7</v>
      </c>
      <c r="H80" s="140">
        <f t="shared" ref="H80:I80" si="2">SUM(H82:H91)</f>
        <v>1193404.3999999999</v>
      </c>
      <c r="I80" s="140">
        <f t="shared" si="2"/>
        <v>1187188.2</v>
      </c>
      <c r="J80" s="83" t="s">
        <v>240</v>
      </c>
      <c r="K80" s="84" t="s">
        <v>241</v>
      </c>
      <c r="L80" s="42"/>
      <c r="M80" s="33">
        <v>2</v>
      </c>
      <c r="N80" s="33">
        <v>2</v>
      </c>
      <c r="O80" s="33">
        <v>2</v>
      </c>
      <c r="P80" s="33">
        <v>2</v>
      </c>
    </row>
    <row r="81" spans="1:16" ht="76.5" customHeight="1" x14ac:dyDescent="0.25">
      <c r="A81" s="155"/>
      <c r="B81" s="134"/>
      <c r="C81" s="134"/>
      <c r="D81" s="145"/>
      <c r="E81" s="160"/>
      <c r="F81" s="160"/>
      <c r="G81" s="160"/>
      <c r="H81" s="160"/>
      <c r="I81" s="160"/>
      <c r="J81" s="83" t="s">
        <v>242</v>
      </c>
      <c r="K81" s="84" t="s">
        <v>16</v>
      </c>
      <c r="L81" s="61"/>
      <c r="M81" s="61">
        <v>20</v>
      </c>
      <c r="N81" s="61">
        <v>50</v>
      </c>
      <c r="O81" s="61">
        <v>100</v>
      </c>
      <c r="P81" s="61">
        <v>100</v>
      </c>
    </row>
    <row r="82" spans="1:16" ht="45" x14ac:dyDescent="0.25">
      <c r="A82" s="134"/>
      <c r="B82" s="134" t="s">
        <v>5</v>
      </c>
      <c r="C82" s="134"/>
      <c r="D82" s="139" t="s">
        <v>243</v>
      </c>
      <c r="E82" s="136">
        <v>18196.099999999999</v>
      </c>
      <c r="F82" s="136">
        <v>29517.200000000001</v>
      </c>
      <c r="G82" s="136"/>
      <c r="H82" s="136">
        <f>27192.7</f>
        <v>27192.7</v>
      </c>
      <c r="I82" s="136">
        <f>H82</f>
        <v>27192.7</v>
      </c>
      <c r="J82" s="83" t="s">
        <v>297</v>
      </c>
      <c r="K82" s="84" t="s">
        <v>244</v>
      </c>
      <c r="L82" s="61">
        <v>14.8</v>
      </c>
      <c r="M82" s="61">
        <v>13</v>
      </c>
      <c r="N82" s="61">
        <v>14</v>
      </c>
      <c r="O82" s="61">
        <v>14</v>
      </c>
      <c r="P82" s="61">
        <v>14</v>
      </c>
    </row>
    <row r="83" spans="1:16" ht="51" customHeight="1" x14ac:dyDescent="0.25">
      <c r="A83" s="134"/>
      <c r="B83" s="134"/>
      <c r="C83" s="134"/>
      <c r="D83" s="139"/>
      <c r="E83" s="136"/>
      <c r="F83" s="136"/>
      <c r="G83" s="136"/>
      <c r="H83" s="136"/>
      <c r="I83" s="136"/>
      <c r="J83" s="83" t="s">
        <v>298</v>
      </c>
      <c r="K83" s="84" t="s">
        <v>244</v>
      </c>
      <c r="L83" s="84">
        <v>3219</v>
      </c>
      <c r="M83" s="84" t="s">
        <v>206</v>
      </c>
      <c r="N83" s="84" t="s">
        <v>206</v>
      </c>
      <c r="O83" s="84" t="s">
        <v>206</v>
      </c>
      <c r="P83" s="84" t="s">
        <v>206</v>
      </c>
    </row>
    <row r="84" spans="1:16" ht="95.25" customHeight="1" x14ac:dyDescent="0.25">
      <c r="A84" s="134"/>
      <c r="B84" s="134"/>
      <c r="C84" s="134"/>
      <c r="D84" s="139"/>
      <c r="E84" s="136"/>
      <c r="F84" s="136"/>
      <c r="G84" s="136"/>
      <c r="H84" s="136"/>
      <c r="I84" s="136"/>
      <c r="J84" s="83" t="s">
        <v>299</v>
      </c>
      <c r="K84" s="84" t="s">
        <v>178</v>
      </c>
      <c r="L84" s="84">
        <v>150</v>
      </c>
      <c r="M84" s="26">
        <v>150</v>
      </c>
      <c r="N84" s="26">
        <v>175</v>
      </c>
      <c r="O84" s="26">
        <v>175</v>
      </c>
      <c r="P84" s="26">
        <v>175</v>
      </c>
    </row>
    <row r="85" spans="1:16" ht="60" x14ac:dyDescent="0.25">
      <c r="A85" s="134"/>
      <c r="B85" s="134" t="s">
        <v>9</v>
      </c>
      <c r="C85" s="134"/>
      <c r="D85" s="139" t="s">
        <v>245</v>
      </c>
      <c r="E85" s="136">
        <v>554094.80000000005</v>
      </c>
      <c r="F85" s="136">
        <v>627246.30000000005</v>
      </c>
      <c r="G85" s="136">
        <f>87886.3+720170</f>
        <v>808056.3</v>
      </c>
      <c r="H85" s="136">
        <f>87886.3+720170-18690.4</f>
        <v>789365.9</v>
      </c>
      <c r="I85" s="136">
        <f>H85-10981.3+4765.1</f>
        <v>783149.7</v>
      </c>
      <c r="J85" s="83" t="s">
        <v>300</v>
      </c>
      <c r="K85" s="84" t="s">
        <v>178</v>
      </c>
      <c r="L85" s="84">
        <v>248</v>
      </c>
      <c r="M85" s="26">
        <v>252</v>
      </c>
      <c r="N85" s="26">
        <v>277</v>
      </c>
      <c r="O85" s="26">
        <v>378</v>
      </c>
      <c r="P85" s="26">
        <v>378</v>
      </c>
    </row>
    <row r="86" spans="1:16" ht="60" x14ac:dyDescent="0.25">
      <c r="A86" s="134"/>
      <c r="B86" s="134"/>
      <c r="C86" s="134"/>
      <c r="D86" s="139"/>
      <c r="E86" s="136"/>
      <c r="F86" s="136"/>
      <c r="G86" s="136"/>
      <c r="H86" s="136"/>
      <c r="I86" s="136"/>
      <c r="J86" s="83" t="s">
        <v>302</v>
      </c>
      <c r="K86" s="84" t="s">
        <v>178</v>
      </c>
      <c r="L86" s="82">
        <v>177</v>
      </c>
      <c r="M86" s="26">
        <v>298</v>
      </c>
      <c r="N86" s="26">
        <v>305</v>
      </c>
      <c r="O86" s="26">
        <v>367</v>
      </c>
      <c r="P86" s="26">
        <v>367</v>
      </c>
    </row>
    <row r="87" spans="1:16" ht="60" x14ac:dyDescent="0.25">
      <c r="A87" s="134"/>
      <c r="B87" s="134" t="s">
        <v>13</v>
      </c>
      <c r="C87" s="134"/>
      <c r="D87" s="139" t="s">
        <v>246</v>
      </c>
      <c r="E87" s="136">
        <v>144712.9</v>
      </c>
      <c r="F87" s="136">
        <v>139775.79999999999</v>
      </c>
      <c r="G87" s="136">
        <f>98579.6+66011.5</f>
        <v>164591.1</v>
      </c>
      <c r="H87" s="136">
        <f>78384.9+66011.5</f>
        <v>144396.4</v>
      </c>
      <c r="I87" s="136">
        <f>H87</f>
        <v>144396.4</v>
      </c>
      <c r="J87" s="83" t="s">
        <v>247</v>
      </c>
      <c r="K87" s="84" t="s">
        <v>178</v>
      </c>
      <c r="L87" s="84">
        <v>348</v>
      </c>
      <c r="M87" s="26">
        <v>367</v>
      </c>
      <c r="N87" s="26">
        <v>353</v>
      </c>
      <c r="O87" s="26">
        <v>345</v>
      </c>
      <c r="P87" s="26">
        <v>345</v>
      </c>
    </row>
    <row r="88" spans="1:16" ht="60.75" customHeight="1" x14ac:dyDescent="0.25">
      <c r="A88" s="134"/>
      <c r="B88" s="134"/>
      <c r="C88" s="134"/>
      <c r="D88" s="139"/>
      <c r="E88" s="136"/>
      <c r="F88" s="136"/>
      <c r="G88" s="136"/>
      <c r="H88" s="136"/>
      <c r="I88" s="136"/>
      <c r="J88" s="83" t="s">
        <v>301</v>
      </c>
      <c r="K88" s="84" t="s">
        <v>178</v>
      </c>
      <c r="L88" s="84">
        <v>11120</v>
      </c>
      <c r="M88" s="26">
        <v>11643</v>
      </c>
      <c r="N88" s="26">
        <v>11987</v>
      </c>
      <c r="O88" s="26">
        <v>12102</v>
      </c>
      <c r="P88" s="26">
        <v>12102</v>
      </c>
    </row>
    <row r="89" spans="1:16" ht="60" x14ac:dyDescent="0.25">
      <c r="A89" s="134"/>
      <c r="B89" s="134"/>
      <c r="C89" s="134"/>
      <c r="D89" s="139"/>
      <c r="E89" s="136"/>
      <c r="F89" s="136"/>
      <c r="G89" s="136"/>
      <c r="H89" s="136"/>
      <c r="I89" s="136"/>
      <c r="J89" s="83" t="s">
        <v>248</v>
      </c>
      <c r="K89" s="83" t="s">
        <v>249</v>
      </c>
      <c r="L89" s="84">
        <v>50</v>
      </c>
      <c r="M89" s="26">
        <v>50</v>
      </c>
      <c r="N89" s="26">
        <v>50</v>
      </c>
      <c r="O89" s="26">
        <v>50</v>
      </c>
      <c r="P89" s="26">
        <v>50</v>
      </c>
    </row>
    <row r="90" spans="1:16" ht="112.5" customHeight="1" x14ac:dyDescent="0.25">
      <c r="A90" s="134"/>
      <c r="B90" s="134" t="s">
        <v>38</v>
      </c>
      <c r="C90" s="134"/>
      <c r="D90" s="139" t="s">
        <v>250</v>
      </c>
      <c r="E90" s="136">
        <v>208830.1</v>
      </c>
      <c r="F90" s="136">
        <v>216122.2</v>
      </c>
      <c r="G90" s="136">
        <f>143391.3+111360</f>
        <v>254751.3</v>
      </c>
      <c r="H90" s="136">
        <f>121087.9+111361.5</f>
        <v>232449.4</v>
      </c>
      <c r="I90" s="136">
        <f>H90</f>
        <v>232449.4</v>
      </c>
      <c r="J90" s="83" t="s">
        <v>303</v>
      </c>
      <c r="K90" s="84" t="s">
        <v>178</v>
      </c>
      <c r="L90" s="84">
        <v>1519</v>
      </c>
      <c r="M90" s="26">
        <v>1110</v>
      </c>
      <c r="N90" s="26">
        <v>900</v>
      </c>
      <c r="O90" s="26">
        <v>900</v>
      </c>
      <c r="P90" s="26">
        <v>900</v>
      </c>
    </row>
    <row r="91" spans="1:16" ht="60" x14ac:dyDescent="0.25">
      <c r="A91" s="134"/>
      <c r="B91" s="134"/>
      <c r="C91" s="134"/>
      <c r="D91" s="139"/>
      <c r="E91" s="136"/>
      <c r="F91" s="136"/>
      <c r="G91" s="136"/>
      <c r="H91" s="136"/>
      <c r="I91" s="136"/>
      <c r="J91" s="83" t="s">
        <v>251</v>
      </c>
      <c r="K91" s="83" t="s">
        <v>249</v>
      </c>
      <c r="L91" s="84">
        <v>392</v>
      </c>
      <c r="M91" s="26">
        <v>392</v>
      </c>
      <c r="N91" s="26">
        <v>392</v>
      </c>
      <c r="O91" s="26">
        <v>392</v>
      </c>
      <c r="P91" s="26">
        <v>392</v>
      </c>
    </row>
    <row r="92" spans="1:16" ht="30" x14ac:dyDescent="0.25">
      <c r="A92" s="30"/>
      <c r="B92" s="73" t="s">
        <v>5</v>
      </c>
      <c r="C92" s="73"/>
      <c r="D92" s="76" t="s">
        <v>252</v>
      </c>
      <c r="E92" s="75"/>
      <c r="F92" s="75">
        <v>962151.5</v>
      </c>
      <c r="G92" s="75">
        <v>629609</v>
      </c>
      <c r="H92" s="75">
        <v>1769844.25</v>
      </c>
      <c r="I92" s="75">
        <v>2560856.89</v>
      </c>
      <c r="J92" s="83"/>
      <c r="K92" s="159"/>
      <c r="L92" s="159"/>
      <c r="M92" s="159"/>
      <c r="N92" s="159"/>
      <c r="O92" s="159"/>
      <c r="P92" s="159"/>
    </row>
    <row r="93" spans="1:16" x14ac:dyDescent="0.25">
      <c r="A93" s="23" t="s">
        <v>253</v>
      </c>
      <c r="B93" s="23"/>
      <c r="C93" s="23"/>
      <c r="D93" s="23"/>
      <c r="E93" s="24">
        <f>SUM(E8,E30,E54,E80)</f>
        <v>3609408.989810857</v>
      </c>
      <c r="F93" s="24">
        <f>SUM(F8,F30,F54,F80)+F92</f>
        <v>4602618.7</v>
      </c>
      <c r="G93" s="24">
        <f>G8+G30+G54+G80+G92</f>
        <v>4455516.63</v>
      </c>
      <c r="H93" s="24">
        <f>SUM(H8,H30,H54,H80)+H92</f>
        <v>5751546.4879999999</v>
      </c>
      <c r="I93" s="24">
        <f>SUM(I8,I30,I54,I80)+I92</f>
        <v>6547324.1994800009</v>
      </c>
      <c r="J93" s="25"/>
      <c r="K93" s="161"/>
      <c r="L93" s="161"/>
      <c r="M93" s="161"/>
      <c r="N93" s="161"/>
      <c r="O93" s="161"/>
      <c r="P93" s="161"/>
    </row>
    <row r="94" spans="1:16" x14ac:dyDescent="0.25">
      <c r="A94" s="142" t="s">
        <v>256</v>
      </c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</row>
    <row r="95" spans="1:16" ht="15" customHeight="1" x14ac:dyDescent="0.25">
      <c r="A95" s="127">
        <v>1</v>
      </c>
      <c r="B95" s="109"/>
      <c r="C95" s="108"/>
      <c r="D95" s="137" t="s">
        <v>0</v>
      </c>
      <c r="E95" s="112">
        <f>E99+E100+E101</f>
        <v>40089</v>
      </c>
      <c r="F95" s="112">
        <f>F99+F100+F101</f>
        <v>43138</v>
      </c>
      <c r="G95" s="112">
        <f>G99+G100+G101</f>
        <v>45438</v>
      </c>
      <c r="H95" s="112">
        <f>H99+H100+H101</f>
        <v>45938</v>
      </c>
      <c r="I95" s="112">
        <f>I99+I100+I101</f>
        <v>47275.700000000004</v>
      </c>
      <c r="J95" s="133" t="s">
        <v>1</v>
      </c>
      <c r="K95" s="124" t="s">
        <v>2</v>
      </c>
      <c r="L95" s="124">
        <v>89</v>
      </c>
      <c r="M95" s="124">
        <v>90</v>
      </c>
      <c r="N95" s="124">
        <v>93</v>
      </c>
      <c r="O95" s="124">
        <v>94</v>
      </c>
      <c r="P95" s="124">
        <v>95</v>
      </c>
    </row>
    <row r="96" spans="1:16" x14ac:dyDescent="0.25">
      <c r="A96" s="127"/>
      <c r="B96" s="109"/>
      <c r="C96" s="108"/>
      <c r="D96" s="137"/>
      <c r="E96" s="112"/>
      <c r="F96" s="112"/>
      <c r="G96" s="112"/>
      <c r="H96" s="112"/>
      <c r="I96" s="112"/>
      <c r="J96" s="133"/>
      <c r="K96" s="124"/>
      <c r="L96" s="124"/>
      <c r="M96" s="124"/>
      <c r="N96" s="124"/>
      <c r="O96" s="124"/>
      <c r="P96" s="124"/>
    </row>
    <row r="97" spans="1:16" x14ac:dyDescent="0.25">
      <c r="A97" s="127"/>
      <c r="B97" s="109"/>
      <c r="C97" s="108"/>
      <c r="D97" s="138" t="s">
        <v>304</v>
      </c>
      <c r="E97" s="112"/>
      <c r="F97" s="112"/>
      <c r="G97" s="112"/>
      <c r="H97" s="112"/>
      <c r="I97" s="112"/>
      <c r="J97" s="133"/>
      <c r="K97" s="124"/>
      <c r="L97" s="124"/>
      <c r="M97" s="124">
        <v>32</v>
      </c>
      <c r="N97" s="124"/>
      <c r="O97" s="124"/>
      <c r="P97" s="124"/>
    </row>
    <row r="98" spans="1:16" ht="91.5" customHeight="1" x14ac:dyDescent="0.25">
      <c r="A98" s="127"/>
      <c r="B98" s="109"/>
      <c r="C98" s="108"/>
      <c r="D98" s="138"/>
      <c r="E98" s="112"/>
      <c r="F98" s="112"/>
      <c r="G98" s="112"/>
      <c r="H98" s="112"/>
      <c r="I98" s="112"/>
      <c r="J98" s="48" t="s">
        <v>3</v>
      </c>
      <c r="K98" s="89" t="s">
        <v>4</v>
      </c>
      <c r="L98" s="89">
        <v>58.5</v>
      </c>
      <c r="M98" s="89">
        <v>59</v>
      </c>
      <c r="N98" s="89">
        <v>60</v>
      </c>
      <c r="O98" s="89">
        <v>61</v>
      </c>
      <c r="P98" s="89">
        <v>62</v>
      </c>
    </row>
    <row r="99" spans="1:16" ht="73.5" customHeight="1" x14ac:dyDescent="0.25">
      <c r="A99" s="69"/>
      <c r="B99" s="59" t="s">
        <v>5</v>
      </c>
      <c r="C99" s="61"/>
      <c r="D99" s="58" t="s">
        <v>6</v>
      </c>
      <c r="E99" s="102">
        <v>40089</v>
      </c>
      <c r="F99" s="102">
        <v>43138</v>
      </c>
      <c r="G99" s="60">
        <v>29064</v>
      </c>
      <c r="H99" s="60">
        <v>29264</v>
      </c>
      <c r="I99" s="60">
        <v>29300.7</v>
      </c>
      <c r="J99" s="34" t="s">
        <v>7</v>
      </c>
      <c r="K99" s="41" t="s">
        <v>8</v>
      </c>
      <c r="L99" s="41">
        <v>0</v>
      </c>
      <c r="M99" s="41">
        <v>1</v>
      </c>
      <c r="N99" s="85">
        <v>2</v>
      </c>
      <c r="O99" s="85">
        <v>0</v>
      </c>
      <c r="P99" s="85">
        <v>0</v>
      </c>
    </row>
    <row r="100" spans="1:16" ht="80.25" customHeight="1" x14ac:dyDescent="0.25">
      <c r="A100" s="69"/>
      <c r="B100" s="59" t="s">
        <v>9</v>
      </c>
      <c r="C100" s="61"/>
      <c r="D100" s="83" t="s">
        <v>10</v>
      </c>
      <c r="E100" s="102"/>
      <c r="F100" s="102"/>
      <c r="G100" s="60">
        <v>10511.5</v>
      </c>
      <c r="H100" s="60">
        <v>10511.5</v>
      </c>
      <c r="I100" s="60">
        <v>10658.6</v>
      </c>
      <c r="J100" s="44" t="s">
        <v>11</v>
      </c>
      <c r="K100" s="37" t="s">
        <v>12</v>
      </c>
      <c r="L100" s="37">
        <v>21</v>
      </c>
      <c r="M100" s="37">
        <v>22</v>
      </c>
      <c r="N100" s="37">
        <v>23</v>
      </c>
      <c r="O100" s="37">
        <v>24</v>
      </c>
      <c r="P100" s="37">
        <v>25</v>
      </c>
    </row>
    <row r="101" spans="1:16" ht="75" x14ac:dyDescent="0.25">
      <c r="A101" s="69"/>
      <c r="B101" s="59" t="s">
        <v>13</v>
      </c>
      <c r="C101" s="61"/>
      <c r="D101" s="12" t="s">
        <v>14</v>
      </c>
      <c r="E101" s="102"/>
      <c r="F101" s="102"/>
      <c r="G101" s="60">
        <v>5862.5</v>
      </c>
      <c r="H101" s="60">
        <v>6162.5</v>
      </c>
      <c r="I101" s="60">
        <v>7316.4</v>
      </c>
      <c r="J101" s="34" t="s">
        <v>15</v>
      </c>
      <c r="K101" s="41" t="s">
        <v>16</v>
      </c>
      <c r="L101" s="41">
        <v>90</v>
      </c>
      <c r="M101" s="45">
        <v>95</v>
      </c>
      <c r="N101" s="41">
        <v>100</v>
      </c>
      <c r="O101" s="41">
        <v>100</v>
      </c>
      <c r="P101" s="41">
        <v>100</v>
      </c>
    </row>
    <row r="102" spans="1:16" ht="15" customHeight="1" x14ac:dyDescent="0.25">
      <c r="A102" s="127">
        <v>2</v>
      </c>
      <c r="B102" s="128"/>
      <c r="C102" s="110"/>
      <c r="D102" s="129" t="s">
        <v>17</v>
      </c>
      <c r="E102" s="111">
        <f>E105+E107+E108+E109+E111+E113+E115+E116</f>
        <v>1952686.1999999997</v>
      </c>
      <c r="F102" s="112">
        <f>F105+F107+F108+F109+F111+F113+F115+F116</f>
        <v>1963313.4</v>
      </c>
      <c r="G102" s="112">
        <f>G105+G107+G108+G109+G111+G113+G115+G116</f>
        <v>1961713.4000000001</v>
      </c>
      <c r="H102" s="112">
        <f>H105+H107+H108+H109+H111+H113+H115+H116</f>
        <v>1962057.6</v>
      </c>
      <c r="I102" s="112">
        <f>I105+I107+I108+I109+I111+I113+I115+I116</f>
        <v>1962726.5</v>
      </c>
      <c r="J102" s="167" t="s">
        <v>18</v>
      </c>
      <c r="K102" s="166" t="s">
        <v>16</v>
      </c>
      <c r="L102" s="166">
        <v>51.7</v>
      </c>
      <c r="M102" s="166">
        <v>53</v>
      </c>
      <c r="N102" s="166">
        <v>54</v>
      </c>
      <c r="O102" s="166">
        <v>55</v>
      </c>
      <c r="P102" s="166">
        <v>56</v>
      </c>
    </row>
    <row r="103" spans="1:16" x14ac:dyDescent="0.25">
      <c r="A103" s="127"/>
      <c r="B103" s="128"/>
      <c r="C103" s="110"/>
      <c r="D103" s="130"/>
      <c r="E103" s="111"/>
      <c r="F103" s="112"/>
      <c r="G103" s="112"/>
      <c r="H103" s="112"/>
      <c r="I103" s="112"/>
      <c r="J103" s="167"/>
      <c r="K103" s="166"/>
      <c r="L103" s="166"/>
      <c r="M103" s="166"/>
      <c r="N103" s="166"/>
      <c r="O103" s="166"/>
      <c r="P103" s="166"/>
    </row>
    <row r="104" spans="1:16" ht="75" x14ac:dyDescent="0.25">
      <c r="A104" s="127"/>
      <c r="B104" s="128"/>
      <c r="C104" s="110"/>
      <c r="D104" s="13" t="s">
        <v>19</v>
      </c>
      <c r="E104" s="131"/>
      <c r="F104" s="126"/>
      <c r="G104" s="126"/>
      <c r="H104" s="126"/>
      <c r="I104" s="126"/>
      <c r="J104" s="49" t="s">
        <v>20</v>
      </c>
      <c r="K104" s="72" t="s">
        <v>21</v>
      </c>
      <c r="L104" s="50">
        <v>307.7</v>
      </c>
      <c r="M104" s="50">
        <v>444.1</v>
      </c>
      <c r="N104" s="50">
        <v>448.1</v>
      </c>
      <c r="O104" s="50">
        <v>449.1</v>
      </c>
      <c r="P104" s="50">
        <v>454</v>
      </c>
    </row>
    <row r="105" spans="1:16" ht="15" customHeight="1" x14ac:dyDescent="0.25">
      <c r="A105" s="123"/>
      <c r="B105" s="125">
        <v>1</v>
      </c>
      <c r="C105" s="103"/>
      <c r="D105" s="113" t="s">
        <v>22</v>
      </c>
      <c r="E105" s="102">
        <f>[1]приложение1!$L$47</f>
        <v>18000</v>
      </c>
      <c r="F105" s="102">
        <f>'[2]приложение 1 '!$J$41</f>
        <v>18000</v>
      </c>
      <c r="G105" s="102">
        <v>12900</v>
      </c>
      <c r="H105" s="102">
        <v>12900</v>
      </c>
      <c r="I105" s="102">
        <v>12900</v>
      </c>
      <c r="J105" s="163" t="s">
        <v>23</v>
      </c>
      <c r="K105" s="165" t="s">
        <v>24</v>
      </c>
      <c r="L105" s="132" t="s">
        <v>25</v>
      </c>
      <c r="M105" s="132" t="s">
        <v>26</v>
      </c>
      <c r="N105" s="132" t="s">
        <v>26</v>
      </c>
      <c r="O105" s="132" t="s">
        <v>27</v>
      </c>
      <c r="P105" s="132" t="s">
        <v>28</v>
      </c>
    </row>
    <row r="106" spans="1:16" ht="46.5" customHeight="1" x14ac:dyDescent="0.25">
      <c r="A106" s="123"/>
      <c r="B106" s="125"/>
      <c r="C106" s="103"/>
      <c r="D106" s="116"/>
      <c r="E106" s="102"/>
      <c r="F106" s="102"/>
      <c r="G106" s="102"/>
      <c r="H106" s="102"/>
      <c r="I106" s="102"/>
      <c r="J106" s="163"/>
      <c r="K106" s="165"/>
      <c r="L106" s="132"/>
      <c r="M106" s="132"/>
      <c r="N106" s="132"/>
      <c r="O106" s="132"/>
      <c r="P106" s="132"/>
    </row>
    <row r="107" spans="1:16" ht="38.25" customHeight="1" x14ac:dyDescent="0.25">
      <c r="A107" s="10"/>
      <c r="B107" s="70">
        <v>2</v>
      </c>
      <c r="C107" s="2"/>
      <c r="D107" s="64" t="s">
        <v>29</v>
      </c>
      <c r="E107" s="60">
        <v>53830.2</v>
      </c>
      <c r="F107" s="60">
        <v>67212.399999999994</v>
      </c>
      <c r="G107" s="60">
        <v>46000</v>
      </c>
      <c r="H107" s="60">
        <v>46000</v>
      </c>
      <c r="I107" s="60">
        <v>46000</v>
      </c>
      <c r="J107" s="163"/>
      <c r="K107" s="85" t="s">
        <v>30</v>
      </c>
      <c r="L107" s="86" t="s">
        <v>31</v>
      </c>
      <c r="M107" s="86" t="s">
        <v>32</v>
      </c>
      <c r="N107" s="86" t="s">
        <v>33</v>
      </c>
      <c r="O107" s="86" t="s">
        <v>33</v>
      </c>
      <c r="P107" s="86" t="s">
        <v>33</v>
      </c>
    </row>
    <row r="108" spans="1:16" ht="73.5" customHeight="1" x14ac:dyDescent="0.25">
      <c r="A108" s="10"/>
      <c r="B108" s="59" t="s">
        <v>13</v>
      </c>
      <c r="C108" s="4"/>
      <c r="D108" s="5" t="s">
        <v>34</v>
      </c>
      <c r="E108" s="60">
        <f>[1]приложение1!$L$32</f>
        <v>1116578.4999999998</v>
      </c>
      <c r="F108" s="60">
        <f>'[2]приложение 1 '!$J$26</f>
        <v>1054267.8</v>
      </c>
      <c r="G108" s="60">
        <f>1066372.1+90000</f>
        <v>1156372.1000000001</v>
      </c>
      <c r="H108" s="60">
        <v>1156716.3</v>
      </c>
      <c r="I108" s="60">
        <v>1157385.2</v>
      </c>
      <c r="J108" s="163"/>
      <c r="K108" s="85" t="s">
        <v>35</v>
      </c>
      <c r="L108" s="85" t="s">
        <v>36</v>
      </c>
      <c r="M108" s="85" t="s">
        <v>37</v>
      </c>
      <c r="N108" s="85" t="s">
        <v>261</v>
      </c>
      <c r="O108" s="85" t="s">
        <v>262</v>
      </c>
      <c r="P108" s="85" t="s">
        <v>263</v>
      </c>
    </row>
    <row r="109" spans="1:16" ht="27.75" customHeight="1" x14ac:dyDescent="0.25">
      <c r="A109" s="123"/>
      <c r="B109" s="101" t="s">
        <v>38</v>
      </c>
      <c r="C109" s="101"/>
      <c r="D109" s="116" t="s">
        <v>39</v>
      </c>
      <c r="E109" s="102">
        <f>[1]приложение1!$L$44</f>
        <v>364834.1</v>
      </c>
      <c r="F109" s="102">
        <f>'[2]приложение 1 '!$J$38</f>
        <v>289000</v>
      </c>
      <c r="G109" s="102">
        <v>301000</v>
      </c>
      <c r="H109" s="102">
        <v>301000</v>
      </c>
      <c r="I109" s="102">
        <v>301000</v>
      </c>
      <c r="J109" s="163"/>
      <c r="K109" s="163" t="s">
        <v>40</v>
      </c>
      <c r="L109" s="164" t="s">
        <v>264</v>
      </c>
      <c r="M109" s="164" t="s">
        <v>265</v>
      </c>
      <c r="N109" s="164" t="s">
        <v>266</v>
      </c>
      <c r="O109" s="164" t="s">
        <v>267</v>
      </c>
      <c r="P109" s="164" t="s">
        <v>268</v>
      </c>
    </row>
    <row r="110" spans="1:16" ht="36" customHeight="1" x14ac:dyDescent="0.25">
      <c r="A110" s="123"/>
      <c r="B110" s="101"/>
      <c r="C110" s="101"/>
      <c r="D110" s="116"/>
      <c r="E110" s="102"/>
      <c r="F110" s="102"/>
      <c r="G110" s="102"/>
      <c r="H110" s="102"/>
      <c r="I110" s="102"/>
      <c r="J110" s="163"/>
      <c r="K110" s="163"/>
      <c r="L110" s="163"/>
      <c r="M110" s="163"/>
      <c r="N110" s="163"/>
      <c r="O110" s="163"/>
      <c r="P110" s="163"/>
    </row>
    <row r="111" spans="1:16" ht="30" x14ac:dyDescent="0.25">
      <c r="A111" s="123"/>
      <c r="B111" s="101" t="s">
        <v>41</v>
      </c>
      <c r="C111" s="101"/>
      <c r="D111" s="116" t="s">
        <v>42</v>
      </c>
      <c r="E111" s="102">
        <v>204267.2</v>
      </c>
      <c r="F111" s="102">
        <v>190000</v>
      </c>
      <c r="G111" s="102">
        <v>190000</v>
      </c>
      <c r="H111" s="102">
        <v>190000</v>
      </c>
      <c r="I111" s="102">
        <v>190000</v>
      </c>
      <c r="J111" s="35" t="s">
        <v>43</v>
      </c>
      <c r="K111" s="85" t="s">
        <v>16</v>
      </c>
      <c r="L111" s="85">
        <v>100</v>
      </c>
      <c r="M111" s="85">
        <v>100</v>
      </c>
      <c r="N111" s="85">
        <v>100</v>
      </c>
      <c r="O111" s="85">
        <v>100</v>
      </c>
      <c r="P111" s="85">
        <v>100</v>
      </c>
    </row>
    <row r="112" spans="1:16" ht="30" x14ac:dyDescent="0.25">
      <c r="A112" s="123"/>
      <c r="B112" s="101"/>
      <c r="C112" s="101"/>
      <c r="D112" s="116"/>
      <c r="E112" s="102"/>
      <c r="F112" s="102"/>
      <c r="G112" s="102"/>
      <c r="H112" s="102"/>
      <c r="I112" s="102"/>
      <c r="J112" s="35" t="s">
        <v>44</v>
      </c>
      <c r="K112" s="85" t="s">
        <v>45</v>
      </c>
      <c r="L112" s="85">
        <v>100</v>
      </c>
      <c r="M112" s="85">
        <v>95</v>
      </c>
      <c r="N112" s="85">
        <v>90</v>
      </c>
      <c r="O112" s="85">
        <v>80</v>
      </c>
      <c r="P112" s="85">
        <v>75</v>
      </c>
    </row>
    <row r="113" spans="1:16" ht="30" x14ac:dyDescent="0.25">
      <c r="A113" s="123"/>
      <c r="B113" s="101" t="s">
        <v>46</v>
      </c>
      <c r="C113" s="101"/>
      <c r="D113" s="116" t="s">
        <v>47</v>
      </c>
      <c r="E113" s="102">
        <f>[1]приложение1!$L$50</f>
        <v>11000</v>
      </c>
      <c r="F113" s="102">
        <f>'[2]приложение 1 '!$J$44</f>
        <v>11000</v>
      </c>
      <c r="G113" s="102">
        <v>5000</v>
      </c>
      <c r="H113" s="102">
        <v>5000</v>
      </c>
      <c r="I113" s="102">
        <v>5000</v>
      </c>
      <c r="J113" s="51" t="s">
        <v>48</v>
      </c>
      <c r="K113" s="88" t="s">
        <v>45</v>
      </c>
      <c r="L113" s="88">
        <v>280</v>
      </c>
      <c r="M113" s="88">
        <v>50</v>
      </c>
      <c r="N113" s="88">
        <v>60</v>
      </c>
      <c r="O113" s="88">
        <v>65</v>
      </c>
      <c r="P113" s="88">
        <v>70</v>
      </c>
    </row>
    <row r="114" spans="1:16" ht="60" x14ac:dyDescent="0.25">
      <c r="A114" s="123"/>
      <c r="B114" s="101"/>
      <c r="C114" s="101"/>
      <c r="D114" s="116"/>
      <c r="E114" s="102"/>
      <c r="F114" s="102"/>
      <c r="G114" s="102"/>
      <c r="H114" s="102"/>
      <c r="I114" s="102"/>
      <c r="J114" s="51" t="s">
        <v>49</v>
      </c>
      <c r="K114" s="88" t="s">
        <v>16</v>
      </c>
      <c r="L114" s="88">
        <v>60</v>
      </c>
      <c r="M114" s="88">
        <v>65</v>
      </c>
      <c r="N114" s="88">
        <v>70</v>
      </c>
      <c r="O114" s="88">
        <v>75</v>
      </c>
      <c r="P114" s="88">
        <v>78</v>
      </c>
    </row>
    <row r="115" spans="1:16" ht="61.5" customHeight="1" x14ac:dyDescent="0.25">
      <c r="A115" s="69"/>
      <c r="B115" s="59" t="s">
        <v>50</v>
      </c>
      <c r="C115" s="59"/>
      <c r="D115" s="64" t="s">
        <v>51</v>
      </c>
      <c r="E115" s="60">
        <f>[1]приложение1!$L$48+[1]приложение1!$L$51</f>
        <v>181176.2</v>
      </c>
      <c r="F115" s="60">
        <f>'[2]приложение 1 '!$J$42+'[2]приложение 1 '!$J$45</f>
        <v>181541.3</v>
      </c>
      <c r="G115" s="60">
        <v>200441.3</v>
      </c>
      <c r="H115" s="60">
        <v>200441.3</v>
      </c>
      <c r="I115" s="60">
        <v>200441.3</v>
      </c>
      <c r="J115" s="35" t="s">
        <v>52</v>
      </c>
      <c r="K115" s="85" t="s">
        <v>21</v>
      </c>
      <c r="L115" s="85">
        <v>310</v>
      </c>
      <c r="M115" s="85">
        <v>280</v>
      </c>
      <c r="N115" s="85">
        <v>250</v>
      </c>
      <c r="O115" s="85">
        <v>210</v>
      </c>
      <c r="P115" s="85">
        <v>200</v>
      </c>
    </row>
    <row r="116" spans="1:16" ht="59.25" customHeight="1" x14ac:dyDescent="0.25">
      <c r="A116" s="69"/>
      <c r="B116" s="59" t="s">
        <v>53</v>
      </c>
      <c r="C116" s="59"/>
      <c r="D116" s="63" t="s">
        <v>105</v>
      </c>
      <c r="E116" s="60">
        <f>[1]приложение1!$L$49</f>
        <v>3000</v>
      </c>
      <c r="F116" s="60">
        <f>'[2]приложение 1 '!$J$43</f>
        <v>152291.9</v>
      </c>
      <c r="G116" s="60">
        <v>50000</v>
      </c>
      <c r="H116" s="60">
        <v>50000</v>
      </c>
      <c r="I116" s="60">
        <v>50000</v>
      </c>
      <c r="J116" s="35" t="s">
        <v>54</v>
      </c>
      <c r="K116" s="85" t="s">
        <v>16</v>
      </c>
      <c r="L116" s="85">
        <v>45</v>
      </c>
      <c r="M116" s="85">
        <v>47</v>
      </c>
      <c r="N116" s="85">
        <v>49</v>
      </c>
      <c r="O116" s="85">
        <v>51</v>
      </c>
      <c r="P116" s="85">
        <v>53</v>
      </c>
    </row>
    <row r="117" spans="1:16" ht="30" customHeight="1" x14ac:dyDescent="0.25">
      <c r="A117" s="108" t="s">
        <v>55</v>
      </c>
      <c r="B117" s="108"/>
      <c r="C117" s="115"/>
      <c r="D117" s="57" t="s">
        <v>56</v>
      </c>
      <c r="E117" s="111">
        <f>E121+E124+E127+E130+E133+E136+E139+E142+E141</f>
        <v>6103921.9000000004</v>
      </c>
      <c r="F117" s="112">
        <f>F121+F124+F127+F130+F133+F136+F139+F142</f>
        <v>12020118.700000001</v>
      </c>
      <c r="G117" s="112">
        <f>G121+G124+G127+G130+G133+G136+G139+G142</f>
        <v>8486341.4000000004</v>
      </c>
      <c r="H117" s="112">
        <f>H121+H124+H127+H130+H133+H136+H139+H142</f>
        <v>11081136.9</v>
      </c>
      <c r="I117" s="112">
        <f>I121+I124+I127+I130+I133+I136+I139+I142</f>
        <v>4608300</v>
      </c>
      <c r="J117" s="124" t="s">
        <v>57</v>
      </c>
      <c r="K117" s="172" t="s">
        <v>21</v>
      </c>
      <c r="L117" s="124">
        <v>154.5</v>
      </c>
      <c r="M117" s="124">
        <v>85</v>
      </c>
      <c r="N117" s="168">
        <v>153.30000000000001</v>
      </c>
      <c r="O117" s="168">
        <v>159</v>
      </c>
      <c r="P117" s="168">
        <v>92.3</v>
      </c>
    </row>
    <row r="118" spans="1:16" x14ac:dyDescent="0.25">
      <c r="A118" s="108"/>
      <c r="B118" s="108"/>
      <c r="C118" s="115"/>
      <c r="D118" s="121" t="s">
        <v>58</v>
      </c>
      <c r="E118" s="111"/>
      <c r="F118" s="112"/>
      <c r="G118" s="112"/>
      <c r="H118" s="112"/>
      <c r="I118" s="112"/>
      <c r="J118" s="124"/>
      <c r="K118" s="172"/>
      <c r="L118" s="124"/>
      <c r="M118" s="124"/>
      <c r="N118" s="124"/>
      <c r="O118" s="124"/>
      <c r="P118" s="124"/>
    </row>
    <row r="119" spans="1:16" ht="30.75" customHeight="1" x14ac:dyDescent="0.25">
      <c r="A119" s="108"/>
      <c r="B119" s="108"/>
      <c r="C119" s="115"/>
      <c r="D119" s="121"/>
      <c r="E119" s="111"/>
      <c r="F119" s="112"/>
      <c r="G119" s="112"/>
      <c r="H119" s="112"/>
      <c r="I119" s="112"/>
      <c r="J119" s="124"/>
      <c r="K119" s="172"/>
      <c r="L119" s="124"/>
      <c r="M119" s="124"/>
      <c r="N119" s="124"/>
      <c r="O119" s="124"/>
      <c r="P119" s="124"/>
    </row>
    <row r="120" spans="1:16" ht="90" customHeight="1" x14ac:dyDescent="0.25">
      <c r="A120" s="108"/>
      <c r="B120" s="108"/>
      <c r="C120" s="115"/>
      <c r="D120" s="122"/>
      <c r="E120" s="111"/>
      <c r="F120" s="112"/>
      <c r="G120" s="112"/>
      <c r="H120" s="112"/>
      <c r="I120" s="112"/>
      <c r="J120" s="124"/>
      <c r="K120" s="172"/>
      <c r="L120" s="124"/>
      <c r="M120" s="124"/>
      <c r="N120" s="124"/>
      <c r="O120" s="124"/>
      <c r="P120" s="124"/>
    </row>
    <row r="121" spans="1:16" ht="30" x14ac:dyDescent="0.25">
      <c r="A121" s="101"/>
      <c r="B121" s="101" t="s">
        <v>5</v>
      </c>
      <c r="C121" s="101"/>
      <c r="D121" s="113" t="s">
        <v>59</v>
      </c>
      <c r="E121" s="102">
        <v>537485.5</v>
      </c>
      <c r="F121" s="102">
        <v>37217.5</v>
      </c>
      <c r="G121" s="102">
        <v>296100</v>
      </c>
      <c r="H121" s="102"/>
      <c r="I121" s="102">
        <v>0</v>
      </c>
      <c r="J121" s="80" t="s">
        <v>60</v>
      </c>
      <c r="K121" s="38" t="s">
        <v>21</v>
      </c>
      <c r="L121" s="40">
        <v>30</v>
      </c>
      <c r="M121" s="87">
        <v>0</v>
      </c>
      <c r="N121" s="87">
        <v>0</v>
      </c>
      <c r="O121" s="87">
        <v>0</v>
      </c>
      <c r="P121" s="87">
        <v>0</v>
      </c>
    </row>
    <row r="122" spans="1:16" x14ac:dyDescent="0.25">
      <c r="A122" s="101"/>
      <c r="B122" s="101"/>
      <c r="C122" s="101"/>
      <c r="D122" s="116"/>
      <c r="E122" s="102"/>
      <c r="F122" s="102"/>
      <c r="G122" s="102"/>
      <c r="H122" s="102"/>
      <c r="I122" s="102"/>
      <c r="J122" s="35" t="s">
        <v>61</v>
      </c>
      <c r="K122" s="34" t="s">
        <v>16</v>
      </c>
      <c r="L122" s="41">
        <v>0</v>
      </c>
      <c r="M122" s="39">
        <v>0</v>
      </c>
      <c r="N122" s="39">
        <v>0</v>
      </c>
      <c r="O122" s="39">
        <v>0</v>
      </c>
      <c r="P122" s="39">
        <v>0</v>
      </c>
    </row>
    <row r="123" spans="1:16" ht="30" x14ac:dyDescent="0.25">
      <c r="A123" s="101"/>
      <c r="B123" s="101"/>
      <c r="C123" s="101"/>
      <c r="D123" s="116"/>
      <c r="E123" s="102"/>
      <c r="F123" s="102"/>
      <c r="G123" s="102"/>
      <c r="H123" s="102"/>
      <c r="I123" s="102"/>
      <c r="J123" s="35" t="s">
        <v>62</v>
      </c>
      <c r="K123" s="34" t="s">
        <v>63</v>
      </c>
      <c r="L123" s="39">
        <v>23958</v>
      </c>
      <c r="M123" s="39">
        <v>24108</v>
      </c>
      <c r="N123" s="39">
        <v>24258</v>
      </c>
      <c r="O123" s="39">
        <v>24358</v>
      </c>
      <c r="P123" s="39">
        <v>24508</v>
      </c>
    </row>
    <row r="124" spans="1:16" ht="30" x14ac:dyDescent="0.25">
      <c r="A124" s="101"/>
      <c r="B124" s="101" t="s">
        <v>9</v>
      </c>
      <c r="C124" s="101"/>
      <c r="D124" s="116" t="s">
        <v>64</v>
      </c>
      <c r="E124" s="102">
        <v>1183162.7000000002</v>
      </c>
      <c r="F124" s="102">
        <v>1187542.5</v>
      </c>
      <c r="G124" s="102">
        <f>830117.9-212400</f>
        <v>617717.9</v>
      </c>
      <c r="H124" s="102">
        <v>1316647.2</v>
      </c>
      <c r="I124" s="102">
        <v>1333266</v>
      </c>
      <c r="J124" s="35" t="s">
        <v>60</v>
      </c>
      <c r="K124" s="34" t="s">
        <v>21</v>
      </c>
      <c r="L124" s="85">
        <v>54</v>
      </c>
      <c r="M124" s="36">
        <v>27</v>
      </c>
      <c r="N124" s="36">
        <v>18</v>
      </c>
      <c r="O124" s="36">
        <v>16</v>
      </c>
      <c r="P124" s="36">
        <v>21</v>
      </c>
    </row>
    <row r="125" spans="1:16" x14ac:dyDescent="0.25">
      <c r="A125" s="101"/>
      <c r="B125" s="101"/>
      <c r="C125" s="101"/>
      <c r="D125" s="116"/>
      <c r="E125" s="102"/>
      <c r="F125" s="102"/>
      <c r="G125" s="102"/>
      <c r="H125" s="102"/>
      <c r="I125" s="102"/>
      <c r="J125" s="35" t="s">
        <v>61</v>
      </c>
      <c r="K125" s="34" t="s">
        <v>16</v>
      </c>
      <c r="L125" s="41">
        <v>5</v>
      </c>
      <c r="M125" s="39">
        <v>15</v>
      </c>
      <c r="N125" s="39">
        <v>20</v>
      </c>
      <c r="O125" s="39">
        <v>25</v>
      </c>
      <c r="P125" s="39">
        <v>35</v>
      </c>
    </row>
    <row r="126" spans="1:16" ht="30" x14ac:dyDescent="0.25">
      <c r="A126" s="101"/>
      <c r="B126" s="101"/>
      <c r="C126" s="101"/>
      <c r="D126" s="116"/>
      <c r="E126" s="102"/>
      <c r="F126" s="102"/>
      <c r="G126" s="102"/>
      <c r="H126" s="102"/>
      <c r="I126" s="102"/>
      <c r="J126" s="35" t="s">
        <v>62</v>
      </c>
      <c r="K126" s="34" t="s">
        <v>63</v>
      </c>
      <c r="L126" s="41">
        <v>2483.3000000000002</v>
      </c>
      <c r="M126" s="52">
        <v>2681.3</v>
      </c>
      <c r="N126" s="52">
        <v>2300</v>
      </c>
      <c r="O126" s="52">
        <v>3550</v>
      </c>
      <c r="P126" s="52">
        <v>3650</v>
      </c>
    </row>
    <row r="127" spans="1:16" ht="45" customHeight="1" x14ac:dyDescent="0.25">
      <c r="A127" s="101"/>
      <c r="B127" s="101" t="s">
        <v>13</v>
      </c>
      <c r="C127" s="101"/>
      <c r="D127" s="99" t="s">
        <v>65</v>
      </c>
      <c r="E127" s="102">
        <v>1304830.3999999999</v>
      </c>
      <c r="F127" s="102">
        <v>2296420</v>
      </c>
      <c r="G127" s="102">
        <v>2679000</v>
      </c>
      <c r="H127" s="102">
        <v>2520552</v>
      </c>
      <c r="I127" s="102">
        <v>609577.4</v>
      </c>
      <c r="J127" s="35" t="s">
        <v>60</v>
      </c>
      <c r="K127" s="34" t="s">
        <v>21</v>
      </c>
      <c r="L127" s="41">
        <v>9.5</v>
      </c>
      <c r="M127" s="39">
        <v>13</v>
      </c>
      <c r="N127" s="39">
        <v>42.6</v>
      </c>
      <c r="O127" s="39">
        <v>25</v>
      </c>
      <c r="P127" s="39">
        <v>22.3</v>
      </c>
    </row>
    <row r="128" spans="1:16" ht="27" customHeight="1" x14ac:dyDescent="0.25">
      <c r="A128" s="101"/>
      <c r="B128" s="101"/>
      <c r="C128" s="101"/>
      <c r="D128" s="99"/>
      <c r="E128" s="102"/>
      <c r="F128" s="102"/>
      <c r="G128" s="102"/>
      <c r="H128" s="102"/>
      <c r="I128" s="102"/>
      <c r="J128" s="35" t="s">
        <v>61</v>
      </c>
      <c r="K128" s="34" t="s">
        <v>16</v>
      </c>
      <c r="L128" s="41">
        <v>0</v>
      </c>
      <c r="M128" s="39">
        <v>5</v>
      </c>
      <c r="N128" s="39">
        <v>10</v>
      </c>
      <c r="O128" s="39">
        <v>0</v>
      </c>
      <c r="P128" s="39">
        <v>0</v>
      </c>
    </row>
    <row r="129" spans="1:16" ht="48.75" customHeight="1" x14ac:dyDescent="0.25">
      <c r="A129" s="101"/>
      <c r="B129" s="101"/>
      <c r="C129" s="101"/>
      <c r="D129" s="99"/>
      <c r="E129" s="102"/>
      <c r="F129" s="102"/>
      <c r="G129" s="102"/>
      <c r="H129" s="102"/>
      <c r="I129" s="102"/>
      <c r="J129" s="35" t="s">
        <v>62</v>
      </c>
      <c r="K129" s="34" t="s">
        <v>63</v>
      </c>
      <c r="L129" s="52">
        <v>29000</v>
      </c>
      <c r="M129" s="52">
        <v>30000</v>
      </c>
      <c r="N129" s="52">
        <v>32000</v>
      </c>
      <c r="O129" s="52">
        <v>0</v>
      </c>
      <c r="P129" s="52">
        <v>0</v>
      </c>
    </row>
    <row r="130" spans="1:16" ht="30" x14ac:dyDescent="0.25">
      <c r="A130" s="101"/>
      <c r="B130" s="101" t="s">
        <v>38</v>
      </c>
      <c r="C130" s="101"/>
      <c r="D130" s="116" t="s">
        <v>66</v>
      </c>
      <c r="E130" s="102">
        <v>2561530.2000000002</v>
      </c>
      <c r="F130" s="102">
        <v>7991436.9000000004</v>
      </c>
      <c r="G130" s="102">
        <f>6377973.5-70800-141600-141600-1415960-17640</f>
        <v>4590373.5</v>
      </c>
      <c r="H130" s="102">
        <v>6312941.2000000002</v>
      </c>
      <c r="I130" s="102">
        <v>1961443</v>
      </c>
      <c r="J130" s="35" t="s">
        <v>60</v>
      </c>
      <c r="K130" s="34" t="s">
        <v>21</v>
      </c>
      <c r="L130" s="41">
        <v>61</v>
      </c>
      <c r="M130" s="39">
        <v>45</v>
      </c>
      <c r="N130" s="39">
        <v>82.7</v>
      </c>
      <c r="O130" s="39">
        <v>103</v>
      </c>
      <c r="P130" s="39">
        <v>37</v>
      </c>
    </row>
    <row r="131" spans="1:16" x14ac:dyDescent="0.25">
      <c r="A131" s="101"/>
      <c r="B131" s="101"/>
      <c r="C131" s="101"/>
      <c r="D131" s="116"/>
      <c r="E131" s="102"/>
      <c r="F131" s="102"/>
      <c r="G131" s="102"/>
      <c r="H131" s="102"/>
      <c r="I131" s="102"/>
      <c r="J131" s="35" t="s">
        <v>61</v>
      </c>
      <c r="K131" s="34" t="s">
        <v>16</v>
      </c>
      <c r="L131" s="41">
        <v>0</v>
      </c>
      <c r="M131" s="39">
        <v>0</v>
      </c>
      <c r="N131" s="39">
        <v>10</v>
      </c>
      <c r="O131" s="39">
        <v>10</v>
      </c>
      <c r="P131" s="39">
        <v>18</v>
      </c>
    </row>
    <row r="132" spans="1:16" ht="30" x14ac:dyDescent="0.25">
      <c r="A132" s="101"/>
      <c r="B132" s="101"/>
      <c r="C132" s="101"/>
      <c r="D132" s="116"/>
      <c r="E132" s="102"/>
      <c r="F132" s="102"/>
      <c r="G132" s="102"/>
      <c r="H132" s="102"/>
      <c r="I132" s="102"/>
      <c r="J132" s="35" t="s">
        <v>62</v>
      </c>
      <c r="K132" s="34" t="s">
        <v>63</v>
      </c>
      <c r="L132" s="52">
        <v>700</v>
      </c>
      <c r="M132" s="52">
        <v>825</v>
      </c>
      <c r="N132" s="52">
        <v>1150</v>
      </c>
      <c r="O132" s="52">
        <v>2750</v>
      </c>
      <c r="P132" s="52">
        <v>4333.3</v>
      </c>
    </row>
    <row r="133" spans="1:16" ht="30" x14ac:dyDescent="0.25">
      <c r="A133" s="101"/>
      <c r="B133" s="101" t="s">
        <v>41</v>
      </c>
      <c r="C133" s="101"/>
      <c r="D133" s="116" t="s">
        <v>67</v>
      </c>
      <c r="E133" s="102">
        <v>233692.5</v>
      </c>
      <c r="F133" s="102">
        <v>74686</v>
      </c>
      <c r="G133" s="102">
        <v>0</v>
      </c>
      <c r="H133" s="102">
        <v>0</v>
      </c>
      <c r="I133" s="102">
        <v>0</v>
      </c>
      <c r="J133" s="35" t="s">
        <v>60</v>
      </c>
      <c r="K133" s="34" t="s">
        <v>21</v>
      </c>
      <c r="L133" s="41">
        <v>0</v>
      </c>
      <c r="M133" s="39">
        <v>0</v>
      </c>
      <c r="N133" s="39">
        <v>0</v>
      </c>
      <c r="O133" s="39">
        <v>0</v>
      </c>
      <c r="P133" s="39">
        <v>0</v>
      </c>
    </row>
    <row r="134" spans="1:16" x14ac:dyDescent="0.25">
      <c r="A134" s="101"/>
      <c r="B134" s="101"/>
      <c r="C134" s="101"/>
      <c r="D134" s="116"/>
      <c r="E134" s="102"/>
      <c r="F134" s="102"/>
      <c r="G134" s="102"/>
      <c r="H134" s="102"/>
      <c r="I134" s="102"/>
      <c r="J134" s="35" t="s">
        <v>61</v>
      </c>
      <c r="K134" s="34" t="s">
        <v>16</v>
      </c>
      <c r="L134" s="41">
        <v>0</v>
      </c>
      <c r="M134" s="39">
        <v>0</v>
      </c>
      <c r="N134" s="39">
        <v>0</v>
      </c>
      <c r="O134" s="39">
        <v>0</v>
      </c>
      <c r="P134" s="39">
        <v>0</v>
      </c>
    </row>
    <row r="135" spans="1:16" ht="30" x14ac:dyDescent="0.25">
      <c r="A135" s="101"/>
      <c r="B135" s="101"/>
      <c r="C135" s="101"/>
      <c r="D135" s="116"/>
      <c r="E135" s="102"/>
      <c r="F135" s="102"/>
      <c r="G135" s="102"/>
      <c r="H135" s="102"/>
      <c r="I135" s="102"/>
      <c r="J135" s="35" t="s">
        <v>62</v>
      </c>
      <c r="K135" s="34" t="s">
        <v>63</v>
      </c>
      <c r="L135" s="52">
        <v>3078</v>
      </c>
      <c r="M135" s="52">
        <v>3232</v>
      </c>
      <c r="N135" s="52">
        <v>3394</v>
      </c>
      <c r="O135" s="52">
        <v>3594</v>
      </c>
      <c r="P135" s="52">
        <v>0</v>
      </c>
    </row>
    <row r="136" spans="1:16" ht="30" x14ac:dyDescent="0.25">
      <c r="A136" s="101"/>
      <c r="B136" s="101" t="s">
        <v>46</v>
      </c>
      <c r="C136" s="101"/>
      <c r="D136" s="116" t="s">
        <v>68</v>
      </c>
      <c r="E136" s="102">
        <v>0</v>
      </c>
      <c r="F136" s="102">
        <v>0</v>
      </c>
      <c r="G136" s="102">
        <v>0</v>
      </c>
      <c r="H136" s="102">
        <v>286694</v>
      </c>
      <c r="I136" s="102">
        <v>180500</v>
      </c>
      <c r="J136" s="35" t="s">
        <v>60</v>
      </c>
      <c r="K136" s="34" t="s">
        <v>21</v>
      </c>
      <c r="L136" s="41">
        <v>0</v>
      </c>
      <c r="M136" s="39">
        <v>0</v>
      </c>
      <c r="N136" s="39">
        <v>10</v>
      </c>
      <c r="O136" s="39">
        <v>15</v>
      </c>
      <c r="P136" s="39">
        <v>12</v>
      </c>
    </row>
    <row r="137" spans="1:16" x14ac:dyDescent="0.25">
      <c r="A137" s="101"/>
      <c r="B137" s="101"/>
      <c r="C137" s="101"/>
      <c r="D137" s="116"/>
      <c r="E137" s="102"/>
      <c r="F137" s="102"/>
      <c r="G137" s="102"/>
      <c r="H137" s="102"/>
      <c r="I137" s="102"/>
      <c r="J137" s="35" t="s">
        <v>61</v>
      </c>
      <c r="K137" s="34" t="s">
        <v>16</v>
      </c>
      <c r="L137" s="41">
        <v>0</v>
      </c>
      <c r="M137" s="39">
        <v>0</v>
      </c>
      <c r="N137" s="39">
        <v>0</v>
      </c>
      <c r="O137" s="39">
        <v>0</v>
      </c>
      <c r="P137" s="39">
        <v>0</v>
      </c>
    </row>
    <row r="138" spans="1:16" ht="30" x14ac:dyDescent="0.25">
      <c r="A138" s="101"/>
      <c r="B138" s="101"/>
      <c r="C138" s="101"/>
      <c r="D138" s="116"/>
      <c r="E138" s="102"/>
      <c r="F138" s="102"/>
      <c r="G138" s="102"/>
      <c r="H138" s="102"/>
      <c r="I138" s="102"/>
      <c r="J138" s="35" t="s">
        <v>62</v>
      </c>
      <c r="K138" s="34" t="s">
        <v>63</v>
      </c>
      <c r="L138" s="39">
        <v>1500</v>
      </c>
      <c r="M138" s="39">
        <v>2000</v>
      </c>
      <c r="N138" s="39">
        <v>2200</v>
      </c>
      <c r="O138" s="39">
        <v>2500</v>
      </c>
      <c r="P138" s="39">
        <v>3000</v>
      </c>
    </row>
    <row r="139" spans="1:16" ht="31.5" customHeight="1" x14ac:dyDescent="0.25">
      <c r="A139" s="101"/>
      <c r="B139" s="101" t="s">
        <v>50</v>
      </c>
      <c r="C139" s="101"/>
      <c r="D139" s="120" t="s">
        <v>69</v>
      </c>
      <c r="E139" s="102">
        <v>17784.599999999999</v>
      </c>
      <c r="F139" s="102">
        <v>432815.8</v>
      </c>
      <c r="G139" s="102">
        <v>303150</v>
      </c>
      <c r="H139" s="102">
        <v>644302.5</v>
      </c>
      <c r="I139" s="102">
        <v>523513.59999999998</v>
      </c>
      <c r="J139" s="80" t="s">
        <v>70</v>
      </c>
      <c r="K139" s="38" t="s">
        <v>16</v>
      </c>
      <c r="L139" s="40">
        <v>0</v>
      </c>
      <c r="M139" s="87">
        <v>0</v>
      </c>
      <c r="N139" s="53">
        <v>0.2</v>
      </c>
      <c r="O139" s="53">
        <v>0.3</v>
      </c>
      <c r="P139" s="87">
        <v>50</v>
      </c>
    </row>
    <row r="140" spans="1:16" ht="30" x14ac:dyDescent="0.25">
      <c r="A140" s="101"/>
      <c r="B140" s="101"/>
      <c r="C140" s="101"/>
      <c r="D140" s="120"/>
      <c r="E140" s="102"/>
      <c r="F140" s="102"/>
      <c r="G140" s="102"/>
      <c r="H140" s="102"/>
      <c r="I140" s="102"/>
      <c r="J140" s="80" t="s">
        <v>71</v>
      </c>
      <c r="K140" s="38" t="s">
        <v>16</v>
      </c>
      <c r="L140" s="40">
        <v>0</v>
      </c>
      <c r="M140" s="87">
        <v>0</v>
      </c>
      <c r="N140" s="53">
        <v>0</v>
      </c>
      <c r="O140" s="53">
        <v>0</v>
      </c>
      <c r="P140" s="53">
        <v>1</v>
      </c>
    </row>
    <row r="141" spans="1:16" ht="60" customHeight="1" x14ac:dyDescent="0.25">
      <c r="A141" s="59"/>
      <c r="B141" s="59" t="s">
        <v>53</v>
      </c>
      <c r="C141" s="59"/>
      <c r="D141" s="67" t="s">
        <v>305</v>
      </c>
      <c r="E141" s="60">
        <v>265436</v>
      </c>
      <c r="F141" s="60">
        <v>0</v>
      </c>
      <c r="G141" s="60">
        <v>0</v>
      </c>
      <c r="H141" s="60">
        <v>0</v>
      </c>
      <c r="I141" s="60">
        <v>0</v>
      </c>
      <c r="J141" s="80" t="s">
        <v>306</v>
      </c>
      <c r="K141" s="38" t="s">
        <v>45</v>
      </c>
      <c r="L141" s="40">
        <v>5</v>
      </c>
      <c r="M141" s="87">
        <v>0</v>
      </c>
      <c r="N141" s="42">
        <v>0</v>
      </c>
      <c r="O141" s="42">
        <v>0</v>
      </c>
      <c r="P141" s="42">
        <v>0</v>
      </c>
    </row>
    <row r="142" spans="1:16" ht="15" customHeight="1" x14ac:dyDescent="0.25">
      <c r="A142" s="101"/>
      <c r="B142" s="101" t="s">
        <v>72</v>
      </c>
      <c r="C142" s="101"/>
      <c r="D142" s="116" t="s">
        <v>307</v>
      </c>
      <c r="E142" s="102">
        <v>0</v>
      </c>
      <c r="F142" s="102">
        <v>0</v>
      </c>
      <c r="G142" s="102">
        <v>0</v>
      </c>
      <c r="H142" s="102"/>
      <c r="I142" s="102"/>
      <c r="J142" s="169" t="s">
        <v>60</v>
      </c>
      <c r="K142" s="169" t="s">
        <v>21</v>
      </c>
      <c r="L142" s="170">
        <v>0</v>
      </c>
      <c r="M142" s="171">
        <v>0</v>
      </c>
      <c r="N142" s="171">
        <v>0</v>
      </c>
      <c r="O142" s="171">
        <v>0</v>
      </c>
      <c r="P142" s="171">
        <v>0</v>
      </c>
    </row>
    <row r="143" spans="1:16" ht="38.25" customHeight="1" x14ac:dyDescent="0.25">
      <c r="A143" s="101"/>
      <c r="B143" s="101"/>
      <c r="C143" s="101"/>
      <c r="D143" s="114"/>
      <c r="E143" s="102"/>
      <c r="F143" s="102"/>
      <c r="G143" s="102"/>
      <c r="H143" s="102"/>
      <c r="I143" s="102"/>
      <c r="J143" s="169"/>
      <c r="K143" s="169"/>
      <c r="L143" s="170"/>
      <c r="M143" s="171"/>
      <c r="N143" s="171"/>
      <c r="O143" s="171"/>
      <c r="P143" s="171"/>
    </row>
    <row r="144" spans="1:16" ht="51.75" customHeight="1" x14ac:dyDescent="0.25">
      <c r="A144" s="108" t="s">
        <v>73</v>
      </c>
      <c r="B144" s="108"/>
      <c r="C144" s="115"/>
      <c r="D144" s="118" t="s">
        <v>74</v>
      </c>
      <c r="E144" s="111">
        <f>E148</f>
        <v>142322.19999999998</v>
      </c>
      <c r="F144" s="112">
        <f>F148</f>
        <v>155180.4</v>
      </c>
      <c r="G144" s="112">
        <f>G148+G150</f>
        <v>154480.4</v>
      </c>
      <c r="H144" s="112">
        <f t="shared" ref="H144:I144" si="3">H148+H150</f>
        <v>155110.39999999999</v>
      </c>
      <c r="I144" s="112">
        <f t="shared" si="3"/>
        <v>156778.70000000001</v>
      </c>
      <c r="J144" s="133" t="s">
        <v>309</v>
      </c>
      <c r="K144" s="124" t="s">
        <v>75</v>
      </c>
      <c r="L144" s="168">
        <v>97</v>
      </c>
      <c r="M144" s="168">
        <v>95</v>
      </c>
      <c r="N144" s="168">
        <v>90</v>
      </c>
      <c r="O144" s="168">
        <v>85</v>
      </c>
      <c r="P144" s="168">
        <v>80</v>
      </c>
    </row>
    <row r="145" spans="1:16" ht="29.25" customHeight="1" x14ac:dyDescent="0.25">
      <c r="A145" s="108"/>
      <c r="B145" s="108"/>
      <c r="C145" s="115"/>
      <c r="D145" s="119"/>
      <c r="E145" s="111"/>
      <c r="F145" s="112"/>
      <c r="G145" s="112"/>
      <c r="H145" s="112"/>
      <c r="I145" s="112"/>
      <c r="J145" s="133"/>
      <c r="K145" s="124"/>
      <c r="L145" s="168">
        <v>97</v>
      </c>
      <c r="M145" s="168">
        <v>95</v>
      </c>
      <c r="N145" s="168">
        <v>90</v>
      </c>
      <c r="O145" s="168">
        <v>85</v>
      </c>
      <c r="P145" s="168">
        <v>80</v>
      </c>
    </row>
    <row r="146" spans="1:16" ht="32.25" customHeight="1" x14ac:dyDescent="0.25">
      <c r="A146" s="108"/>
      <c r="B146" s="108"/>
      <c r="C146" s="115"/>
      <c r="D146" s="119"/>
      <c r="E146" s="111"/>
      <c r="F146" s="112"/>
      <c r="G146" s="112"/>
      <c r="H146" s="112"/>
      <c r="I146" s="112"/>
      <c r="J146" s="133"/>
      <c r="K146" s="124"/>
      <c r="L146" s="168">
        <v>97</v>
      </c>
      <c r="M146" s="168">
        <v>95</v>
      </c>
      <c r="N146" s="168">
        <v>90</v>
      </c>
      <c r="O146" s="168">
        <v>85</v>
      </c>
      <c r="P146" s="168">
        <v>80</v>
      </c>
    </row>
    <row r="147" spans="1:16" ht="90" x14ac:dyDescent="0.25">
      <c r="A147" s="108"/>
      <c r="B147" s="108"/>
      <c r="C147" s="115"/>
      <c r="D147" s="9" t="s">
        <v>308</v>
      </c>
      <c r="E147" s="111"/>
      <c r="F147" s="112"/>
      <c r="G147" s="112"/>
      <c r="H147" s="112"/>
      <c r="I147" s="112"/>
      <c r="J147" s="133"/>
      <c r="K147" s="124"/>
      <c r="L147" s="168">
        <v>97</v>
      </c>
      <c r="M147" s="168">
        <v>95</v>
      </c>
      <c r="N147" s="168">
        <v>90</v>
      </c>
      <c r="O147" s="168">
        <v>85</v>
      </c>
      <c r="P147" s="168">
        <v>80</v>
      </c>
    </row>
    <row r="148" spans="1:16" ht="69.75" customHeight="1" x14ac:dyDescent="0.25">
      <c r="A148" s="101"/>
      <c r="B148" s="101" t="s">
        <v>5</v>
      </c>
      <c r="C148" s="101"/>
      <c r="D148" s="113" t="s">
        <v>76</v>
      </c>
      <c r="E148" s="117">
        <f>[3]свод!$F$10</f>
        <v>142322.19999999998</v>
      </c>
      <c r="F148" s="117">
        <v>155180.4</v>
      </c>
      <c r="G148" s="117">
        <v>107141.3</v>
      </c>
      <c r="H148" s="117">
        <v>107775</v>
      </c>
      <c r="I148" s="117">
        <v>109189.9</v>
      </c>
      <c r="J148" s="34" t="s">
        <v>77</v>
      </c>
      <c r="K148" s="47" t="s">
        <v>16</v>
      </c>
      <c r="L148" s="41">
        <v>87</v>
      </c>
      <c r="M148" s="41">
        <v>87.3</v>
      </c>
      <c r="N148" s="41">
        <v>87.7</v>
      </c>
      <c r="O148" s="41">
        <v>88</v>
      </c>
      <c r="P148" s="41">
        <v>88.5</v>
      </c>
    </row>
    <row r="149" spans="1:16" ht="66" customHeight="1" x14ac:dyDescent="0.25">
      <c r="A149" s="101"/>
      <c r="B149" s="101"/>
      <c r="C149" s="101"/>
      <c r="D149" s="116"/>
      <c r="E149" s="117"/>
      <c r="F149" s="117"/>
      <c r="G149" s="117"/>
      <c r="H149" s="117"/>
      <c r="I149" s="117"/>
      <c r="J149" s="34" t="s">
        <v>78</v>
      </c>
      <c r="K149" s="54" t="s">
        <v>79</v>
      </c>
      <c r="L149" s="55">
        <v>127364</v>
      </c>
      <c r="M149" s="55">
        <v>132000</v>
      </c>
      <c r="N149" s="56">
        <v>137000</v>
      </c>
      <c r="O149" s="56">
        <v>140000</v>
      </c>
      <c r="P149" s="52">
        <v>143000</v>
      </c>
    </row>
    <row r="150" spans="1:16" ht="75" x14ac:dyDescent="0.25">
      <c r="A150" s="4"/>
      <c r="B150" s="59" t="s">
        <v>9</v>
      </c>
      <c r="C150" s="4"/>
      <c r="D150" s="12" t="s">
        <v>80</v>
      </c>
      <c r="E150" s="117"/>
      <c r="F150" s="117"/>
      <c r="G150" s="65">
        <v>47339.1</v>
      </c>
      <c r="H150" s="65">
        <v>47335.4</v>
      </c>
      <c r="I150" s="65">
        <v>47588.800000000003</v>
      </c>
      <c r="J150" s="80" t="s">
        <v>81</v>
      </c>
      <c r="K150" s="41" t="s">
        <v>82</v>
      </c>
      <c r="L150" s="55">
        <v>5674</v>
      </c>
      <c r="M150" s="55" t="s">
        <v>83</v>
      </c>
      <c r="N150" s="55" t="s">
        <v>83</v>
      </c>
      <c r="O150" s="55" t="s">
        <v>83</v>
      </c>
      <c r="P150" s="55" t="s">
        <v>83</v>
      </c>
    </row>
    <row r="151" spans="1:16" ht="28.5" customHeight="1" x14ac:dyDescent="0.25">
      <c r="A151" s="108" t="s">
        <v>84</v>
      </c>
      <c r="B151" s="108"/>
      <c r="C151" s="115"/>
      <c r="D151" s="66" t="s">
        <v>85</v>
      </c>
      <c r="E151" s="111">
        <f>E153</f>
        <v>192053.80000000002</v>
      </c>
      <c r="F151" s="112">
        <f>F153</f>
        <v>179910.8</v>
      </c>
      <c r="G151" s="112">
        <f>G153</f>
        <v>225910.8</v>
      </c>
      <c r="H151" s="112">
        <f>H153</f>
        <v>180410.8</v>
      </c>
      <c r="I151" s="112">
        <f>I153</f>
        <v>180821.6</v>
      </c>
      <c r="J151" s="133" t="s">
        <v>86</v>
      </c>
      <c r="K151" s="124" t="s">
        <v>87</v>
      </c>
      <c r="L151" s="168" t="s">
        <v>88</v>
      </c>
      <c r="M151" s="124" t="s">
        <v>88</v>
      </c>
      <c r="N151" s="124" t="s">
        <v>88</v>
      </c>
      <c r="O151" s="124" t="s">
        <v>88</v>
      </c>
      <c r="P151" s="124" t="s">
        <v>88</v>
      </c>
    </row>
    <row r="152" spans="1:16" ht="42" customHeight="1" x14ac:dyDescent="0.25">
      <c r="A152" s="108"/>
      <c r="B152" s="108"/>
      <c r="C152" s="115"/>
      <c r="D152" s="9" t="s">
        <v>89</v>
      </c>
      <c r="E152" s="111"/>
      <c r="F152" s="112"/>
      <c r="G152" s="112"/>
      <c r="H152" s="112"/>
      <c r="I152" s="112"/>
      <c r="J152" s="133"/>
      <c r="K152" s="124"/>
      <c r="L152" s="168"/>
      <c r="M152" s="124"/>
      <c r="N152" s="124"/>
      <c r="O152" s="124"/>
      <c r="P152" s="124"/>
    </row>
    <row r="153" spans="1:16" ht="60" x14ac:dyDescent="0.25">
      <c r="A153" s="101"/>
      <c r="B153" s="101" t="s">
        <v>5</v>
      </c>
      <c r="C153" s="101"/>
      <c r="D153" s="113" t="s">
        <v>90</v>
      </c>
      <c r="E153" s="102">
        <f>[3]свод!$F$9</f>
        <v>192053.80000000002</v>
      </c>
      <c r="F153" s="102">
        <v>179910.8</v>
      </c>
      <c r="G153" s="102">
        <v>225910.8</v>
      </c>
      <c r="H153" s="102">
        <v>180410.8</v>
      </c>
      <c r="I153" s="102">
        <v>180821.6</v>
      </c>
      <c r="J153" s="43" t="s">
        <v>91</v>
      </c>
      <c r="K153" s="41" t="s">
        <v>16</v>
      </c>
      <c r="L153" s="46">
        <v>80</v>
      </c>
      <c r="M153" s="46">
        <v>82</v>
      </c>
      <c r="N153" s="46">
        <v>85</v>
      </c>
      <c r="O153" s="46">
        <v>88</v>
      </c>
      <c r="P153" s="46">
        <v>90</v>
      </c>
    </row>
    <row r="154" spans="1:16" ht="45" x14ac:dyDescent="0.25">
      <c r="A154" s="101"/>
      <c r="B154" s="101"/>
      <c r="C154" s="101"/>
      <c r="D154" s="114"/>
      <c r="E154" s="102"/>
      <c r="F154" s="102"/>
      <c r="G154" s="102"/>
      <c r="H154" s="102"/>
      <c r="I154" s="102"/>
      <c r="J154" s="43" t="s">
        <v>92</v>
      </c>
      <c r="K154" s="41" t="s">
        <v>16</v>
      </c>
      <c r="L154" s="46">
        <v>91.3</v>
      </c>
      <c r="M154" s="46">
        <v>85</v>
      </c>
      <c r="N154" s="46">
        <v>87</v>
      </c>
      <c r="O154" s="46">
        <v>90</v>
      </c>
      <c r="P154" s="46">
        <v>93</v>
      </c>
    </row>
    <row r="155" spans="1:16" ht="71.25" x14ac:dyDescent="0.25">
      <c r="A155" s="108" t="s">
        <v>106</v>
      </c>
      <c r="B155" s="109"/>
      <c r="C155" s="110"/>
      <c r="D155" s="14" t="s">
        <v>93</v>
      </c>
      <c r="E155" s="111">
        <f>E159+E161+E162</f>
        <v>35842.5</v>
      </c>
      <c r="F155" s="112">
        <f>F159+F161+F162</f>
        <v>24531.300000000003</v>
      </c>
      <c r="G155" s="112">
        <f>G159+G161+G162</f>
        <v>62380.7</v>
      </c>
      <c r="H155" s="112">
        <f>H159+H161+H162</f>
        <v>56170.1</v>
      </c>
      <c r="I155" s="112">
        <f>I159+I161+I162</f>
        <v>60892.800000000003</v>
      </c>
      <c r="J155" s="167" t="s">
        <v>94</v>
      </c>
      <c r="K155" s="166" t="s">
        <v>95</v>
      </c>
      <c r="L155" s="124" t="s">
        <v>269</v>
      </c>
      <c r="M155" s="124" t="s">
        <v>270</v>
      </c>
      <c r="N155" s="124" t="s">
        <v>271</v>
      </c>
      <c r="O155" s="124" t="s">
        <v>272</v>
      </c>
      <c r="P155" s="124" t="s">
        <v>273</v>
      </c>
    </row>
    <row r="156" spans="1:16" x14ac:dyDescent="0.25">
      <c r="A156" s="108"/>
      <c r="B156" s="109"/>
      <c r="C156" s="110"/>
      <c r="D156" s="106" t="s">
        <v>96</v>
      </c>
      <c r="E156" s="111"/>
      <c r="F156" s="112"/>
      <c r="G156" s="112"/>
      <c r="H156" s="112"/>
      <c r="I156" s="112"/>
      <c r="J156" s="167"/>
      <c r="K156" s="166"/>
      <c r="L156" s="124"/>
      <c r="M156" s="124"/>
      <c r="N156" s="124"/>
      <c r="O156" s="124"/>
      <c r="P156" s="124"/>
    </row>
    <row r="157" spans="1:16" ht="15" customHeight="1" x14ac:dyDescent="0.25">
      <c r="A157" s="108"/>
      <c r="B157" s="109"/>
      <c r="C157" s="110"/>
      <c r="D157" s="106"/>
      <c r="E157" s="111"/>
      <c r="F157" s="112"/>
      <c r="G157" s="112"/>
      <c r="H157" s="112"/>
      <c r="I157" s="112"/>
      <c r="J157" s="167" t="s">
        <v>97</v>
      </c>
      <c r="K157" s="166" t="s">
        <v>16</v>
      </c>
      <c r="L157" s="124">
        <v>50</v>
      </c>
      <c r="M157" s="124">
        <v>70</v>
      </c>
      <c r="N157" s="124">
        <v>75</v>
      </c>
      <c r="O157" s="124">
        <v>82</v>
      </c>
      <c r="P157" s="124">
        <v>85</v>
      </c>
    </row>
    <row r="158" spans="1:16" ht="94.5" customHeight="1" x14ac:dyDescent="0.25">
      <c r="A158" s="108"/>
      <c r="B158" s="109"/>
      <c r="C158" s="110"/>
      <c r="D158" s="107"/>
      <c r="E158" s="111"/>
      <c r="F158" s="112"/>
      <c r="G158" s="112"/>
      <c r="H158" s="112"/>
      <c r="I158" s="112"/>
      <c r="J158" s="167"/>
      <c r="K158" s="166"/>
      <c r="L158" s="124"/>
      <c r="M158" s="124"/>
      <c r="N158" s="124"/>
      <c r="O158" s="124"/>
      <c r="P158" s="124"/>
    </row>
    <row r="159" spans="1:16" ht="15" customHeight="1" x14ac:dyDescent="0.25">
      <c r="A159" s="101"/>
      <c r="B159" s="101" t="s">
        <v>5</v>
      </c>
      <c r="C159" s="103"/>
      <c r="D159" s="104" t="s">
        <v>98</v>
      </c>
      <c r="E159" s="102">
        <f>[3]свод!$F$11</f>
        <v>12989.699999999999</v>
      </c>
      <c r="F159" s="102">
        <f>'[4]свод '!$D$1043</f>
        <v>12148.1</v>
      </c>
      <c r="G159" s="102">
        <v>13312.5</v>
      </c>
      <c r="H159" s="102">
        <v>12148.1</v>
      </c>
      <c r="I159" s="102">
        <v>12479.6</v>
      </c>
      <c r="J159" s="99" t="s">
        <v>99</v>
      </c>
      <c r="K159" s="100" t="s">
        <v>95</v>
      </c>
      <c r="L159" s="100">
        <v>49</v>
      </c>
      <c r="M159" s="100">
        <v>60</v>
      </c>
      <c r="N159" s="100">
        <v>55</v>
      </c>
      <c r="O159" s="100">
        <v>51</v>
      </c>
      <c r="P159" s="100">
        <v>60</v>
      </c>
    </row>
    <row r="160" spans="1:16" ht="64.5" customHeight="1" x14ac:dyDescent="0.25">
      <c r="A160" s="101"/>
      <c r="B160" s="101"/>
      <c r="C160" s="103"/>
      <c r="D160" s="105"/>
      <c r="E160" s="102"/>
      <c r="F160" s="102"/>
      <c r="G160" s="102"/>
      <c r="H160" s="102"/>
      <c r="I160" s="102"/>
      <c r="J160" s="99"/>
      <c r="K160" s="100"/>
      <c r="L160" s="100"/>
      <c r="M160" s="100"/>
      <c r="N160" s="100"/>
      <c r="O160" s="100"/>
      <c r="P160" s="100"/>
    </row>
    <row r="161" spans="1:16" ht="75" x14ac:dyDescent="0.25">
      <c r="A161" s="59"/>
      <c r="B161" s="59" t="s">
        <v>9</v>
      </c>
      <c r="C161" s="61"/>
      <c r="D161" s="62" t="s">
        <v>100</v>
      </c>
      <c r="E161" s="60">
        <v>0</v>
      </c>
      <c r="F161" s="60">
        <v>0</v>
      </c>
      <c r="G161" s="60">
        <v>24534.5</v>
      </c>
      <c r="H161" s="60">
        <f>'[5]приложение  2'!$J$22</f>
        <v>19566.400000000001</v>
      </c>
      <c r="I161" s="60">
        <f>'[5]приложение  2'!$J$32</f>
        <v>21512</v>
      </c>
      <c r="J161" s="68" t="s">
        <v>101</v>
      </c>
      <c r="K161" s="40" t="s">
        <v>95</v>
      </c>
      <c r="L161" s="40">
        <v>0</v>
      </c>
      <c r="M161" s="40">
        <v>0</v>
      </c>
      <c r="N161" s="40">
        <v>0</v>
      </c>
      <c r="O161" s="40">
        <v>0</v>
      </c>
      <c r="P161" s="40">
        <v>0</v>
      </c>
    </row>
    <row r="162" spans="1:16" ht="90" x14ac:dyDescent="0.25">
      <c r="A162" s="59"/>
      <c r="B162" s="59" t="s">
        <v>13</v>
      </c>
      <c r="C162" s="61"/>
      <c r="D162" s="11" t="s">
        <v>102</v>
      </c>
      <c r="E162" s="60">
        <f>[3]свод!$F$14</f>
        <v>22852.799999999999</v>
      </c>
      <c r="F162" s="60">
        <f>'[4]свод '!$E$1043</f>
        <v>12383.2</v>
      </c>
      <c r="G162" s="60">
        <v>24533.7</v>
      </c>
      <c r="H162" s="60">
        <f>24455.6</f>
        <v>24455.599999999999</v>
      </c>
      <c r="I162" s="60">
        <v>26901.200000000001</v>
      </c>
      <c r="J162" s="68" t="s">
        <v>103</v>
      </c>
      <c r="K162" s="40" t="s">
        <v>95</v>
      </c>
      <c r="L162" s="40" t="s">
        <v>260</v>
      </c>
      <c r="M162" s="40" t="s">
        <v>274</v>
      </c>
      <c r="N162" s="40" t="s">
        <v>275</v>
      </c>
      <c r="O162" s="40" t="s">
        <v>275</v>
      </c>
      <c r="P162" s="40" t="s">
        <v>276</v>
      </c>
    </row>
    <row r="163" spans="1:16" x14ac:dyDescent="0.25">
      <c r="A163" s="6"/>
      <c r="B163" s="6"/>
      <c r="C163" s="6"/>
      <c r="D163" s="7" t="s">
        <v>104</v>
      </c>
      <c r="E163" s="8">
        <f>E95+E102+E117+E144+E151+E155</f>
        <v>8466915.5999999996</v>
      </c>
      <c r="F163" s="8">
        <f>F95+F102+F117+F144+F151+F155</f>
        <v>14386192.600000003</v>
      </c>
      <c r="G163" s="8">
        <f>G95+G102+G117+G144+G151+G155</f>
        <v>10936264.700000001</v>
      </c>
      <c r="H163" s="8">
        <f>H95+H102+H117+H144+H151+H155-0.2</f>
        <v>13480823.600000001</v>
      </c>
      <c r="I163" s="8">
        <f>I95+I102+I117+I144+I151+I155</f>
        <v>7016795.2999999998</v>
      </c>
      <c r="J163" s="95"/>
      <c r="K163" s="96"/>
      <c r="L163" s="97"/>
      <c r="M163" s="97"/>
      <c r="N163" s="97"/>
      <c r="O163" s="97"/>
      <c r="P163" s="97"/>
    </row>
    <row r="166" spans="1:16" x14ac:dyDescent="0.25">
      <c r="D166" s="92"/>
      <c r="E166" s="93"/>
      <c r="F166" s="93"/>
      <c r="G166" s="93"/>
      <c r="H166" s="93"/>
      <c r="I166" s="93"/>
    </row>
    <row r="168" spans="1:16" x14ac:dyDescent="0.25">
      <c r="I168" s="94"/>
    </row>
  </sheetData>
  <mergeCells count="492">
    <mergeCell ref="M157:M158"/>
    <mergeCell ref="N157:N158"/>
    <mergeCell ref="L102:L103"/>
    <mergeCell ref="M102:M103"/>
    <mergeCell ref="J102:J103"/>
    <mergeCell ref="K102:K103"/>
    <mergeCell ref="O117:O120"/>
    <mergeCell ref="P117:P120"/>
    <mergeCell ref="J142:J143"/>
    <mergeCell ref="K142:K143"/>
    <mergeCell ref="L142:L143"/>
    <mergeCell ref="M142:M143"/>
    <mergeCell ref="N142:N143"/>
    <mergeCell ref="O142:O143"/>
    <mergeCell ref="P142:P143"/>
    <mergeCell ref="J117:J120"/>
    <mergeCell ref="K117:K120"/>
    <mergeCell ref="L117:L120"/>
    <mergeCell ref="M117:M120"/>
    <mergeCell ref="N117:N120"/>
    <mergeCell ref="N155:N156"/>
    <mergeCell ref="J157:J158"/>
    <mergeCell ref="K157:K158"/>
    <mergeCell ref="L157:L158"/>
    <mergeCell ref="J155:J156"/>
    <mergeCell ref="M155:M156"/>
    <mergeCell ref="M151:M152"/>
    <mergeCell ref="P144:P147"/>
    <mergeCell ref="J144:J147"/>
    <mergeCell ref="K144:K147"/>
    <mergeCell ref="L144:L147"/>
    <mergeCell ref="M144:M147"/>
    <mergeCell ref="N144:N147"/>
    <mergeCell ref="O144:O147"/>
    <mergeCell ref="K155:K156"/>
    <mergeCell ref="L155:L156"/>
    <mergeCell ref="O155:O156"/>
    <mergeCell ref="L151:L152"/>
    <mergeCell ref="N151:N152"/>
    <mergeCell ref="O157:O158"/>
    <mergeCell ref="P157:P158"/>
    <mergeCell ref="O151:O152"/>
    <mergeCell ref="P151:P152"/>
    <mergeCell ref="J151:J152"/>
    <mergeCell ref="K151:K152"/>
    <mergeCell ref="P155:P156"/>
    <mergeCell ref="A63:A64"/>
    <mergeCell ref="B63:B64"/>
    <mergeCell ref="O105:O106"/>
    <mergeCell ref="P105:P106"/>
    <mergeCell ref="K109:K110"/>
    <mergeCell ref="L109:L110"/>
    <mergeCell ref="M109:M110"/>
    <mergeCell ref="N109:N110"/>
    <mergeCell ref="O109:O110"/>
    <mergeCell ref="P109:P110"/>
    <mergeCell ref="K105:K106"/>
    <mergeCell ref="L105:L106"/>
    <mergeCell ref="M105:M106"/>
    <mergeCell ref="J105:J110"/>
    <mergeCell ref="N102:N103"/>
    <mergeCell ref="O102:O103"/>
    <mergeCell ref="P102:P103"/>
    <mergeCell ref="A77:A78"/>
    <mergeCell ref="B77:B78"/>
    <mergeCell ref="C90:C91"/>
    <mergeCell ref="K93:P93"/>
    <mergeCell ref="A94:P94"/>
    <mergeCell ref="K92:P92"/>
    <mergeCell ref="A13:A14"/>
    <mergeCell ref="B13:B14"/>
    <mergeCell ref="C13:C14"/>
    <mergeCell ref="A20:A21"/>
    <mergeCell ref="B20:B21"/>
    <mergeCell ref="C20:C21"/>
    <mergeCell ref="B22:B23"/>
    <mergeCell ref="C22:C23"/>
    <mergeCell ref="A22:A23"/>
    <mergeCell ref="C26:C29"/>
    <mergeCell ref="C30:C32"/>
    <mergeCell ref="C33:C37"/>
    <mergeCell ref="C38:C39"/>
    <mergeCell ref="C40:C47"/>
    <mergeCell ref="A54:A57"/>
    <mergeCell ref="B54:B57"/>
    <mergeCell ref="A58:A61"/>
    <mergeCell ref="B58:B61"/>
    <mergeCell ref="I71:I72"/>
    <mergeCell ref="A74:A75"/>
    <mergeCell ref="B74:B75"/>
    <mergeCell ref="D74:D75"/>
    <mergeCell ref="E74:E75"/>
    <mergeCell ref="F74:F75"/>
    <mergeCell ref="G74:G75"/>
    <mergeCell ref="H74:H75"/>
    <mergeCell ref="I74:I75"/>
    <mergeCell ref="C71:C72"/>
    <mergeCell ref="C74:C75"/>
    <mergeCell ref="G71:G72"/>
    <mergeCell ref="H71:H72"/>
    <mergeCell ref="G82:G84"/>
    <mergeCell ref="H82:H84"/>
    <mergeCell ref="I82:I84"/>
    <mergeCell ref="A80:A81"/>
    <mergeCell ref="B80:B81"/>
    <mergeCell ref="C80:C81"/>
    <mergeCell ref="C82:C84"/>
    <mergeCell ref="A87:A89"/>
    <mergeCell ref="B87:B89"/>
    <mergeCell ref="I85:I86"/>
    <mergeCell ref="D87:D89"/>
    <mergeCell ref="E87:E89"/>
    <mergeCell ref="F87:F89"/>
    <mergeCell ref="G87:G89"/>
    <mergeCell ref="H87:H89"/>
    <mergeCell ref="I87:I89"/>
    <mergeCell ref="C87:C89"/>
    <mergeCell ref="G80:G81"/>
    <mergeCell ref="H80:H81"/>
    <mergeCell ref="C65:C66"/>
    <mergeCell ref="C68:C69"/>
    <mergeCell ref="D77:D78"/>
    <mergeCell ref="I65:I66"/>
    <mergeCell ref="H65:H66"/>
    <mergeCell ref="A85:A86"/>
    <mergeCell ref="B85:B86"/>
    <mergeCell ref="D85:D86"/>
    <mergeCell ref="E85:E86"/>
    <mergeCell ref="F85:F86"/>
    <mergeCell ref="G85:G86"/>
    <mergeCell ref="H85:H86"/>
    <mergeCell ref="C85:C86"/>
    <mergeCell ref="D80:D81"/>
    <mergeCell ref="E80:E81"/>
    <mergeCell ref="F80:F81"/>
    <mergeCell ref="A68:A69"/>
    <mergeCell ref="B68:B69"/>
    <mergeCell ref="I80:I81"/>
    <mergeCell ref="A82:A84"/>
    <mergeCell ref="B82:B84"/>
    <mergeCell ref="D82:D84"/>
    <mergeCell ref="E82:E84"/>
    <mergeCell ref="F82:F84"/>
    <mergeCell ref="P54:P55"/>
    <mergeCell ref="D58:D61"/>
    <mergeCell ref="E58:E61"/>
    <mergeCell ref="F58:F61"/>
    <mergeCell ref="G58:G61"/>
    <mergeCell ref="H58:H61"/>
    <mergeCell ref="I58:I61"/>
    <mergeCell ref="D63:D64"/>
    <mergeCell ref="E63:E64"/>
    <mergeCell ref="F63:F64"/>
    <mergeCell ref="G63:G64"/>
    <mergeCell ref="H63:H64"/>
    <mergeCell ref="I63:I64"/>
    <mergeCell ref="M54:M55"/>
    <mergeCell ref="N54:N55"/>
    <mergeCell ref="O54:O55"/>
    <mergeCell ref="J54:J55"/>
    <mergeCell ref="K54:K55"/>
    <mergeCell ref="C63:C64"/>
    <mergeCell ref="C58:C61"/>
    <mergeCell ref="L54:L55"/>
    <mergeCell ref="I38:I39"/>
    <mergeCell ref="A40:A47"/>
    <mergeCell ref="B40:B47"/>
    <mergeCell ref="D40:D47"/>
    <mergeCell ref="E40:E47"/>
    <mergeCell ref="F40:F47"/>
    <mergeCell ref="G40:G47"/>
    <mergeCell ref="H40:H47"/>
    <mergeCell ref="I40:I47"/>
    <mergeCell ref="A38:A39"/>
    <mergeCell ref="B38:B39"/>
    <mergeCell ref="D38:D39"/>
    <mergeCell ref="E38:E39"/>
    <mergeCell ref="F38:F39"/>
    <mergeCell ref="G38:G39"/>
    <mergeCell ref="H38:H39"/>
    <mergeCell ref="C48:C50"/>
    <mergeCell ref="C54:C57"/>
    <mergeCell ref="A48:A50"/>
    <mergeCell ref="B48:B50"/>
    <mergeCell ref="D48:D50"/>
    <mergeCell ref="A33:A37"/>
    <mergeCell ref="B33:B37"/>
    <mergeCell ref="D33:D37"/>
    <mergeCell ref="E33:E37"/>
    <mergeCell ref="F33:F37"/>
    <mergeCell ref="G33:G37"/>
    <mergeCell ref="H33:H37"/>
    <mergeCell ref="I33:I37"/>
    <mergeCell ref="A30:A32"/>
    <mergeCell ref="B30:B32"/>
    <mergeCell ref="D30:D32"/>
    <mergeCell ref="E30:E32"/>
    <mergeCell ref="F30:F32"/>
    <mergeCell ref="G30:G32"/>
    <mergeCell ref="H30:H32"/>
    <mergeCell ref="I30:I32"/>
    <mergeCell ref="A2:D2"/>
    <mergeCell ref="A4:A6"/>
    <mergeCell ref="B4:B6"/>
    <mergeCell ref="C4:C6"/>
    <mergeCell ref="D4:D6"/>
    <mergeCell ref="E4:I4"/>
    <mergeCell ref="D13:D14"/>
    <mergeCell ref="E13:E14"/>
    <mergeCell ref="F13:F14"/>
    <mergeCell ref="G13:G14"/>
    <mergeCell ref="H13:H14"/>
    <mergeCell ref="I13:I14"/>
    <mergeCell ref="F8:F11"/>
    <mergeCell ref="G8:G11"/>
    <mergeCell ref="H8:H11"/>
    <mergeCell ref="I8:I11"/>
    <mergeCell ref="D20:D21"/>
    <mergeCell ref="E20:E21"/>
    <mergeCell ref="F20:F21"/>
    <mergeCell ref="G20:G21"/>
    <mergeCell ref="H20:H21"/>
    <mergeCell ref="I20:I21"/>
    <mergeCell ref="I22:I23"/>
    <mergeCell ref="A26:A29"/>
    <mergeCell ref="B26:B29"/>
    <mergeCell ref="D26:D29"/>
    <mergeCell ref="E26:E29"/>
    <mergeCell ref="F26:F29"/>
    <mergeCell ref="G26:G29"/>
    <mergeCell ref="H26:H29"/>
    <mergeCell ref="I26:I29"/>
    <mergeCell ref="D22:D23"/>
    <mergeCell ref="E22:E23"/>
    <mergeCell ref="F22:F23"/>
    <mergeCell ref="G22:G23"/>
    <mergeCell ref="H22:H23"/>
    <mergeCell ref="M4:P5"/>
    <mergeCell ref="E5:I5"/>
    <mergeCell ref="A7:P7"/>
    <mergeCell ref="A8:A11"/>
    <mergeCell ref="B8:B11"/>
    <mergeCell ref="C8:C11"/>
    <mergeCell ref="D8:D11"/>
    <mergeCell ref="E8:E11"/>
    <mergeCell ref="J4:J6"/>
    <mergeCell ref="K4:K6"/>
    <mergeCell ref="L4:L5"/>
    <mergeCell ref="D97:D98"/>
    <mergeCell ref="E48:E50"/>
    <mergeCell ref="F48:F50"/>
    <mergeCell ref="G48:G50"/>
    <mergeCell ref="H48:H50"/>
    <mergeCell ref="I48:I50"/>
    <mergeCell ref="D54:D57"/>
    <mergeCell ref="E54:E57"/>
    <mergeCell ref="F54:F57"/>
    <mergeCell ref="G54:G57"/>
    <mergeCell ref="H54:H57"/>
    <mergeCell ref="I54:I57"/>
    <mergeCell ref="D68:D69"/>
    <mergeCell ref="E68:E69"/>
    <mergeCell ref="F68:F69"/>
    <mergeCell ref="G68:G69"/>
    <mergeCell ref="H68:H69"/>
    <mergeCell ref="I68:I69"/>
    <mergeCell ref="D90:D91"/>
    <mergeCell ref="E90:E91"/>
    <mergeCell ref="F90:F91"/>
    <mergeCell ref="G90:G91"/>
    <mergeCell ref="H90:H91"/>
    <mergeCell ref="I90:I91"/>
    <mergeCell ref="L95:L97"/>
    <mergeCell ref="J95:J97"/>
    <mergeCell ref="K95:K97"/>
    <mergeCell ref="M95:M97"/>
    <mergeCell ref="A65:A66"/>
    <mergeCell ref="B65:B66"/>
    <mergeCell ref="D65:D66"/>
    <mergeCell ref="E65:E66"/>
    <mergeCell ref="F65:F66"/>
    <mergeCell ref="G65:G66"/>
    <mergeCell ref="A95:A98"/>
    <mergeCell ref="B95:B98"/>
    <mergeCell ref="C95:C98"/>
    <mergeCell ref="D95:D96"/>
    <mergeCell ref="E95:E98"/>
    <mergeCell ref="F95:F98"/>
    <mergeCell ref="C77:C78"/>
    <mergeCell ref="A71:A72"/>
    <mergeCell ref="B71:B72"/>
    <mergeCell ref="D71:D72"/>
    <mergeCell ref="E71:E72"/>
    <mergeCell ref="F71:F72"/>
    <mergeCell ref="A90:A91"/>
    <mergeCell ref="B90:B91"/>
    <mergeCell ref="N95:N97"/>
    <mergeCell ref="O95:O97"/>
    <mergeCell ref="P95:P97"/>
    <mergeCell ref="A105:A106"/>
    <mergeCell ref="B105:B106"/>
    <mergeCell ref="C105:C106"/>
    <mergeCell ref="D105:D106"/>
    <mergeCell ref="E105:E106"/>
    <mergeCell ref="F105:F106"/>
    <mergeCell ref="G102:G104"/>
    <mergeCell ref="H102:H104"/>
    <mergeCell ref="I102:I104"/>
    <mergeCell ref="A102:A104"/>
    <mergeCell ref="B102:B104"/>
    <mergeCell ref="C102:C104"/>
    <mergeCell ref="D102:D103"/>
    <mergeCell ref="E102:E104"/>
    <mergeCell ref="F102:F104"/>
    <mergeCell ref="N105:N106"/>
    <mergeCell ref="E99:E101"/>
    <mergeCell ref="F99:F101"/>
    <mergeCell ref="G95:G98"/>
    <mergeCell ref="H95:H98"/>
    <mergeCell ref="I95:I98"/>
    <mergeCell ref="I111:I112"/>
    <mergeCell ref="A109:A110"/>
    <mergeCell ref="B109:B110"/>
    <mergeCell ref="C109:C110"/>
    <mergeCell ref="D109:D110"/>
    <mergeCell ref="E109:E110"/>
    <mergeCell ref="F109:F110"/>
    <mergeCell ref="G105:G106"/>
    <mergeCell ref="H105:H106"/>
    <mergeCell ref="I105:I106"/>
    <mergeCell ref="G109:G110"/>
    <mergeCell ref="H109:H110"/>
    <mergeCell ref="I109:I110"/>
    <mergeCell ref="F113:F114"/>
    <mergeCell ref="G113:G114"/>
    <mergeCell ref="H113:H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3:I114"/>
    <mergeCell ref="A121:A123"/>
    <mergeCell ref="B121:B123"/>
    <mergeCell ref="C121:C123"/>
    <mergeCell ref="D121:D123"/>
    <mergeCell ref="E121:E123"/>
    <mergeCell ref="F121:F123"/>
    <mergeCell ref="G121:G123"/>
    <mergeCell ref="I117:I120"/>
    <mergeCell ref="H121:H123"/>
    <mergeCell ref="I121:I123"/>
    <mergeCell ref="A117:A120"/>
    <mergeCell ref="B117:B120"/>
    <mergeCell ref="C117:C120"/>
    <mergeCell ref="E117:E120"/>
    <mergeCell ref="F117:F120"/>
    <mergeCell ref="G117:G120"/>
    <mergeCell ref="H117:H120"/>
    <mergeCell ref="D118:D120"/>
    <mergeCell ref="A113:A114"/>
    <mergeCell ref="B113:B114"/>
    <mergeCell ref="C113:C114"/>
    <mergeCell ref="D113:D114"/>
    <mergeCell ref="E113:E114"/>
    <mergeCell ref="A124:A126"/>
    <mergeCell ref="B124:B126"/>
    <mergeCell ref="C124:C126"/>
    <mergeCell ref="D124:D126"/>
    <mergeCell ref="E124:E126"/>
    <mergeCell ref="F124:F126"/>
    <mergeCell ref="G124:G126"/>
    <mergeCell ref="H124:H126"/>
    <mergeCell ref="I124:I126"/>
    <mergeCell ref="A127:A129"/>
    <mergeCell ref="B127:B129"/>
    <mergeCell ref="C127:C129"/>
    <mergeCell ref="D127:D129"/>
    <mergeCell ref="E127:E129"/>
    <mergeCell ref="F127:F129"/>
    <mergeCell ref="G127:G129"/>
    <mergeCell ref="H127:H129"/>
    <mergeCell ref="I127:I129"/>
    <mergeCell ref="G130:G132"/>
    <mergeCell ref="H130:H132"/>
    <mergeCell ref="I130:I132"/>
    <mergeCell ref="A133:A135"/>
    <mergeCell ref="B133:B135"/>
    <mergeCell ref="C133:C135"/>
    <mergeCell ref="D133:D135"/>
    <mergeCell ref="E133:E135"/>
    <mergeCell ref="F133:F135"/>
    <mergeCell ref="G133:G135"/>
    <mergeCell ref="A130:A132"/>
    <mergeCell ref="B130:B132"/>
    <mergeCell ref="C130:C132"/>
    <mergeCell ref="D130:D132"/>
    <mergeCell ref="E130:E132"/>
    <mergeCell ref="F130:F132"/>
    <mergeCell ref="H133:H135"/>
    <mergeCell ref="I133:I135"/>
    <mergeCell ref="A136:A138"/>
    <mergeCell ref="B136:B138"/>
    <mergeCell ref="C136:C138"/>
    <mergeCell ref="D136:D138"/>
    <mergeCell ref="E136:E138"/>
    <mergeCell ref="F136:F138"/>
    <mergeCell ref="G136:G138"/>
    <mergeCell ref="H136:H138"/>
    <mergeCell ref="I136:I138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A144:A147"/>
    <mergeCell ref="B144:B147"/>
    <mergeCell ref="C144:C147"/>
    <mergeCell ref="D144:D146"/>
    <mergeCell ref="E144:E147"/>
    <mergeCell ref="F144:F147"/>
    <mergeCell ref="G142:G143"/>
    <mergeCell ref="H142:H143"/>
    <mergeCell ref="I142:I143"/>
    <mergeCell ref="A142:A143"/>
    <mergeCell ref="B142:B143"/>
    <mergeCell ref="C142:C143"/>
    <mergeCell ref="D142:D143"/>
    <mergeCell ref="E142:E143"/>
    <mergeCell ref="F142:F143"/>
    <mergeCell ref="B148:B149"/>
    <mergeCell ref="D148:D149"/>
    <mergeCell ref="E148:E150"/>
    <mergeCell ref="F148:F150"/>
    <mergeCell ref="G144:G147"/>
    <mergeCell ref="H144:H147"/>
    <mergeCell ref="I144:I147"/>
    <mergeCell ref="G148:G149"/>
    <mergeCell ref="H148:H149"/>
    <mergeCell ref="I148:I149"/>
    <mergeCell ref="I151:I152"/>
    <mergeCell ref="I153:I154"/>
    <mergeCell ref="A151:A152"/>
    <mergeCell ref="B151:B152"/>
    <mergeCell ref="C151:C152"/>
    <mergeCell ref="E151:E152"/>
    <mergeCell ref="F151:F152"/>
    <mergeCell ref="G151:G152"/>
    <mergeCell ref="H151:H152"/>
    <mergeCell ref="F155:F158"/>
    <mergeCell ref="H155:H158"/>
    <mergeCell ref="I155:I158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G155:G158"/>
    <mergeCell ref="L1:P1"/>
    <mergeCell ref="J159:J160"/>
    <mergeCell ref="K159:K160"/>
    <mergeCell ref="L159:L160"/>
    <mergeCell ref="M159:M160"/>
    <mergeCell ref="N159:N160"/>
    <mergeCell ref="O159:O160"/>
    <mergeCell ref="P159:P160"/>
    <mergeCell ref="A148:A149"/>
    <mergeCell ref="C148:C149"/>
    <mergeCell ref="G159:G160"/>
    <mergeCell ref="H159:H160"/>
    <mergeCell ref="I159:I160"/>
    <mergeCell ref="A159:A160"/>
    <mergeCell ref="B159:B160"/>
    <mergeCell ref="C159:C160"/>
    <mergeCell ref="D159:D160"/>
    <mergeCell ref="E159:E160"/>
    <mergeCell ref="F159:F160"/>
    <mergeCell ref="D156:D158"/>
    <mergeCell ref="A155:A158"/>
    <mergeCell ref="B155:B158"/>
    <mergeCell ref="C155:C158"/>
    <mergeCell ref="E155:E158"/>
  </mergeCells>
  <pageMargins left="0.39370078740157483" right="0.39370078740157483" top="0.74803149606299213" bottom="0.74803149606299213" header="0.31496062992125984" footer="0.31496062992125984"/>
  <pageSetup paperSize="9" scale="64" fitToHeight="0" orientation="landscape" r:id="rId1"/>
  <headerFooter>
    <oddFooter>&amp;R&amp;P</oddFooter>
  </headerFooter>
  <rowBreaks count="2" manualBreakCount="2">
    <brk id="148" max="15" man="1"/>
    <brk id="161" max="1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539BEF7-CEBC-4E26-9551-7FF7F2F5D74F}"/>
</file>

<file path=customXml/itemProps2.xml><?xml version="1.0" encoding="utf-8"?>
<ds:datastoreItem xmlns:ds="http://schemas.openxmlformats.org/officeDocument/2006/customXml" ds:itemID="{7F1CBFEB-FD5F-4B66-B97D-4AC305CF419A}"/>
</file>

<file path=customXml/itemProps3.xml><?xml version="1.0" encoding="utf-8"?>
<ds:datastoreItem xmlns:ds="http://schemas.openxmlformats.org/officeDocument/2006/customXml" ds:itemID="{EFCE4693-4127-43BD-A49A-EE534E1FD5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Русский</vt:lpstr>
      <vt:lpstr>Русский!Заголовки_для_печати</vt:lpstr>
      <vt:lpstr>Русский!Область_печати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Канат Бегалиев</dc:creator>
  <cp:lastModifiedBy>Зарлык Исмаилов</cp:lastModifiedBy>
  <cp:lastPrinted>2019-12-11T08:57:53Z</cp:lastPrinted>
  <dcterms:created xsi:type="dcterms:W3CDTF">2019-09-02T03:18:31Z</dcterms:created>
  <dcterms:modified xsi:type="dcterms:W3CDTF">2019-12-11T08:57:58Z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